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omments1.xml" ContentType="application/vnd.openxmlformats-officedocument.spreadsheetml.comments+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nidom.net\fileserver\Dc_Users\menachem\TariffUpdate\סל הדלק\2024-2030\החלטה על מוסבות\חומר לפני מליאה לאסנת\"/>
    </mc:Choice>
  </mc:AlternateContent>
  <bookViews>
    <workbookView xWindow="-105" yWindow="-105" windowWidth="23250" windowHeight="12450" tabRatio="834" firstSheet="4" activeTab="5"/>
  </bookViews>
  <sheets>
    <sheet name="גרפים ישן" sheetId="12" state="hidden" r:id="rId1"/>
    <sheet name="סיכום תרחישים חלופה 30% מתחדש" sheetId="7" state="hidden" r:id="rId2"/>
    <sheet name="שעות הפעלה והתנעות 30% 3.5%" sheetId="16" state="hidden" r:id="rId3"/>
    <sheet name="תרחישים חלופה 30% 3.5 תמג" sheetId="15" state="hidden" r:id="rId4"/>
    <sheet name="ריכוז תוצאות" sheetId="11" r:id="rId5"/>
    <sheet name="עלויות חירום" sheetId="23" r:id="rId6"/>
    <sheet name="עלויות תפעול חם" sheetId="29" r:id="rId7"/>
    <sheet name="עליות הון ותפעול" sheetId="22" r:id="rId8"/>
    <sheet name="מספר שעות הפעלה 30% -3%" sheetId="13" state="hidden" r:id="rId9"/>
    <sheet name="מחירי דלקים " sheetId="8" r:id="rId10"/>
    <sheet name="חישוב עלותשימור חם" sheetId="28" r:id="rId11"/>
    <sheet name="נייר עבודה לשימור חם" sheetId="27" r:id="rId12"/>
    <sheet name=" חלופה 1 20% מתחדש -תמג 3 " sheetId="9" r:id="rId13"/>
    <sheet name=" חלופה 2 20% תמג 3" sheetId="19" r:id="rId14"/>
    <sheet name="תרחיש הפעלה 3% 20% ללא צמצום פח" sheetId="21" state="hidden" r:id="rId15"/>
    <sheet name="מספר התנעות" sheetId="20" state="hidden" r:id="rId16"/>
    <sheet name="פלט שנתי לאחר תיקון אגירה" sheetId="10" r:id="rId17"/>
    <sheet name=" חלופה 1 20% מתחדש -תמג3 מס פחמ" sheetId="24" r:id="rId18"/>
    <sheet name="חלופה 2 עם מס פחמן" sheetId="26" r:id="rId19"/>
    <sheet name="גיליון2" sheetId="25" r:id="rId20"/>
    <sheet name="פלט חודשי" sheetId="18" state="hidden" r:id="rId21"/>
  </sheets>
  <externalReferences>
    <externalReference r:id="rId22"/>
    <externalReference r:id="rId23"/>
    <externalReference r:id="rId24"/>
    <externalReference r:id="rId25"/>
    <externalReference r:id="rId26"/>
    <externalReference r:id="rId27"/>
  </externalReferenc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2" i="22" l="1"/>
  <c r="E13" i="23"/>
  <c r="E15" i="23"/>
  <c r="E16" i="23"/>
  <c r="E17" i="23"/>
  <c r="E11" i="23"/>
  <c r="E9" i="23"/>
  <c r="E8" i="23"/>
  <c r="E7" i="23"/>
  <c r="E5" i="23"/>
  <c r="D9" i="23"/>
  <c r="F65" i="22"/>
  <c r="H65" i="22"/>
  <c r="I65" i="22"/>
  <c r="D7" i="23" l="1"/>
  <c r="F17" i="22"/>
  <c r="J18" i="29"/>
  <c r="H11" i="29"/>
  <c r="H13" i="29"/>
  <c r="M22" i="22"/>
  <c r="M23" i="22"/>
  <c r="M21" i="22"/>
  <c r="M24" i="22"/>
  <c r="F18" i="22"/>
  <c r="H18" i="29"/>
  <c r="H10" i="29"/>
  <c r="H12" i="29" s="1"/>
  <c r="N7" i="29"/>
  <c r="J6" i="29"/>
  <c r="K6" i="29" s="1"/>
  <c r="K5" i="29"/>
  <c r="J5" i="29"/>
  <c r="N4" i="29"/>
  <c r="J4" i="29"/>
  <c r="J10" i="29" s="1"/>
  <c r="V3" i="29"/>
  <c r="Q3" i="29"/>
  <c r="I3" i="29" s="1"/>
  <c r="K3" i="29"/>
  <c r="H3" i="29"/>
  <c r="J12" i="29" l="1"/>
  <c r="C11" i="29"/>
  <c r="C4" i="29"/>
  <c r="C3" i="29"/>
  <c r="C12" i="29"/>
  <c r="C9" i="29"/>
  <c r="C8" i="29"/>
  <c r="C7" i="29"/>
  <c r="C10" i="29"/>
  <c r="C6" i="29"/>
  <c r="C5" i="29"/>
  <c r="N8" i="29"/>
  <c r="K4" i="29"/>
  <c r="K10" i="29" s="1"/>
  <c r="K12" i="29" l="1"/>
  <c r="J11" i="29"/>
  <c r="J13" i="29" s="1"/>
  <c r="D9" i="29"/>
  <c r="D8" i="29"/>
  <c r="D7" i="29"/>
  <c r="D4" i="29"/>
  <c r="D3" i="29"/>
  <c r="D12" i="29"/>
  <c r="D10" i="29"/>
  <c r="D6" i="29"/>
  <c r="D5" i="29"/>
  <c r="D11" i="29"/>
  <c r="E10" i="29" l="1"/>
  <c r="E6" i="29"/>
  <c r="E3" i="29"/>
  <c r="E12" i="29"/>
  <c r="E5" i="29"/>
  <c r="E11" i="29"/>
  <c r="E9" i="29"/>
  <c r="E8" i="29"/>
  <c r="E4" i="29"/>
  <c r="E7" i="29"/>
  <c r="E62" i="22" l="1"/>
  <c r="E7" i="28" l="1"/>
  <c r="F33" i="19" l="1"/>
  <c r="M4" i="28"/>
  <c r="K29" i="27"/>
  <c r="K24" i="27" l="1"/>
  <c r="P9" i="28"/>
  <c r="P8" i="28"/>
  <c r="O9" i="28"/>
  <c r="N9" i="28"/>
  <c r="O8" i="28"/>
  <c r="F3" i="28" s="1"/>
  <c r="N8" i="28"/>
  <c r="E18" i="28" l="1"/>
  <c r="E17" i="28"/>
  <c r="D4" i="28"/>
  <c r="E4" i="28"/>
  <c r="H44" i="9"/>
  <c r="J6" i="27"/>
  <c r="R50" i="27"/>
  <c r="R49" i="27"/>
  <c r="R48" i="27"/>
  <c r="R44" i="27"/>
  <c r="R43" i="27"/>
  <c r="R42" i="27"/>
  <c r="T33" i="27"/>
  <c r="R33" i="27"/>
  <c r="O33" i="27"/>
  <c r="R32" i="27"/>
  <c r="R31" i="27"/>
  <c r="O31" i="27"/>
  <c r="N31" i="27"/>
  <c r="N32" i="27" s="1"/>
  <c r="T30" i="27"/>
  <c r="R30" i="27"/>
  <c r="O30" i="27"/>
  <c r="N30" i="27"/>
  <c r="P30" i="27" s="1"/>
  <c r="U30" i="27" s="1"/>
  <c r="R29" i="27"/>
  <c r="S29" i="27" s="1"/>
  <c r="Q29" i="27"/>
  <c r="Q30" i="27" s="1"/>
  <c r="N29" i="27"/>
  <c r="R28" i="27"/>
  <c r="S28" i="27" s="1"/>
  <c r="O28" i="27"/>
  <c r="P28" i="27" s="1"/>
  <c r="U28" i="27" s="1"/>
  <c r="T27" i="27"/>
  <c r="R27" i="27"/>
  <c r="S27" i="27" s="1"/>
  <c r="O27" i="27"/>
  <c r="P27" i="27" s="1"/>
  <c r="U27" i="27" s="1"/>
  <c r="R26" i="27"/>
  <c r="S26" i="27" s="1"/>
  <c r="O26" i="27"/>
  <c r="P26" i="27" s="1"/>
  <c r="U26" i="27" s="1"/>
  <c r="T25" i="27"/>
  <c r="R25" i="27"/>
  <c r="S25" i="27" s="1"/>
  <c r="O25" i="27"/>
  <c r="P25" i="27" s="1"/>
  <c r="U25" i="27" s="1"/>
  <c r="R24" i="27"/>
  <c r="S24" i="27" s="1"/>
  <c r="P24" i="27"/>
  <c r="U24" i="27" s="1"/>
  <c r="O24" i="27"/>
  <c r="T24" i="27" s="1"/>
  <c r="R23" i="27"/>
  <c r="S23" i="27" s="1"/>
  <c r="O23" i="27"/>
  <c r="P23" i="27" s="1"/>
  <c r="U23" i="27" s="1"/>
  <c r="S22" i="27"/>
  <c r="R22" i="27"/>
  <c r="O22" i="27"/>
  <c r="P22" i="27" s="1"/>
  <c r="U22" i="27" s="1"/>
  <c r="M18" i="27"/>
  <c r="M17" i="27"/>
  <c r="O16" i="27"/>
  <c r="O32" i="27" s="1"/>
  <c r="T32" i="27" s="1"/>
  <c r="M16" i="27"/>
  <c r="T22" i="27" s="1"/>
  <c r="K14" i="27"/>
  <c r="S10" i="27"/>
  <c r="R10" i="27"/>
  <c r="H10" i="27"/>
  <c r="I10" i="27" s="1"/>
  <c r="R9" i="27"/>
  <c r="S9" i="27" s="1"/>
  <c r="H9" i="27"/>
  <c r="I9" i="27" s="1"/>
  <c r="L9" i="27" s="1"/>
  <c r="H8" i="27"/>
  <c r="R6" i="27"/>
  <c r="Q6" i="27"/>
  <c r="M11" i="27" s="1"/>
  <c r="H17" i="27" s="1"/>
  <c r="M5" i="27"/>
  <c r="L4" i="27"/>
  <c r="I4" i="27"/>
  <c r="J3" i="27"/>
  <c r="H3" i="27"/>
  <c r="K6" i="27" l="1"/>
  <c r="H5" i="28"/>
  <c r="D7" i="28" s="1"/>
  <c r="G7" i="28" s="1"/>
  <c r="S53" i="27"/>
  <c r="I3" i="27"/>
  <c r="D3" i="28"/>
  <c r="E3" i="28" s="1"/>
  <c r="K3" i="27"/>
  <c r="G4" i="28"/>
  <c r="G3" i="28"/>
  <c r="G5" i="28" s="1"/>
  <c r="J9" i="27"/>
  <c r="K9" i="27" s="1"/>
  <c r="S48" i="27"/>
  <c r="S42" i="27"/>
  <c r="S50" i="27"/>
  <c r="S44" i="27"/>
  <c r="S49" i="27"/>
  <c r="S43" i="27"/>
  <c r="L10" i="27"/>
  <c r="L11" i="27" s="1"/>
  <c r="S30" i="27"/>
  <c r="Q50" i="27" s="1"/>
  <c r="Q31" i="27"/>
  <c r="U53" i="27"/>
  <c r="U47" i="27"/>
  <c r="T53" i="27"/>
  <c r="T47" i="27"/>
  <c r="U52" i="27"/>
  <c r="U46" i="27"/>
  <c r="T52" i="27"/>
  <c r="T46" i="27"/>
  <c r="U49" i="27"/>
  <c r="T49" i="27"/>
  <c r="U48" i="27"/>
  <c r="T48" i="27"/>
  <c r="U51" i="27"/>
  <c r="U45" i="27"/>
  <c r="J4" i="27"/>
  <c r="F4" i="28" s="1"/>
  <c r="U43" i="27"/>
  <c r="T43" i="27"/>
  <c r="U42" i="27"/>
  <c r="T51" i="27"/>
  <c r="T45" i="27"/>
  <c r="U50" i="27"/>
  <c r="U44" i="27"/>
  <c r="T50" i="27"/>
  <c r="T44" i="27"/>
  <c r="T42" i="27"/>
  <c r="P32" i="27"/>
  <c r="U32" i="27" s="1"/>
  <c r="N33" i="27"/>
  <c r="P33" i="27" s="1"/>
  <c r="U33" i="27" s="1"/>
  <c r="N50" i="27"/>
  <c r="P49" i="27"/>
  <c r="N44" i="27"/>
  <c r="P43" i="27"/>
  <c r="N49" i="27"/>
  <c r="P48" i="27"/>
  <c r="N43" i="27"/>
  <c r="P42" i="27"/>
  <c r="P45" i="27"/>
  <c r="N51" i="27"/>
  <c r="P44" i="27"/>
  <c r="N53" i="27"/>
  <c r="P46" i="27"/>
  <c r="N52" i="27"/>
  <c r="N46" i="27"/>
  <c r="L3" i="27"/>
  <c r="L5" i="27" s="1"/>
  <c r="P50" i="27"/>
  <c r="N48" i="27"/>
  <c r="P47" i="27"/>
  <c r="N42" i="27"/>
  <c r="N47" i="27"/>
  <c r="N45" i="27"/>
  <c r="O50" i="27"/>
  <c r="Q49" i="27"/>
  <c r="O44" i="27"/>
  <c r="Q43" i="27"/>
  <c r="O49" i="27"/>
  <c r="Q48" i="27"/>
  <c r="O43" i="27"/>
  <c r="Q42" i="27"/>
  <c r="O51" i="27"/>
  <c r="O45" i="27"/>
  <c r="O48" i="27"/>
  <c r="Q47" i="27"/>
  <c r="O42" i="27"/>
  <c r="Q46" i="27"/>
  <c r="O52" i="27"/>
  <c r="Q45" i="27"/>
  <c r="Q44" i="27"/>
  <c r="O53" i="27"/>
  <c r="O47" i="27"/>
  <c r="O46" i="27"/>
  <c r="R45" i="27"/>
  <c r="H16" i="27"/>
  <c r="S45" i="27"/>
  <c r="S51" i="27"/>
  <c r="T23" i="27"/>
  <c r="T26" i="27"/>
  <c r="T28" i="27"/>
  <c r="T31" i="27"/>
  <c r="R46" i="27"/>
  <c r="R52" i="27"/>
  <c r="P31" i="27"/>
  <c r="U31" i="27" s="1"/>
  <c r="R51" i="27"/>
  <c r="S46" i="27"/>
  <c r="S52" i="27"/>
  <c r="R47" i="27"/>
  <c r="R53" i="27"/>
  <c r="O29" i="27"/>
  <c r="S47" i="27"/>
  <c r="G10" i="28" l="1"/>
  <c r="Q32" i="27"/>
  <c r="S31" i="27"/>
  <c r="T29" i="27"/>
  <c r="H49" i="27" s="1"/>
  <c r="E21" i="27" s="1"/>
  <c r="P29" i="27"/>
  <c r="U29" i="27" s="1"/>
  <c r="L49" i="27" s="1"/>
  <c r="C9" i="27" s="1"/>
  <c r="I53" i="27"/>
  <c r="E13" i="27" s="1"/>
  <c r="K52" i="27"/>
  <c r="D24" i="27" s="1"/>
  <c r="M51" i="27"/>
  <c r="I47" i="27"/>
  <c r="E7" i="27" s="1"/>
  <c r="K46" i="27"/>
  <c r="M45" i="27"/>
  <c r="H53" i="27"/>
  <c r="E25" i="27" s="1"/>
  <c r="J52" i="27"/>
  <c r="L51" i="27"/>
  <c r="H47" i="27"/>
  <c r="E19" i="27" s="1"/>
  <c r="J46" i="27"/>
  <c r="C18" i="27" s="1"/>
  <c r="L45" i="27"/>
  <c r="C5" i="27" s="1"/>
  <c r="I52" i="27"/>
  <c r="E12" i="27" s="1"/>
  <c r="K51" i="27"/>
  <c r="D23" i="27" s="1"/>
  <c r="M50" i="27"/>
  <c r="D10" i="27" s="1"/>
  <c r="I46" i="27"/>
  <c r="E6" i="27" s="1"/>
  <c r="K45" i="27"/>
  <c r="M44" i="27"/>
  <c r="H52" i="27"/>
  <c r="E24" i="27" s="1"/>
  <c r="J51" i="27"/>
  <c r="C23" i="27" s="1"/>
  <c r="L50" i="27"/>
  <c r="H46" i="27"/>
  <c r="E18" i="27" s="1"/>
  <c r="J45" i="27"/>
  <c r="L44" i="27"/>
  <c r="C4" i="27" s="1"/>
  <c r="J48" i="27"/>
  <c r="C20" i="27" s="1"/>
  <c r="H43" i="27"/>
  <c r="I42" i="27"/>
  <c r="L52" i="27"/>
  <c r="J47" i="27"/>
  <c r="H42" i="27"/>
  <c r="I51" i="27"/>
  <c r="E11" i="27" s="1"/>
  <c r="K50" i="27"/>
  <c r="D22" i="27" s="1"/>
  <c r="I45" i="27"/>
  <c r="E5" i="27" s="1"/>
  <c r="K44" i="27"/>
  <c r="M43" i="27"/>
  <c r="I50" i="27"/>
  <c r="E10" i="27" s="1"/>
  <c r="M48" i="27"/>
  <c r="I44" i="27"/>
  <c r="E4" i="27" s="1"/>
  <c r="M42" i="27"/>
  <c r="H50" i="27"/>
  <c r="E22" i="27" s="1"/>
  <c r="L48" i="27"/>
  <c r="H44" i="27"/>
  <c r="E16" i="27" s="1"/>
  <c r="L42" i="27"/>
  <c r="M53" i="27"/>
  <c r="K48" i="27"/>
  <c r="D20" i="27" s="1"/>
  <c r="M47" i="27"/>
  <c r="D7" i="27" s="1"/>
  <c r="I43" i="27"/>
  <c r="J42" i="27"/>
  <c r="M52" i="27"/>
  <c r="K47" i="27"/>
  <c r="H51" i="27"/>
  <c r="E23" i="27" s="1"/>
  <c r="J50" i="27"/>
  <c r="C22" i="27" s="1"/>
  <c r="H45" i="27"/>
  <c r="E17" i="27" s="1"/>
  <c r="J44" i="27"/>
  <c r="L43" i="27"/>
  <c r="K43" i="27"/>
  <c r="J43" i="27"/>
  <c r="K42" i="27"/>
  <c r="L53" i="27"/>
  <c r="L47" i="27"/>
  <c r="C7" i="27" s="1"/>
  <c r="K53" i="27"/>
  <c r="D25" i="27" s="1"/>
  <c r="I48" i="27"/>
  <c r="E8" i="27" s="1"/>
  <c r="M46" i="27"/>
  <c r="D6" i="27" s="1"/>
  <c r="J53" i="27"/>
  <c r="C25" i="27" s="1"/>
  <c r="H48" i="27"/>
  <c r="E20" i="27" s="1"/>
  <c r="L46" i="27"/>
  <c r="C6" i="27" s="1"/>
  <c r="C10" i="27"/>
  <c r="D8" i="27"/>
  <c r="C17" i="27"/>
  <c r="D4" i="27"/>
  <c r="C24" i="27"/>
  <c r="D16" i="27"/>
  <c r="C19" i="27"/>
  <c r="C8" i="27"/>
  <c r="C16" i="27"/>
  <c r="D18" i="27"/>
  <c r="D5" i="27"/>
  <c r="D17" i="27"/>
  <c r="D19" i="27"/>
  <c r="J10" i="27"/>
  <c r="K10" i="27" s="1"/>
  <c r="K11" i="27" s="1"/>
  <c r="K4" i="27"/>
  <c r="K5" i="27" s="1"/>
  <c r="K7" i="27" s="1"/>
  <c r="G18" i="28" l="1"/>
  <c r="G17" i="28"/>
  <c r="G19" i="28" s="1"/>
  <c r="J49" i="27"/>
  <c r="C21" i="27" s="1"/>
  <c r="I49" i="27"/>
  <c r="E9" i="27" s="1"/>
  <c r="Q33" i="27"/>
  <c r="S33" i="27" s="1"/>
  <c r="S32" i="27"/>
  <c r="K49" i="27"/>
  <c r="D21" i="27" s="1"/>
  <c r="M49" i="27"/>
  <c r="D9" i="27" s="1"/>
  <c r="Q51" i="27"/>
  <c r="D11" i="27" s="1"/>
  <c r="P51" i="27"/>
  <c r="C11" i="27" s="1"/>
  <c r="S8" i="22"/>
  <c r="E65" i="26"/>
  <c r="D65" i="26"/>
  <c r="C65" i="26"/>
  <c r="E35" i="26"/>
  <c r="G32" i="26"/>
  <c r="F32" i="26"/>
  <c r="E32" i="26"/>
  <c r="D32" i="26"/>
  <c r="C32" i="26"/>
  <c r="A32" i="26"/>
  <c r="G31" i="26"/>
  <c r="F31" i="26"/>
  <c r="E31" i="26"/>
  <c r="D31" i="26"/>
  <c r="C31" i="26"/>
  <c r="A31" i="26"/>
  <c r="G30" i="26"/>
  <c r="F30" i="26"/>
  <c r="E30" i="26"/>
  <c r="D30" i="26"/>
  <c r="C30" i="26"/>
  <c r="A30" i="26"/>
  <c r="G29" i="26"/>
  <c r="F29" i="26"/>
  <c r="E29" i="26"/>
  <c r="D29" i="26"/>
  <c r="C29" i="26"/>
  <c r="A29" i="26"/>
  <c r="L28" i="26"/>
  <c r="G28" i="26"/>
  <c r="F28" i="26"/>
  <c r="M28" i="26" s="1"/>
  <c r="E28" i="26"/>
  <c r="D28" i="26"/>
  <c r="C28" i="26"/>
  <c r="A28" i="26"/>
  <c r="L27" i="26"/>
  <c r="G27" i="26"/>
  <c r="F27" i="26"/>
  <c r="M27" i="26" s="1"/>
  <c r="E27" i="26"/>
  <c r="D27" i="26"/>
  <c r="C27" i="26"/>
  <c r="A27" i="26"/>
  <c r="L26" i="26"/>
  <c r="G26" i="26"/>
  <c r="G33" i="26" s="1"/>
  <c r="F26" i="26"/>
  <c r="F33" i="26" s="1"/>
  <c r="E26" i="26"/>
  <c r="E33" i="26" s="1"/>
  <c r="D26" i="26"/>
  <c r="D33" i="26" s="1"/>
  <c r="C26" i="26"/>
  <c r="C33" i="26" s="1"/>
  <c r="A26" i="26"/>
  <c r="B24" i="26"/>
  <c r="E17" i="26"/>
  <c r="E18" i="26" s="1"/>
  <c r="E15" i="26"/>
  <c r="L14" i="26"/>
  <c r="L32" i="26" s="1"/>
  <c r="G14" i="26"/>
  <c r="F14" i="26"/>
  <c r="M14" i="26" s="1"/>
  <c r="D14" i="26"/>
  <c r="C14" i="26"/>
  <c r="A14" i="26"/>
  <c r="L13" i="26"/>
  <c r="G13" i="26"/>
  <c r="F13" i="26"/>
  <c r="D13" i="26"/>
  <c r="C13" i="26"/>
  <c r="A13" i="26"/>
  <c r="L12" i="26"/>
  <c r="G12" i="26"/>
  <c r="F12" i="26"/>
  <c r="M12" i="26" s="1"/>
  <c r="D12" i="26"/>
  <c r="C12" i="26"/>
  <c r="A12" i="26"/>
  <c r="L11" i="26"/>
  <c r="G11" i="26"/>
  <c r="F11" i="26"/>
  <c r="M11" i="26" s="1"/>
  <c r="D11" i="26"/>
  <c r="C11" i="26"/>
  <c r="A11" i="26"/>
  <c r="L10" i="26"/>
  <c r="G10" i="26"/>
  <c r="F10" i="26"/>
  <c r="M10" i="26" s="1"/>
  <c r="D10" i="26"/>
  <c r="C10" i="26"/>
  <c r="A10" i="26"/>
  <c r="L9" i="26"/>
  <c r="G9" i="26"/>
  <c r="F9" i="26"/>
  <c r="D9" i="26"/>
  <c r="C9" i="26"/>
  <c r="A9" i="26"/>
  <c r="L8" i="26"/>
  <c r="G8" i="26"/>
  <c r="F8" i="26"/>
  <c r="F15" i="26" s="1"/>
  <c r="D8" i="26"/>
  <c r="D15" i="26" s="1"/>
  <c r="C8" i="26"/>
  <c r="A8" i="26"/>
  <c r="B4" i="26"/>
  <c r="P52" i="27" l="1"/>
  <c r="C12" i="27" s="1"/>
  <c r="Q52" i="27"/>
  <c r="D12" i="27" s="1"/>
  <c r="P53" i="27"/>
  <c r="C13" i="27" s="1"/>
  <c r="Q53" i="27"/>
  <c r="D13" i="27" s="1"/>
  <c r="M8" i="26"/>
  <c r="M9" i="26"/>
  <c r="L30" i="26"/>
  <c r="M30" i="26" s="1"/>
  <c r="M32" i="26"/>
  <c r="M13" i="26"/>
  <c r="L31" i="26"/>
  <c r="G15" i="26"/>
  <c r="M29" i="26"/>
  <c r="C15" i="26"/>
  <c r="L29" i="26"/>
  <c r="M26" i="26"/>
  <c r="C15" i="24"/>
  <c r="I51" i="24"/>
  <c r="I53" i="24" s="1"/>
  <c r="O50" i="24"/>
  <c r="E41" i="24"/>
  <c r="G38" i="24"/>
  <c r="F38" i="24"/>
  <c r="E38" i="24"/>
  <c r="D38" i="24"/>
  <c r="C38" i="24"/>
  <c r="A38" i="24"/>
  <c r="G37" i="24"/>
  <c r="F37" i="24"/>
  <c r="E37" i="24"/>
  <c r="E39" i="24" s="1"/>
  <c r="D37" i="24"/>
  <c r="C37" i="24"/>
  <c r="A37" i="24"/>
  <c r="G36" i="24"/>
  <c r="F36" i="24"/>
  <c r="E36" i="24"/>
  <c r="D36" i="24"/>
  <c r="C36" i="24"/>
  <c r="A36" i="24"/>
  <c r="G35" i="24"/>
  <c r="F35" i="24"/>
  <c r="E35" i="24"/>
  <c r="D35" i="24"/>
  <c r="C35" i="24"/>
  <c r="A35" i="24"/>
  <c r="G34" i="24"/>
  <c r="F34" i="24"/>
  <c r="E34" i="24"/>
  <c r="D34" i="24"/>
  <c r="C34" i="24"/>
  <c r="A34" i="24"/>
  <c r="L33" i="24"/>
  <c r="G33" i="24"/>
  <c r="F33" i="24"/>
  <c r="E33" i="24"/>
  <c r="D33" i="24"/>
  <c r="C33" i="24"/>
  <c r="A33" i="24"/>
  <c r="G32" i="24"/>
  <c r="F32" i="24"/>
  <c r="E32" i="24"/>
  <c r="D32" i="24"/>
  <c r="D39" i="24" s="1"/>
  <c r="C32" i="24"/>
  <c r="A32" i="24"/>
  <c r="B30" i="24"/>
  <c r="E17" i="24"/>
  <c r="E18" i="24" s="1"/>
  <c r="E15" i="24"/>
  <c r="L14" i="24"/>
  <c r="L38" i="24" s="1"/>
  <c r="G14" i="24"/>
  <c r="F14" i="24"/>
  <c r="M14" i="24" s="1"/>
  <c r="D14" i="24"/>
  <c r="C14" i="24"/>
  <c r="A14" i="24"/>
  <c r="L13" i="24"/>
  <c r="M13" i="24" s="1"/>
  <c r="G13" i="24"/>
  <c r="F13" i="24"/>
  <c r="D13" i="24"/>
  <c r="C13" i="24"/>
  <c r="A13" i="24"/>
  <c r="L12" i="24"/>
  <c r="L36" i="24" s="1"/>
  <c r="G12" i="24"/>
  <c r="F12" i="24"/>
  <c r="D12" i="24"/>
  <c r="C12" i="24"/>
  <c r="A12" i="24"/>
  <c r="L11" i="24"/>
  <c r="G11" i="24"/>
  <c r="F11" i="24"/>
  <c r="D11" i="24"/>
  <c r="C11" i="24"/>
  <c r="A11" i="24"/>
  <c r="L10" i="24"/>
  <c r="L34" i="24" s="1"/>
  <c r="G10" i="24"/>
  <c r="F10" i="24"/>
  <c r="D10" i="24"/>
  <c r="C10" i="24"/>
  <c r="A10" i="24"/>
  <c r="M9" i="24"/>
  <c r="L9" i="24"/>
  <c r="G9" i="24"/>
  <c r="F9" i="24"/>
  <c r="D9" i="24"/>
  <c r="C9" i="24"/>
  <c r="A9" i="24"/>
  <c r="L8" i="24"/>
  <c r="L32" i="24" s="1"/>
  <c r="G8" i="24"/>
  <c r="F8" i="24"/>
  <c r="F15" i="24" s="1"/>
  <c r="D8" i="24"/>
  <c r="C8" i="24"/>
  <c r="A8" i="24"/>
  <c r="B4" i="24"/>
  <c r="L37" i="24" l="1"/>
  <c r="M37" i="24" s="1"/>
  <c r="M12" i="24"/>
  <c r="F39" i="24"/>
  <c r="M32" i="24"/>
  <c r="G39" i="24"/>
  <c r="G15" i="24"/>
  <c r="M10" i="24"/>
  <c r="M8" i="24"/>
  <c r="M31" i="26"/>
  <c r="M11" i="24"/>
  <c r="D15" i="24"/>
  <c r="M33" i="24"/>
  <c r="L35" i="24"/>
  <c r="C39" i="24"/>
  <c r="M34" i="24"/>
  <c r="M36" i="24"/>
  <c r="M38" i="24"/>
  <c r="E100" i="11"/>
  <c r="E101" i="11" s="1"/>
  <c r="E102" i="11" s="1"/>
  <c r="B138" i="22"/>
  <c r="B139" i="22" s="1"/>
  <c r="B140" i="22" s="1"/>
  <c r="B141" i="22" s="1"/>
  <c r="B142" i="22" s="1"/>
  <c r="B143" i="22" s="1"/>
  <c r="B144" i="22" s="1"/>
  <c r="B145" i="22" s="1"/>
  <c r="B146" i="22" s="1"/>
  <c r="B147" i="22" s="1"/>
  <c r="B148" i="22" s="1"/>
  <c r="B149" i="22" s="1"/>
  <c r="B150" i="22" s="1"/>
  <c r="B151" i="22" s="1"/>
  <c r="B117" i="22"/>
  <c r="B118" i="22" s="1"/>
  <c r="B119" i="22" s="1"/>
  <c r="B120" i="22" s="1"/>
  <c r="B121" i="22" s="1"/>
  <c r="B122" i="22" s="1"/>
  <c r="B123" i="22" s="1"/>
  <c r="B124" i="22" s="1"/>
  <c r="B125" i="22" s="1"/>
  <c r="B126" i="22" s="1"/>
  <c r="B127" i="22" s="1"/>
  <c r="B128" i="22" s="1"/>
  <c r="B129" i="22" s="1"/>
  <c r="B130" i="22" s="1"/>
  <c r="B98" i="22"/>
  <c r="B99" i="22" s="1"/>
  <c r="B100" i="22" s="1"/>
  <c r="B101" i="22" s="1"/>
  <c r="B102" i="22" s="1"/>
  <c r="B103" i="22" s="1"/>
  <c r="B104" i="22" s="1"/>
  <c r="B105" i="22" s="1"/>
  <c r="B106" i="22" s="1"/>
  <c r="B107" i="22" s="1"/>
  <c r="B108" i="22" s="1"/>
  <c r="B109" i="22" s="1"/>
  <c r="B110" i="22" s="1"/>
  <c r="B97" i="22"/>
  <c r="M35" i="24" l="1"/>
  <c r="E22" i="8" l="1"/>
  <c r="F22" i="8" s="1"/>
  <c r="D22" i="8"/>
  <c r="W15" i="22"/>
  <c r="V15" i="22"/>
  <c r="T15" i="22"/>
  <c r="U14" i="22"/>
  <c r="X14" i="22" s="1"/>
  <c r="S13" i="22"/>
  <c r="S15" i="22" s="1"/>
  <c r="U15" i="22" s="1"/>
  <c r="X15" i="22" l="1"/>
  <c r="U13" i="22"/>
  <c r="AS10" i="10" l="1"/>
  <c r="AT32" i="10"/>
  <c r="AS32" i="10"/>
  <c r="AR32" i="10"/>
  <c r="AQ32" i="10"/>
  <c r="AP32" i="10"/>
  <c r="AQ42" i="10"/>
  <c r="AR42" i="10"/>
  <c r="AS42" i="10"/>
  <c r="AT42" i="10"/>
  <c r="AP42" i="10"/>
  <c r="AQ21" i="10"/>
  <c r="AR21" i="10"/>
  <c r="AS21" i="10"/>
  <c r="AT21" i="10"/>
  <c r="AP21" i="10"/>
  <c r="AQ10" i="10"/>
  <c r="AR10" i="10"/>
  <c r="AT10" i="10"/>
  <c r="AP10" i="10"/>
  <c r="H67" i="11" l="1"/>
  <c r="F54" i="11"/>
  <c r="F55" i="11"/>
  <c r="F56" i="11"/>
  <c r="F57" i="11"/>
  <c r="F58" i="11"/>
  <c r="F59" i="11"/>
  <c r="F53" i="11"/>
  <c r="D54" i="11"/>
  <c r="D55" i="11" s="1"/>
  <c r="D56" i="11" s="1"/>
  <c r="D57" i="11" s="1"/>
  <c r="D58" i="11" s="1"/>
  <c r="D59" i="11" s="1"/>
  <c r="F61" i="11" l="1"/>
  <c r="F41" i="11" l="1"/>
  <c r="F42" i="11"/>
  <c r="F43" i="11"/>
  <c r="F44" i="11"/>
  <c r="F45" i="11"/>
  <c r="F46" i="11"/>
  <c r="F40" i="11"/>
  <c r="C27" i="19"/>
  <c r="D27" i="19"/>
  <c r="E27" i="19"/>
  <c r="F27" i="19"/>
  <c r="G27" i="19"/>
  <c r="C28" i="19"/>
  <c r="D28" i="19"/>
  <c r="E28" i="19"/>
  <c r="F28" i="19"/>
  <c r="G28" i="19"/>
  <c r="C29" i="19"/>
  <c r="D29" i="19"/>
  <c r="E29" i="19"/>
  <c r="F29" i="19"/>
  <c r="G29" i="19"/>
  <c r="C30" i="19"/>
  <c r="D30" i="19"/>
  <c r="E30" i="19"/>
  <c r="F30" i="19"/>
  <c r="G30" i="19"/>
  <c r="C31" i="19"/>
  <c r="D31" i="19"/>
  <c r="E31" i="19"/>
  <c r="F31" i="19"/>
  <c r="G31" i="19"/>
  <c r="C32" i="19"/>
  <c r="D32" i="19"/>
  <c r="E32" i="19"/>
  <c r="F32" i="19"/>
  <c r="G32" i="19"/>
  <c r="D26" i="19"/>
  <c r="E26" i="19"/>
  <c r="F26" i="19"/>
  <c r="G26" i="19"/>
  <c r="C26" i="19"/>
  <c r="E11" i="22"/>
  <c r="E10" i="22"/>
  <c r="C33" i="9"/>
  <c r="D33" i="9"/>
  <c r="E33" i="9"/>
  <c r="F33" i="9"/>
  <c r="G33" i="9"/>
  <c r="C34" i="9"/>
  <c r="D34" i="9"/>
  <c r="E34" i="9"/>
  <c r="F34" i="9"/>
  <c r="G34" i="9"/>
  <c r="C35" i="9"/>
  <c r="D35" i="9"/>
  <c r="E35" i="9"/>
  <c r="F35" i="9"/>
  <c r="G35" i="9"/>
  <c r="C36" i="9"/>
  <c r="D36" i="9"/>
  <c r="E36" i="9"/>
  <c r="F36" i="9"/>
  <c r="G36" i="9"/>
  <c r="C37" i="9"/>
  <c r="D37" i="9"/>
  <c r="E37" i="9"/>
  <c r="F37" i="9"/>
  <c r="G37" i="9"/>
  <c r="C38" i="9"/>
  <c r="D38" i="9"/>
  <c r="E38" i="9"/>
  <c r="F38" i="9"/>
  <c r="G38" i="9"/>
  <c r="D32" i="9"/>
  <c r="E32" i="9"/>
  <c r="F32" i="9"/>
  <c r="G32" i="9"/>
  <c r="C32" i="9"/>
  <c r="F29" i="11"/>
  <c r="F30" i="11"/>
  <c r="F31" i="11"/>
  <c r="F32" i="11"/>
  <c r="F33" i="11"/>
  <c r="F34" i="11"/>
  <c r="F28" i="11"/>
  <c r="E12" i="22"/>
  <c r="A32" i="19"/>
  <c r="A31" i="19"/>
  <c r="A30" i="19"/>
  <c r="A29" i="19"/>
  <c r="A28" i="19"/>
  <c r="A27" i="19"/>
  <c r="A26" i="19"/>
  <c r="A14" i="19"/>
  <c r="A13" i="19"/>
  <c r="A12" i="19"/>
  <c r="A11" i="19"/>
  <c r="A10" i="19"/>
  <c r="A9" i="19"/>
  <c r="A8" i="19"/>
  <c r="A14" i="9"/>
  <c r="A13" i="9"/>
  <c r="A12" i="9"/>
  <c r="A11" i="9"/>
  <c r="A10" i="9"/>
  <c r="A9" i="9"/>
  <c r="A8" i="9"/>
  <c r="A33" i="9"/>
  <c r="H5" i="22" s="1"/>
  <c r="A34" i="9"/>
  <c r="A63" i="22" s="1"/>
  <c r="A74" i="22" s="1"/>
  <c r="A86" i="22" s="1"/>
  <c r="A35" i="9"/>
  <c r="J11" i="22" s="1"/>
  <c r="A36" i="9"/>
  <c r="J12" i="22" s="1"/>
  <c r="A37" i="9"/>
  <c r="A66" i="22" s="1"/>
  <c r="A77" i="22" s="1"/>
  <c r="A89" i="22" s="1"/>
  <c r="A38" i="9"/>
  <c r="A67" i="22" s="1"/>
  <c r="A32" i="9"/>
  <c r="H4" i="22" s="1"/>
  <c r="A78" i="22" l="1"/>
  <c r="A96" i="22"/>
  <c r="H12" i="22"/>
  <c r="A61" i="22"/>
  <c r="A72" i="22" s="1"/>
  <c r="A84" i="22" s="1"/>
  <c r="A64" i="22"/>
  <c r="A75" i="22" s="1"/>
  <c r="A87" i="22" s="1"/>
  <c r="H7" i="22"/>
  <c r="H10" i="22"/>
  <c r="H11" i="22"/>
  <c r="H6" i="22"/>
  <c r="A62" i="22"/>
  <c r="A73" i="22" s="1"/>
  <c r="A85" i="22" s="1"/>
  <c r="J10" i="22"/>
  <c r="A65" i="22"/>
  <c r="A76" i="22" s="1"/>
  <c r="A88" i="22" s="1"/>
  <c r="A90" i="22" l="1"/>
  <c r="A137" i="22" s="1"/>
  <c r="A138" i="22" s="1"/>
  <c r="A139" i="22" s="1"/>
  <c r="A140" i="22" s="1"/>
  <c r="A141" i="22" s="1"/>
  <c r="A142" i="22" s="1"/>
  <c r="A143" i="22" s="1"/>
  <c r="A144" i="22" s="1"/>
  <c r="A145" i="22" s="1"/>
  <c r="A146" i="22" s="1"/>
  <c r="A147" i="22" s="1"/>
  <c r="A148" i="22" s="1"/>
  <c r="A149" i="22" s="1"/>
  <c r="A150" i="22" s="1"/>
  <c r="A151" i="22" s="1"/>
  <c r="A116" i="22"/>
  <c r="A117" i="22" s="1"/>
  <c r="A118" i="22" s="1"/>
  <c r="A119" i="22" s="1"/>
  <c r="A120" i="22" s="1"/>
  <c r="A121" i="22" s="1"/>
  <c r="A122" i="22" s="1"/>
  <c r="A123" i="22" s="1"/>
  <c r="A124" i="22" s="1"/>
  <c r="A125" i="22" s="1"/>
  <c r="A126" i="22" s="1"/>
  <c r="A127" i="22" s="1"/>
  <c r="A128" i="22" s="1"/>
  <c r="A129" i="22" s="1"/>
  <c r="A130" i="22" s="1"/>
  <c r="A97" i="22"/>
  <c r="A98" i="22" s="1"/>
  <c r="A99" i="22" s="1"/>
  <c r="A100" i="22" s="1"/>
  <c r="A101" i="22" s="1"/>
  <c r="A102" i="22" s="1"/>
  <c r="A103" i="22" s="1"/>
  <c r="A104" i="22" s="1"/>
  <c r="A105" i="22" s="1"/>
  <c r="A106" i="22" s="1"/>
  <c r="A107" i="22" s="1"/>
  <c r="A108" i="22" s="1"/>
  <c r="A109" i="22" s="1"/>
  <c r="A110" i="22" s="1"/>
  <c r="AI15" i="10"/>
  <c r="B11" i="23"/>
  <c r="L9" i="23" s="1"/>
  <c r="L5" i="23"/>
  <c r="F7" i="22"/>
  <c r="T9" i="22"/>
  <c r="T10" i="22" s="1"/>
  <c r="F3" i="22" s="1"/>
  <c r="W8" i="22"/>
  <c r="V8" i="22"/>
  <c r="V9" i="22" s="1"/>
  <c r="S9" i="22"/>
  <c r="S10" i="22" s="1"/>
  <c r="U7" i="22"/>
  <c r="X7" i="22" s="1"/>
  <c r="U6" i="22"/>
  <c r="X6" i="22" s="1"/>
  <c r="U5" i="22"/>
  <c r="X5" i="22" s="1"/>
  <c r="U4" i="22"/>
  <c r="X4" i="22" s="1"/>
  <c r="U3" i="22"/>
  <c r="X3" i="22" s="1"/>
  <c r="L8" i="23" l="1"/>
  <c r="D11" i="23"/>
  <c r="L10" i="23"/>
  <c r="U9" i="22"/>
  <c r="V10" i="22"/>
  <c r="F4" i="22" s="1"/>
  <c r="F8" i="22" s="1"/>
  <c r="W9" i="22"/>
  <c r="W10" i="22" s="1"/>
  <c r="F5" i="22" s="1"/>
  <c r="U8" i="22"/>
  <c r="X8" i="22" s="1"/>
  <c r="H8" i="22" l="1"/>
  <c r="I8" i="22" s="1"/>
  <c r="U10" i="22"/>
  <c r="F2" i="22"/>
  <c r="I8" i="11"/>
  <c r="I10" i="11" s="1"/>
  <c r="G67" i="11"/>
  <c r="F72" i="11" s="1"/>
  <c r="X9" i="22"/>
  <c r="X10" i="22"/>
  <c r="H90" i="22"/>
  <c r="H137" i="22" s="1"/>
  <c r="H138" i="22" s="1"/>
  <c r="H139" i="22" s="1"/>
  <c r="H140" i="22" s="1"/>
  <c r="H141" i="22" s="1"/>
  <c r="H142" i="22" s="1"/>
  <c r="H143" i="22" s="1"/>
  <c r="H144" i="22" s="1"/>
  <c r="H145" i="22" s="1"/>
  <c r="H146" i="22" s="1"/>
  <c r="H147" i="22" s="1"/>
  <c r="H148" i="22" s="1"/>
  <c r="H149" i="22" s="1"/>
  <c r="H150" i="22" s="1"/>
  <c r="H151" i="22" s="1"/>
  <c r="G90" i="22"/>
  <c r="G137" i="22" s="1"/>
  <c r="F90" i="22"/>
  <c r="F137" i="22" s="1"/>
  <c r="F138" i="22" s="1"/>
  <c r="F139" i="22" s="1"/>
  <c r="F140" i="22" s="1"/>
  <c r="F141" i="22" s="1"/>
  <c r="F142" i="22" s="1"/>
  <c r="F143" i="22" s="1"/>
  <c r="F144" i="22" s="1"/>
  <c r="F145" i="22" s="1"/>
  <c r="F146" i="22" s="1"/>
  <c r="F147" i="22" s="1"/>
  <c r="F148" i="22" s="1"/>
  <c r="F149" i="22" s="1"/>
  <c r="F150" i="22" s="1"/>
  <c r="F151" i="22" s="1"/>
  <c r="E90" i="22"/>
  <c r="E137" i="22" s="1"/>
  <c r="E138" i="22" s="1"/>
  <c r="E139" i="22" s="1"/>
  <c r="E140" i="22" s="1"/>
  <c r="E141" i="22" s="1"/>
  <c r="E142" i="22" s="1"/>
  <c r="E143" i="22" s="1"/>
  <c r="E144" i="22" s="1"/>
  <c r="E145" i="22" s="1"/>
  <c r="E146" i="22" s="1"/>
  <c r="E147" i="22" s="1"/>
  <c r="E148" i="22" s="1"/>
  <c r="E149" i="22" s="1"/>
  <c r="E150" i="22" s="1"/>
  <c r="E151" i="22" s="1"/>
  <c r="H89" i="22"/>
  <c r="G89" i="22"/>
  <c r="F89" i="22"/>
  <c r="E89" i="22"/>
  <c r="F88" i="22"/>
  <c r="E88" i="22"/>
  <c r="H78" i="22"/>
  <c r="H116" i="22" s="1"/>
  <c r="H117" i="22" s="1"/>
  <c r="H118" i="22" s="1"/>
  <c r="H119" i="22" s="1"/>
  <c r="H120" i="22" s="1"/>
  <c r="H121" i="22" s="1"/>
  <c r="H122" i="22" s="1"/>
  <c r="H123" i="22" s="1"/>
  <c r="H124" i="22" s="1"/>
  <c r="H125" i="22" s="1"/>
  <c r="H126" i="22" s="1"/>
  <c r="H127" i="22" s="1"/>
  <c r="H128" i="22" s="1"/>
  <c r="H129" i="22" s="1"/>
  <c r="H130" i="22" s="1"/>
  <c r="G78" i="22"/>
  <c r="G116" i="22" s="1"/>
  <c r="G117" i="22" s="1"/>
  <c r="G118" i="22" s="1"/>
  <c r="G119" i="22" s="1"/>
  <c r="G120" i="22" s="1"/>
  <c r="G121" i="22" s="1"/>
  <c r="G122" i="22" s="1"/>
  <c r="G123" i="22" s="1"/>
  <c r="G124" i="22" s="1"/>
  <c r="G125" i="22" s="1"/>
  <c r="G126" i="22" s="1"/>
  <c r="G127" i="22" s="1"/>
  <c r="G128" i="22" s="1"/>
  <c r="G129" i="22" s="1"/>
  <c r="G130" i="22" s="1"/>
  <c r="F78" i="22"/>
  <c r="F116" i="22" s="1"/>
  <c r="F117" i="22" s="1"/>
  <c r="F118" i="22" s="1"/>
  <c r="F119" i="22" s="1"/>
  <c r="F120" i="22" s="1"/>
  <c r="F121" i="22" s="1"/>
  <c r="F122" i="22" s="1"/>
  <c r="F123" i="22" s="1"/>
  <c r="F124" i="22" s="1"/>
  <c r="F125" i="22" s="1"/>
  <c r="F126" i="22" s="1"/>
  <c r="F127" i="22" s="1"/>
  <c r="F128" i="22" s="1"/>
  <c r="F129" i="22" s="1"/>
  <c r="F130" i="22" s="1"/>
  <c r="E78" i="22"/>
  <c r="E116" i="22" s="1"/>
  <c r="E117" i="22" s="1"/>
  <c r="E118" i="22" s="1"/>
  <c r="E119" i="22" s="1"/>
  <c r="E120" i="22" s="1"/>
  <c r="E121" i="22" s="1"/>
  <c r="E122" i="22" s="1"/>
  <c r="E123" i="22" s="1"/>
  <c r="E124" i="22" s="1"/>
  <c r="E125" i="22" s="1"/>
  <c r="E126" i="22" s="1"/>
  <c r="E127" i="22" s="1"/>
  <c r="E128" i="22" s="1"/>
  <c r="E129" i="22" s="1"/>
  <c r="E130" i="22" s="1"/>
  <c r="F77" i="22"/>
  <c r="E77" i="22"/>
  <c r="B85" i="22"/>
  <c r="B86" i="22" s="1"/>
  <c r="B87" i="22" s="1"/>
  <c r="B88" i="22" s="1"/>
  <c r="B89" i="22" s="1"/>
  <c r="B90" i="22" s="1"/>
  <c r="B73" i="22"/>
  <c r="B74" i="22" s="1"/>
  <c r="B75" i="22" s="1"/>
  <c r="B76" i="22" s="1"/>
  <c r="B77" i="22" s="1"/>
  <c r="B78" i="22" s="1"/>
  <c r="B62" i="22"/>
  <c r="B63" i="22" s="1"/>
  <c r="B64" i="22" s="1"/>
  <c r="B65" i="22" s="1"/>
  <c r="B66" i="22" s="1"/>
  <c r="B67" i="22" s="1"/>
  <c r="B49" i="22"/>
  <c r="B50" i="22" s="1"/>
  <c r="B51" i="22" s="1"/>
  <c r="B52" i="22" s="1"/>
  <c r="B53" i="22" s="1"/>
  <c r="B54" i="22" s="1"/>
  <c r="B37" i="22"/>
  <c r="B38" i="22" s="1"/>
  <c r="B39" i="22" s="1"/>
  <c r="B40" i="22" s="1"/>
  <c r="B41" i="22" s="1"/>
  <c r="B42" i="22" s="1"/>
  <c r="B26" i="22"/>
  <c r="B27" i="22" s="1"/>
  <c r="B28" i="22" s="1"/>
  <c r="B29" i="22" s="1"/>
  <c r="B30" i="22" s="1"/>
  <c r="B31" i="22" s="1"/>
  <c r="M10" i="22"/>
  <c r="M20" i="22"/>
  <c r="G63" i="22" s="1"/>
  <c r="N19" i="22"/>
  <c r="G138" i="22" l="1"/>
  <c r="G139" i="22" s="1"/>
  <c r="G140" i="22" s="1"/>
  <c r="G141" i="22" s="1"/>
  <c r="G142" i="22" s="1"/>
  <c r="G143" i="22" s="1"/>
  <c r="G144" i="22" s="1"/>
  <c r="G145" i="22" s="1"/>
  <c r="G146" i="22" s="1"/>
  <c r="G147" i="22" s="1"/>
  <c r="G148" i="22" s="1"/>
  <c r="G149" i="22" s="1"/>
  <c r="G150" i="22" s="1"/>
  <c r="G151" i="22" s="1"/>
  <c r="F16" i="22"/>
  <c r="F85" i="22" s="1"/>
  <c r="F87" i="22"/>
  <c r="H77" i="22"/>
  <c r="E85" i="22"/>
  <c r="E74" i="22"/>
  <c r="H87" i="22"/>
  <c r="H72" i="22"/>
  <c r="E87" i="22"/>
  <c r="G84" i="22"/>
  <c r="E86" i="22"/>
  <c r="E75" i="22"/>
  <c r="E73" i="22"/>
  <c r="G61" i="22"/>
  <c r="E76" i="22"/>
  <c r="C61" i="22"/>
  <c r="H76" i="22" l="1"/>
  <c r="H73" i="22"/>
  <c r="G87" i="22"/>
  <c r="G86" i="22"/>
  <c r="F73" i="22"/>
  <c r="F84" i="22"/>
  <c r="E61" i="22"/>
  <c r="G88" i="22"/>
  <c r="F74" i="22"/>
  <c r="H84" i="22"/>
  <c r="H88" i="22"/>
  <c r="G72" i="22"/>
  <c r="E84" i="22"/>
  <c r="H75" i="22"/>
  <c r="H62" i="22"/>
  <c r="H61" i="22"/>
  <c r="G76" i="22"/>
  <c r="E72" i="22"/>
  <c r="H74" i="22"/>
  <c r="H85" i="22"/>
  <c r="G62" i="22"/>
  <c r="G77" i="22"/>
  <c r="G74" i="22"/>
  <c r="G85" i="22"/>
  <c r="G73" i="22"/>
  <c r="F61" i="22"/>
  <c r="F75" i="22"/>
  <c r="F86" i="22"/>
  <c r="G75" i="22"/>
  <c r="F72" i="22"/>
  <c r="F76" i="22"/>
  <c r="H86" i="22"/>
  <c r="F19" i="22"/>
  <c r="D90" i="22"/>
  <c r="D137" i="22" s="1"/>
  <c r="D138" i="22" s="1"/>
  <c r="D139" i="22" s="1"/>
  <c r="D140" i="22" s="1"/>
  <c r="D141" i="22" s="1"/>
  <c r="D142" i="22" s="1"/>
  <c r="D143" i="22" s="1"/>
  <c r="D144" i="22" s="1"/>
  <c r="D145" i="22" s="1"/>
  <c r="D146" i="22" s="1"/>
  <c r="D147" i="22" s="1"/>
  <c r="D148" i="22" s="1"/>
  <c r="D149" i="22" s="1"/>
  <c r="D150" i="22" s="1"/>
  <c r="D151" i="22" s="1"/>
  <c r="D88" i="22"/>
  <c r="D86" i="22"/>
  <c r="D84" i="22"/>
  <c r="D77" i="22"/>
  <c r="D75" i="22"/>
  <c r="D73" i="22"/>
  <c r="C62" i="22"/>
  <c r="E63" i="22"/>
  <c r="C64" i="22"/>
  <c r="G64" i="22"/>
  <c r="E65" i="22"/>
  <c r="C66" i="22"/>
  <c r="G66" i="22"/>
  <c r="E67" i="22"/>
  <c r="E96" i="22" s="1"/>
  <c r="E97" i="22" s="1"/>
  <c r="E98" i="22" s="1"/>
  <c r="E99" i="22" s="1"/>
  <c r="E100" i="22" s="1"/>
  <c r="E101" i="22" s="1"/>
  <c r="E102" i="22" s="1"/>
  <c r="E103" i="22" s="1"/>
  <c r="E104" i="22" s="1"/>
  <c r="E105" i="22" s="1"/>
  <c r="E106" i="22" s="1"/>
  <c r="E107" i="22" s="1"/>
  <c r="E108" i="22" s="1"/>
  <c r="E109" i="22" s="1"/>
  <c r="E110" i="22" s="1"/>
  <c r="D61" i="22"/>
  <c r="C88" i="22"/>
  <c r="C84" i="22"/>
  <c r="C73" i="22"/>
  <c r="D64" i="22"/>
  <c r="D66" i="22"/>
  <c r="D89" i="22"/>
  <c r="D87" i="22"/>
  <c r="D85" i="22"/>
  <c r="D78" i="22"/>
  <c r="D116" i="22" s="1"/>
  <c r="D117" i="22" s="1"/>
  <c r="D118" i="22" s="1"/>
  <c r="D119" i="22" s="1"/>
  <c r="D120" i="22" s="1"/>
  <c r="D121" i="22" s="1"/>
  <c r="D122" i="22" s="1"/>
  <c r="D123" i="22" s="1"/>
  <c r="D124" i="22" s="1"/>
  <c r="D125" i="22" s="1"/>
  <c r="D126" i="22" s="1"/>
  <c r="D127" i="22" s="1"/>
  <c r="D128" i="22" s="1"/>
  <c r="D129" i="22" s="1"/>
  <c r="D130" i="22" s="1"/>
  <c r="D76" i="22"/>
  <c r="D74" i="22"/>
  <c r="D72" i="22"/>
  <c r="C63" i="22"/>
  <c r="E64" i="22"/>
  <c r="C65" i="22"/>
  <c r="G65" i="22"/>
  <c r="E66" i="22"/>
  <c r="C67" i="22"/>
  <c r="C96" i="22" s="1"/>
  <c r="G67" i="22"/>
  <c r="G96" i="22" s="1"/>
  <c r="G97" i="22" s="1"/>
  <c r="G98" i="22" s="1"/>
  <c r="G99" i="22" s="1"/>
  <c r="G100" i="22" s="1"/>
  <c r="G101" i="22" s="1"/>
  <c r="G102" i="22" s="1"/>
  <c r="G103" i="22" s="1"/>
  <c r="G104" i="22" s="1"/>
  <c r="G105" i="22" s="1"/>
  <c r="G106" i="22" s="1"/>
  <c r="G107" i="22" s="1"/>
  <c r="G108" i="22" s="1"/>
  <c r="G109" i="22" s="1"/>
  <c r="G110" i="22" s="1"/>
  <c r="C77" i="22"/>
  <c r="F63" i="22"/>
  <c r="F67" i="22"/>
  <c r="F96" i="22" s="1"/>
  <c r="F97" i="22" s="1"/>
  <c r="F98" i="22" s="1"/>
  <c r="F99" i="22" s="1"/>
  <c r="F100" i="22" s="1"/>
  <c r="F101" i="22" s="1"/>
  <c r="F102" i="22" s="1"/>
  <c r="F103" i="22" s="1"/>
  <c r="F104" i="22" s="1"/>
  <c r="F105" i="22" s="1"/>
  <c r="F106" i="22" s="1"/>
  <c r="F107" i="22" s="1"/>
  <c r="F108" i="22" s="1"/>
  <c r="F109" i="22" s="1"/>
  <c r="F110" i="22" s="1"/>
  <c r="C89" i="22"/>
  <c r="C87" i="22"/>
  <c r="C85" i="22"/>
  <c r="C78" i="22"/>
  <c r="C76" i="22"/>
  <c r="C74" i="22"/>
  <c r="C72" i="22"/>
  <c r="F62" i="22"/>
  <c r="D63" i="22"/>
  <c r="H63" i="22"/>
  <c r="F64" i="22"/>
  <c r="D65" i="22"/>
  <c r="F66" i="22"/>
  <c r="D67" i="22"/>
  <c r="D96" i="22" s="1"/>
  <c r="D97" i="22" s="1"/>
  <c r="D98" i="22" s="1"/>
  <c r="D99" i="22" s="1"/>
  <c r="D100" i="22" s="1"/>
  <c r="D101" i="22" s="1"/>
  <c r="D102" i="22" s="1"/>
  <c r="D103" i="22" s="1"/>
  <c r="D104" i="22" s="1"/>
  <c r="D105" i="22" s="1"/>
  <c r="D106" i="22" s="1"/>
  <c r="D107" i="22" s="1"/>
  <c r="D108" i="22" s="1"/>
  <c r="D109" i="22" s="1"/>
  <c r="D110" i="22" s="1"/>
  <c r="H67" i="22"/>
  <c r="H96" i="22" s="1"/>
  <c r="H97" i="22" s="1"/>
  <c r="H98" i="22" s="1"/>
  <c r="H99" i="22" s="1"/>
  <c r="H100" i="22" s="1"/>
  <c r="H101" i="22" s="1"/>
  <c r="H102" i="22" s="1"/>
  <c r="H103" i="22" s="1"/>
  <c r="H104" i="22" s="1"/>
  <c r="H105" i="22" s="1"/>
  <c r="H106" i="22" s="1"/>
  <c r="H107" i="22" s="1"/>
  <c r="H108" i="22" s="1"/>
  <c r="H109" i="22" s="1"/>
  <c r="H110" i="22" s="1"/>
  <c r="C90" i="22"/>
  <c r="C137" i="22" s="1"/>
  <c r="C86" i="22"/>
  <c r="C75" i="22"/>
  <c r="D62" i="22"/>
  <c r="H64" i="22"/>
  <c r="H66" i="22"/>
  <c r="L31" i="10"/>
  <c r="L32" i="10" s="1"/>
  <c r="D30" i="10"/>
  <c r="E30" i="10"/>
  <c r="F30" i="10"/>
  <c r="G30" i="10"/>
  <c r="C30" i="10"/>
  <c r="O50" i="9"/>
  <c r="I51" i="9"/>
  <c r="I53" i="9" s="1"/>
  <c r="G35" i="11"/>
  <c r="G47" i="11"/>
  <c r="I50" i="20"/>
  <c r="I49" i="20"/>
  <c r="I48" i="20"/>
  <c r="I47" i="20"/>
  <c r="I46" i="20"/>
  <c r="I45" i="20"/>
  <c r="I44" i="20"/>
  <c r="R48" i="20"/>
  <c r="I38" i="20"/>
  <c r="I37" i="20"/>
  <c r="I36" i="20"/>
  <c r="I35" i="20"/>
  <c r="I34" i="20"/>
  <c r="I33" i="20"/>
  <c r="I32" i="20"/>
  <c r="R36" i="20"/>
  <c r="H22" i="20"/>
  <c r="Q22" i="20"/>
  <c r="I72" i="22" l="1"/>
  <c r="I76" i="22"/>
  <c r="I89" i="22"/>
  <c r="I74" i="22"/>
  <c r="I87" i="22"/>
  <c r="I96" i="22"/>
  <c r="C97" i="22"/>
  <c r="C138" i="22"/>
  <c r="I137" i="22"/>
  <c r="I78" i="22"/>
  <c r="C116" i="22"/>
  <c r="I61" i="22"/>
  <c r="I75" i="22"/>
  <c r="I85" i="22"/>
  <c r="I73" i="22"/>
  <c r="I90" i="22"/>
  <c r="I77" i="22"/>
  <c r="I86" i="22"/>
  <c r="I84" i="22"/>
  <c r="I88" i="22"/>
  <c r="I63" i="22"/>
  <c r="I64" i="22"/>
  <c r="I66" i="22"/>
  <c r="I67" i="22"/>
  <c r="I62" i="22"/>
  <c r="R50" i="20"/>
  <c r="R49" i="20"/>
  <c r="R47" i="20"/>
  <c r="R46" i="20"/>
  <c r="R45" i="20"/>
  <c r="R44" i="20"/>
  <c r="Q23" i="20"/>
  <c r="Q21" i="20"/>
  <c r="Q20" i="20"/>
  <c r="Q19" i="20"/>
  <c r="Q18" i="20"/>
  <c r="Q17" i="20"/>
  <c r="H23" i="20"/>
  <c r="H21" i="20"/>
  <c r="H20" i="20"/>
  <c r="H19" i="20"/>
  <c r="H18" i="20"/>
  <c r="H17" i="20"/>
  <c r="H10" i="20"/>
  <c r="H9" i="20"/>
  <c r="H8" i="20"/>
  <c r="H7" i="20"/>
  <c r="H6" i="20"/>
  <c r="H5" i="20"/>
  <c r="H4" i="20"/>
  <c r="R38" i="20"/>
  <c r="R37" i="20"/>
  <c r="R35" i="20"/>
  <c r="R34" i="20"/>
  <c r="R33" i="20"/>
  <c r="R32" i="20"/>
  <c r="Q5" i="20"/>
  <c r="Q6" i="20"/>
  <c r="Q7" i="20"/>
  <c r="Q8" i="20"/>
  <c r="Q9" i="20"/>
  <c r="Q10" i="20"/>
  <c r="Q4" i="20"/>
  <c r="L14" i="19"/>
  <c r="L13" i="19"/>
  <c r="L12" i="19"/>
  <c r="L11" i="19"/>
  <c r="L10" i="19"/>
  <c r="L9" i="19"/>
  <c r="L8" i="19"/>
  <c r="L9" i="9"/>
  <c r="L33" i="9" s="1"/>
  <c r="L10" i="9"/>
  <c r="L34" i="9" s="1"/>
  <c r="L11" i="9"/>
  <c r="L35" i="9" s="1"/>
  <c r="L12" i="9"/>
  <c r="L36" i="9" s="1"/>
  <c r="L13" i="9"/>
  <c r="L37" i="9" s="1"/>
  <c r="L14" i="9"/>
  <c r="L38" i="9" s="1"/>
  <c r="L8" i="9"/>
  <c r="L32" i="9" s="1"/>
  <c r="P10" i="21"/>
  <c r="O10" i="21"/>
  <c r="N10" i="21"/>
  <c r="M10" i="21"/>
  <c r="L10" i="21"/>
  <c r="G10" i="21"/>
  <c r="F10" i="21"/>
  <c r="E10" i="21"/>
  <c r="D10" i="21"/>
  <c r="C10" i="21"/>
  <c r="Q9" i="21"/>
  <c r="Q8" i="21"/>
  <c r="Q7" i="21"/>
  <c r="Q6" i="21"/>
  <c r="Q5" i="21"/>
  <c r="Q4" i="21"/>
  <c r="Q3" i="21"/>
  <c r="R40" i="9" l="1"/>
  <c r="R16" i="26"/>
  <c r="R34" i="26"/>
  <c r="R40" i="24"/>
  <c r="R16" i="24"/>
  <c r="I79" i="22"/>
  <c r="C117" i="22"/>
  <c r="I116" i="22"/>
  <c r="C98" i="22"/>
  <c r="I97" i="22"/>
  <c r="C139" i="22"/>
  <c r="I138" i="22"/>
  <c r="I91" i="22"/>
  <c r="E68" i="11" s="1"/>
  <c r="E73" i="11" s="1"/>
  <c r="E79" i="11" s="1"/>
  <c r="I68" i="22"/>
  <c r="R16" i="9"/>
  <c r="R34" i="19"/>
  <c r="R16" i="19"/>
  <c r="L26" i="19"/>
  <c r="L27" i="19"/>
  <c r="L28" i="19"/>
  <c r="L29" i="19"/>
  <c r="L30" i="19"/>
  <c r="L31" i="19"/>
  <c r="L32" i="19"/>
  <c r="R41" i="24" l="1"/>
  <c r="R42" i="24"/>
  <c r="S40" i="24" s="1"/>
  <c r="R35" i="26"/>
  <c r="R36" i="26"/>
  <c r="S34" i="26" s="1"/>
  <c r="R17" i="26"/>
  <c r="R18" i="26"/>
  <c r="S16" i="26" s="1"/>
  <c r="R17" i="24"/>
  <c r="R18" i="24"/>
  <c r="S16" i="24" s="1"/>
  <c r="C99" i="22"/>
  <c r="I98" i="22"/>
  <c r="C140" i="22"/>
  <c r="I139" i="22"/>
  <c r="C118" i="22"/>
  <c r="I117" i="22"/>
  <c r="H8" i="11"/>
  <c r="H10" i="11" s="1"/>
  <c r="E67" i="11"/>
  <c r="E41" i="11"/>
  <c r="E42" i="11"/>
  <c r="E43" i="11"/>
  <c r="E44" i="11"/>
  <c r="E45" i="11"/>
  <c r="E46" i="11"/>
  <c r="E40" i="11"/>
  <c r="D41" i="11"/>
  <c r="D42" i="11" s="1"/>
  <c r="D43" i="11" s="1"/>
  <c r="D44" i="11" s="1"/>
  <c r="D45" i="11" s="1"/>
  <c r="D46" i="11" s="1"/>
  <c r="E29" i="11"/>
  <c r="E30" i="11"/>
  <c r="E31" i="11"/>
  <c r="E32" i="11"/>
  <c r="E33" i="11"/>
  <c r="E34" i="11"/>
  <c r="E28" i="11"/>
  <c r="E35" i="19"/>
  <c r="E33" i="19"/>
  <c r="E17" i="19"/>
  <c r="E18" i="19" s="1"/>
  <c r="E15" i="19"/>
  <c r="B24" i="19"/>
  <c r="B4" i="19"/>
  <c r="M28" i="19"/>
  <c r="M32" i="19"/>
  <c r="G9" i="19"/>
  <c r="G10" i="19"/>
  <c r="G11" i="19"/>
  <c r="G12" i="19"/>
  <c r="G13" i="19"/>
  <c r="G14" i="19"/>
  <c r="G8" i="19"/>
  <c r="F9" i="19"/>
  <c r="F10" i="19"/>
  <c r="F11" i="19"/>
  <c r="M11" i="19" s="1"/>
  <c r="F12" i="19"/>
  <c r="F13" i="19"/>
  <c r="F14" i="19"/>
  <c r="F8" i="19"/>
  <c r="H40" i="11" s="1"/>
  <c r="D8" i="19"/>
  <c r="D9" i="19"/>
  <c r="D10" i="19"/>
  <c r="D11" i="19"/>
  <c r="D12" i="19"/>
  <c r="D13" i="19"/>
  <c r="D14" i="19"/>
  <c r="C9" i="19"/>
  <c r="C10" i="19"/>
  <c r="C11" i="19"/>
  <c r="C12" i="19"/>
  <c r="C13" i="19"/>
  <c r="C14" i="19"/>
  <c r="C8" i="19"/>
  <c r="E65" i="19"/>
  <c r="D65" i="19"/>
  <c r="C65" i="19"/>
  <c r="AD3" i="10"/>
  <c r="S18" i="26" l="1"/>
  <c r="S17" i="26"/>
  <c r="S18" i="24"/>
  <c r="S35" i="26"/>
  <c r="S36" i="26" s="1"/>
  <c r="S17" i="24"/>
  <c r="S41" i="24"/>
  <c r="S42" i="24" s="1"/>
  <c r="I118" i="22"/>
  <c r="C119" i="22"/>
  <c r="C100" i="22"/>
  <c r="I99" i="22"/>
  <c r="C141" i="22"/>
  <c r="I140" i="22"/>
  <c r="E72" i="11"/>
  <c r="G72" i="11" s="1"/>
  <c r="E69" i="11"/>
  <c r="C15" i="19"/>
  <c r="G15" i="19"/>
  <c r="C33" i="19"/>
  <c r="H43" i="11"/>
  <c r="I46" i="11"/>
  <c r="H45" i="11"/>
  <c r="M13" i="19"/>
  <c r="H41" i="11"/>
  <c r="M9" i="19"/>
  <c r="I45" i="11"/>
  <c r="M31" i="19"/>
  <c r="I41" i="11"/>
  <c r="M27" i="19"/>
  <c r="D15" i="19"/>
  <c r="H44" i="11"/>
  <c r="M12" i="19"/>
  <c r="D33" i="19"/>
  <c r="I44" i="11"/>
  <c r="M30" i="19"/>
  <c r="G33" i="19"/>
  <c r="F15" i="19"/>
  <c r="M8" i="19"/>
  <c r="I40" i="11"/>
  <c r="M26" i="19"/>
  <c r="I43" i="11"/>
  <c r="M29" i="19"/>
  <c r="H46" i="11"/>
  <c r="M14" i="19"/>
  <c r="H42" i="11"/>
  <c r="M10" i="19"/>
  <c r="I42" i="11"/>
  <c r="F47" i="11"/>
  <c r="E11" i="11" s="1"/>
  <c r="F35" i="11"/>
  <c r="E9" i="11" s="1"/>
  <c r="E47" i="11"/>
  <c r="E10" i="11" s="1"/>
  <c r="E35" i="11"/>
  <c r="E8" i="11" s="1"/>
  <c r="C142" i="22" l="1"/>
  <c r="I141" i="22"/>
  <c r="C101" i="22"/>
  <c r="I100" i="22"/>
  <c r="I119" i="22"/>
  <c r="C120" i="22"/>
  <c r="E74" i="11"/>
  <c r="H47" i="11"/>
  <c r="F10" i="11" s="1"/>
  <c r="E13" i="11"/>
  <c r="E12" i="11"/>
  <c r="R17" i="19"/>
  <c r="R35" i="19"/>
  <c r="I47" i="11"/>
  <c r="F11" i="11" s="1"/>
  <c r="B30" i="9"/>
  <c r="G11" i="9"/>
  <c r="G12" i="9"/>
  <c r="G13" i="9"/>
  <c r="G14" i="9"/>
  <c r="G9" i="9"/>
  <c r="G10" i="9"/>
  <c r="F9" i="9"/>
  <c r="F10" i="9"/>
  <c r="F11" i="9"/>
  <c r="F12" i="9"/>
  <c r="F13" i="9"/>
  <c r="F14" i="9"/>
  <c r="B4" i="9"/>
  <c r="G8" i="9"/>
  <c r="F8" i="9"/>
  <c r="D9" i="9"/>
  <c r="D10" i="9"/>
  <c r="D11" i="9"/>
  <c r="D12" i="9"/>
  <c r="D13" i="9"/>
  <c r="D14" i="9"/>
  <c r="D8" i="9"/>
  <c r="C9" i="9"/>
  <c r="C10" i="9"/>
  <c r="C11" i="9"/>
  <c r="C12" i="9"/>
  <c r="C13" i="9"/>
  <c r="C14" i="9"/>
  <c r="C8" i="9"/>
  <c r="L17" i="10"/>
  <c r="V17" i="10" s="1"/>
  <c r="AD18" i="10" s="1"/>
  <c r="I142" i="22" l="1"/>
  <c r="C143" i="22"/>
  <c r="C102" i="22"/>
  <c r="I101" i="22"/>
  <c r="I120" i="22"/>
  <c r="C121" i="22"/>
  <c r="F13" i="11"/>
  <c r="H28" i="11"/>
  <c r="E53" i="11" s="1"/>
  <c r="M8" i="9"/>
  <c r="H33" i="11"/>
  <c r="E58" i="11" s="1"/>
  <c r="M13" i="9"/>
  <c r="H29" i="11"/>
  <c r="E54" i="11" s="1"/>
  <c r="M9" i="9"/>
  <c r="I33" i="11"/>
  <c r="M37" i="9"/>
  <c r="I29" i="11"/>
  <c r="M33" i="9"/>
  <c r="H32" i="11"/>
  <c r="E57" i="11" s="1"/>
  <c r="M12" i="9"/>
  <c r="I32" i="11"/>
  <c r="M36" i="9"/>
  <c r="H31" i="11"/>
  <c r="E56" i="11" s="1"/>
  <c r="M11" i="9"/>
  <c r="I28" i="11"/>
  <c r="M32" i="9"/>
  <c r="I31" i="11"/>
  <c r="M35" i="9"/>
  <c r="R18" i="19"/>
  <c r="S16" i="19" s="1"/>
  <c r="H34" i="11"/>
  <c r="E59" i="11" s="1"/>
  <c r="M14" i="9"/>
  <c r="H30" i="11"/>
  <c r="E55" i="11" s="1"/>
  <c r="M10" i="9"/>
  <c r="I34" i="11"/>
  <c r="M38" i="9"/>
  <c r="I30" i="11"/>
  <c r="M34" i="9"/>
  <c r="R36" i="19"/>
  <c r="S34" i="19" s="1"/>
  <c r="D15" i="9"/>
  <c r="F15" i="9"/>
  <c r="R17" i="9" s="1"/>
  <c r="R18" i="9" s="1"/>
  <c r="D29" i="11"/>
  <c r="D30" i="11" s="1"/>
  <c r="D31" i="11" s="1"/>
  <c r="D32" i="11" s="1"/>
  <c r="D33" i="11" s="1"/>
  <c r="D34" i="11" s="1"/>
  <c r="T5" i="15"/>
  <c r="J107" i="16"/>
  <c r="K107" i="16"/>
  <c r="J108" i="16"/>
  <c r="K108" i="16"/>
  <c r="J109" i="16"/>
  <c r="K109" i="16"/>
  <c r="J110" i="16"/>
  <c r="K110" i="16"/>
  <c r="J111" i="16"/>
  <c r="K111" i="16"/>
  <c r="J112" i="16"/>
  <c r="K112" i="16"/>
  <c r="K106" i="16"/>
  <c r="J106" i="16"/>
  <c r="I107" i="16"/>
  <c r="I106" i="16"/>
  <c r="AE8" i="16"/>
  <c r="AE9" i="16"/>
  <c r="AE10" i="16"/>
  <c r="AE11" i="16"/>
  <c r="AE12" i="16"/>
  <c r="AE13" i="16"/>
  <c r="AE14" i="16"/>
  <c r="AE15" i="16"/>
  <c r="AE16" i="16"/>
  <c r="AE17" i="16"/>
  <c r="AE18" i="16"/>
  <c r="AE19" i="16"/>
  <c r="AE20" i="16"/>
  <c r="AE21" i="16"/>
  <c r="AE22" i="16"/>
  <c r="AE23" i="16"/>
  <c r="AE24" i="16"/>
  <c r="AE25" i="16"/>
  <c r="AE26" i="16"/>
  <c r="AE27" i="16"/>
  <c r="AE28" i="16"/>
  <c r="AE29" i="16"/>
  <c r="AE30" i="16"/>
  <c r="AE31" i="16"/>
  <c r="AE32" i="16"/>
  <c r="AE33" i="16"/>
  <c r="AE34" i="16"/>
  <c r="AE35" i="16"/>
  <c r="AE36" i="16"/>
  <c r="AE37" i="16"/>
  <c r="AE38" i="16"/>
  <c r="AE39" i="16"/>
  <c r="AE40" i="16"/>
  <c r="AE41" i="16"/>
  <c r="AE42" i="16"/>
  <c r="AE43" i="16"/>
  <c r="AE44" i="16"/>
  <c r="AE45" i="16"/>
  <c r="AE46" i="16"/>
  <c r="AE47" i="16"/>
  <c r="AE48" i="16"/>
  <c r="AE49" i="16"/>
  <c r="AE50" i="16"/>
  <c r="AE51" i="16"/>
  <c r="AE52" i="16"/>
  <c r="AE53" i="16"/>
  <c r="AE54" i="16"/>
  <c r="AE55" i="16"/>
  <c r="AE56" i="16"/>
  <c r="AE57" i="16"/>
  <c r="AE58" i="16"/>
  <c r="AE59" i="16"/>
  <c r="AE60" i="16"/>
  <c r="AE61" i="16"/>
  <c r="AE62" i="16"/>
  <c r="AE63" i="16"/>
  <c r="AE64" i="16"/>
  <c r="AE65" i="16"/>
  <c r="AE66" i="16"/>
  <c r="AE67" i="16"/>
  <c r="AE68" i="16"/>
  <c r="AE69" i="16"/>
  <c r="AE70" i="16"/>
  <c r="AE71" i="16"/>
  <c r="AE72" i="16"/>
  <c r="AE73" i="16"/>
  <c r="AE74" i="16"/>
  <c r="AE75" i="16"/>
  <c r="AE76" i="16"/>
  <c r="AE77" i="16"/>
  <c r="AE78" i="16"/>
  <c r="AE79" i="16"/>
  <c r="AE80" i="16"/>
  <c r="AE81" i="16"/>
  <c r="AE82" i="16"/>
  <c r="AE83" i="16"/>
  <c r="AE84" i="16"/>
  <c r="AE85" i="16"/>
  <c r="AE86" i="16"/>
  <c r="AE87" i="16"/>
  <c r="AE88" i="16"/>
  <c r="AE89" i="16"/>
  <c r="AE90" i="16"/>
  <c r="AE7" i="16"/>
  <c r="R89" i="16"/>
  <c r="R88" i="16"/>
  <c r="R87" i="16"/>
  <c r="R86" i="16"/>
  <c r="R85" i="16"/>
  <c r="R84" i="16"/>
  <c r="R83" i="16"/>
  <c r="R82" i="16"/>
  <c r="R81" i="16"/>
  <c r="R80" i="16"/>
  <c r="R79" i="16"/>
  <c r="R78" i="16"/>
  <c r="R77" i="16"/>
  <c r="R76" i="16"/>
  <c r="R75" i="16"/>
  <c r="R74" i="16"/>
  <c r="R73" i="16"/>
  <c r="R72" i="16"/>
  <c r="R71" i="16"/>
  <c r="R70" i="16"/>
  <c r="R69" i="16"/>
  <c r="R68" i="16"/>
  <c r="R67" i="16"/>
  <c r="R66" i="16"/>
  <c r="R65" i="16"/>
  <c r="R64" i="16"/>
  <c r="R63" i="16"/>
  <c r="R62" i="16"/>
  <c r="R61" i="16"/>
  <c r="R60" i="16"/>
  <c r="R59" i="16"/>
  <c r="R58" i="16"/>
  <c r="R57" i="16"/>
  <c r="R56" i="16"/>
  <c r="R55" i="16"/>
  <c r="R54" i="16"/>
  <c r="R53" i="16"/>
  <c r="R52" i="16"/>
  <c r="R51" i="16"/>
  <c r="R50" i="16"/>
  <c r="R49" i="16"/>
  <c r="R48" i="16"/>
  <c r="R47" i="16"/>
  <c r="R46" i="16"/>
  <c r="R45" i="16"/>
  <c r="R44" i="16"/>
  <c r="R43" i="16"/>
  <c r="R42" i="16"/>
  <c r="R41" i="16"/>
  <c r="R40" i="16"/>
  <c r="R39" i="16"/>
  <c r="R38" i="16"/>
  <c r="R37" i="16"/>
  <c r="R36" i="16"/>
  <c r="R35" i="16"/>
  <c r="R34" i="16"/>
  <c r="R33" i="16"/>
  <c r="R32" i="16"/>
  <c r="R31" i="16"/>
  <c r="R30" i="16"/>
  <c r="R29" i="16"/>
  <c r="R28" i="16"/>
  <c r="R27" i="16"/>
  <c r="R26" i="16"/>
  <c r="R25" i="16"/>
  <c r="R24" i="16"/>
  <c r="R23" i="16"/>
  <c r="R22" i="16"/>
  <c r="R21" i="16"/>
  <c r="R20" i="16"/>
  <c r="R19" i="16"/>
  <c r="R18" i="16"/>
  <c r="R17" i="16"/>
  <c r="R16" i="16"/>
  <c r="R15" i="16"/>
  <c r="R14" i="16"/>
  <c r="R13" i="16"/>
  <c r="R12" i="16"/>
  <c r="R11" i="16"/>
  <c r="R10" i="16"/>
  <c r="R9" i="16"/>
  <c r="R8" i="16"/>
  <c r="R7" i="16"/>
  <c r="R6" i="16"/>
  <c r="I89" i="16"/>
  <c r="I88" i="16"/>
  <c r="I87" i="16"/>
  <c r="I86" i="16"/>
  <c r="I85" i="16"/>
  <c r="I84" i="16"/>
  <c r="I83" i="16"/>
  <c r="I82" i="16"/>
  <c r="I81" i="16"/>
  <c r="I80" i="16"/>
  <c r="I79" i="16"/>
  <c r="I78" i="16"/>
  <c r="I77" i="16"/>
  <c r="I76" i="16"/>
  <c r="I75" i="16"/>
  <c r="I74" i="16"/>
  <c r="I73" i="16"/>
  <c r="I72" i="16"/>
  <c r="I71" i="16"/>
  <c r="I70" i="16"/>
  <c r="I69" i="16"/>
  <c r="I68" i="16"/>
  <c r="I67" i="16"/>
  <c r="I66" i="16"/>
  <c r="I65" i="16"/>
  <c r="I64" i="16"/>
  <c r="I63" i="16"/>
  <c r="I62" i="16"/>
  <c r="I61" i="16"/>
  <c r="I60" i="16"/>
  <c r="I59" i="16"/>
  <c r="I58" i="16"/>
  <c r="I57" i="16"/>
  <c r="I56" i="16"/>
  <c r="I55" i="16"/>
  <c r="I54" i="16"/>
  <c r="I53" i="16"/>
  <c r="I52" i="16"/>
  <c r="I51" i="16"/>
  <c r="I50" i="16"/>
  <c r="I49" i="16"/>
  <c r="I48" i="16"/>
  <c r="I47" i="16"/>
  <c r="I46" i="16"/>
  <c r="I45" i="16"/>
  <c r="I44" i="16"/>
  <c r="I43" i="16"/>
  <c r="I42" i="16"/>
  <c r="I41" i="16"/>
  <c r="I40" i="16"/>
  <c r="I39" i="16"/>
  <c r="I38" i="16"/>
  <c r="I37" i="16"/>
  <c r="I36" i="16"/>
  <c r="I35" i="16"/>
  <c r="I34" i="16"/>
  <c r="I33" i="16"/>
  <c r="I32" i="16"/>
  <c r="I31" i="16"/>
  <c r="I30" i="16"/>
  <c r="I29" i="16"/>
  <c r="I28" i="16"/>
  <c r="I27" i="16"/>
  <c r="I26" i="16"/>
  <c r="I25" i="16"/>
  <c r="I24" i="16"/>
  <c r="I23" i="16"/>
  <c r="I22" i="16"/>
  <c r="I21" i="16"/>
  <c r="I20" i="16"/>
  <c r="I19" i="16"/>
  <c r="I18" i="16"/>
  <c r="I17" i="16"/>
  <c r="I16" i="16"/>
  <c r="I15" i="16"/>
  <c r="I14" i="16"/>
  <c r="I13" i="16"/>
  <c r="I12" i="16"/>
  <c r="I11" i="16"/>
  <c r="I10" i="16"/>
  <c r="I9" i="16"/>
  <c r="I8" i="16"/>
  <c r="I7" i="16"/>
  <c r="I6" i="16"/>
  <c r="A29" i="16"/>
  <c r="A41" i="16" s="1"/>
  <c r="A53" i="16" s="1"/>
  <c r="A65" i="16" s="1"/>
  <c r="A77" i="16" s="1"/>
  <c r="A89" i="16" s="1"/>
  <c r="A28" i="16"/>
  <c r="A40" i="16" s="1"/>
  <c r="A52" i="16" s="1"/>
  <c r="A64" i="16" s="1"/>
  <c r="A76" i="16" s="1"/>
  <c r="A88" i="16" s="1"/>
  <c r="A27" i="16"/>
  <c r="A39" i="16" s="1"/>
  <c r="A51" i="16" s="1"/>
  <c r="A63" i="16" s="1"/>
  <c r="A75" i="16" s="1"/>
  <c r="A87" i="16" s="1"/>
  <c r="A26" i="16"/>
  <c r="A38" i="16" s="1"/>
  <c r="A50" i="16" s="1"/>
  <c r="A62" i="16" s="1"/>
  <c r="A74" i="16" s="1"/>
  <c r="A86" i="16" s="1"/>
  <c r="A25" i="16"/>
  <c r="A37" i="16" s="1"/>
  <c r="A49" i="16" s="1"/>
  <c r="A61" i="16" s="1"/>
  <c r="A73" i="16" s="1"/>
  <c r="A85" i="16" s="1"/>
  <c r="A24" i="16"/>
  <c r="A36" i="16" s="1"/>
  <c r="A48" i="16" s="1"/>
  <c r="A60" i="16" s="1"/>
  <c r="A72" i="16" s="1"/>
  <c r="A84" i="16" s="1"/>
  <c r="A23" i="16"/>
  <c r="A35" i="16" s="1"/>
  <c r="A47" i="16" s="1"/>
  <c r="A59" i="16" s="1"/>
  <c r="A71" i="16" s="1"/>
  <c r="A83" i="16" s="1"/>
  <c r="A22" i="16"/>
  <c r="A34" i="16" s="1"/>
  <c r="A46" i="16" s="1"/>
  <c r="A58" i="16" s="1"/>
  <c r="A70" i="16" s="1"/>
  <c r="A82" i="16" s="1"/>
  <c r="A21" i="16"/>
  <c r="A33" i="16" s="1"/>
  <c r="A45" i="16" s="1"/>
  <c r="A57" i="16" s="1"/>
  <c r="A69" i="16" s="1"/>
  <c r="A81" i="16" s="1"/>
  <c r="A20" i="16"/>
  <c r="A32" i="16" s="1"/>
  <c r="A44" i="16" s="1"/>
  <c r="A56" i="16" s="1"/>
  <c r="A68" i="16" s="1"/>
  <c r="A80" i="16" s="1"/>
  <c r="A19" i="16"/>
  <c r="A31" i="16" s="1"/>
  <c r="A43" i="16" s="1"/>
  <c r="A55" i="16" s="1"/>
  <c r="A67" i="16" s="1"/>
  <c r="A79" i="16" s="1"/>
  <c r="A18" i="16"/>
  <c r="X94" i="16"/>
  <c r="P46" i="15"/>
  <c r="J18" i="11" s="1"/>
  <c r="O46" i="15"/>
  <c r="N46" i="15"/>
  <c r="M46" i="15"/>
  <c r="L46" i="15"/>
  <c r="C122" i="22" l="1"/>
  <c r="I121" i="22"/>
  <c r="I143" i="22"/>
  <c r="C144" i="22"/>
  <c r="C103" i="22"/>
  <c r="I102" i="22"/>
  <c r="E61" i="11"/>
  <c r="H35" i="11"/>
  <c r="F8" i="11" s="1"/>
  <c r="S17" i="19"/>
  <c r="S18" i="19" s="1"/>
  <c r="I35" i="11"/>
  <c r="F9" i="11" s="1"/>
  <c r="S17" i="9"/>
  <c r="S16" i="9"/>
  <c r="S35" i="19"/>
  <c r="S36" i="19" s="1"/>
  <c r="I113" i="16"/>
  <c r="H20" i="11" s="1"/>
  <c r="A30" i="16"/>
  <c r="A42" i="16" s="1"/>
  <c r="A54" i="16" s="1"/>
  <c r="A66" i="16" s="1"/>
  <c r="A78" i="16" s="1"/>
  <c r="J113" i="16"/>
  <c r="I20" i="11" s="1"/>
  <c r="K113" i="16"/>
  <c r="J20" i="11" s="1"/>
  <c r="T8" i="7"/>
  <c r="I100" i="13"/>
  <c r="I99" i="13"/>
  <c r="J100" i="13"/>
  <c r="K100" i="13"/>
  <c r="J101" i="13"/>
  <c r="K101" i="13"/>
  <c r="J102" i="13"/>
  <c r="K102" i="13"/>
  <c r="J103" i="13"/>
  <c r="K103" i="13"/>
  <c r="J104" i="13"/>
  <c r="K104" i="13"/>
  <c r="J105" i="13"/>
  <c r="K105" i="13"/>
  <c r="K99" i="13"/>
  <c r="J99" i="13"/>
  <c r="I103" i="22" l="1"/>
  <c r="C104" i="22"/>
  <c r="I122" i="22"/>
  <c r="C123" i="22"/>
  <c r="C145" i="22"/>
  <c r="I144" i="22"/>
  <c r="E112" i="16"/>
  <c r="F106" i="16"/>
  <c r="F108" i="16"/>
  <c r="E106" i="16"/>
  <c r="F12" i="11"/>
  <c r="D110" i="16"/>
  <c r="D111" i="16"/>
  <c r="F107" i="16"/>
  <c r="S18" i="9"/>
  <c r="E109" i="16"/>
  <c r="D112" i="16"/>
  <c r="F111" i="16"/>
  <c r="E108" i="16"/>
  <c r="D109" i="16"/>
  <c r="E111" i="16"/>
  <c r="D108" i="16"/>
  <c r="D106" i="16"/>
  <c r="K106" i="13"/>
  <c r="G20" i="11" s="1"/>
  <c r="F109" i="16"/>
  <c r="E110" i="16"/>
  <c r="E107" i="16"/>
  <c r="F112" i="16"/>
  <c r="F110" i="16"/>
  <c r="D107" i="16"/>
  <c r="J106" i="13"/>
  <c r="F20" i="11" s="1"/>
  <c r="I106" i="13"/>
  <c r="E20" i="11" s="1"/>
  <c r="I104" i="22" l="1"/>
  <c r="C105" i="22"/>
  <c r="C124" i="22"/>
  <c r="I123" i="22"/>
  <c r="I145" i="22"/>
  <c r="C146" i="22"/>
  <c r="E113" i="16"/>
  <c r="I19" i="11" s="1"/>
  <c r="D113" i="16"/>
  <c r="H19" i="11" s="1"/>
  <c r="F113" i="16"/>
  <c r="J19" i="11" s="1"/>
  <c r="I124" i="22" l="1"/>
  <c r="C125" i="22"/>
  <c r="I146" i="22"/>
  <c r="C147" i="22"/>
  <c r="C106" i="22"/>
  <c r="I105" i="22"/>
  <c r="F48" i="15"/>
  <c r="H46" i="15"/>
  <c r="G46" i="15"/>
  <c r="F46" i="15"/>
  <c r="E46" i="15"/>
  <c r="D46" i="15"/>
  <c r="F33" i="15"/>
  <c r="P31" i="15"/>
  <c r="I18" i="11" s="1"/>
  <c r="O31" i="15"/>
  <c r="N31" i="15"/>
  <c r="M31" i="15"/>
  <c r="L31" i="15"/>
  <c r="H31" i="15"/>
  <c r="G31" i="15"/>
  <c r="F31" i="15"/>
  <c r="E31" i="15"/>
  <c r="D31" i="15"/>
  <c r="Q24" i="15"/>
  <c r="F17" i="15"/>
  <c r="P15" i="15"/>
  <c r="H18" i="11" s="1"/>
  <c r="O15" i="15"/>
  <c r="N15" i="15"/>
  <c r="M15" i="15"/>
  <c r="L15" i="15"/>
  <c r="H15" i="15"/>
  <c r="G15" i="15"/>
  <c r="F15" i="15"/>
  <c r="E15" i="15"/>
  <c r="D15" i="15"/>
  <c r="I147" i="22" l="1"/>
  <c r="C148" i="22"/>
  <c r="C126" i="22"/>
  <c r="I125" i="22"/>
  <c r="C107" i="22"/>
  <c r="I106" i="22"/>
  <c r="H21" i="11"/>
  <c r="H22" i="11"/>
  <c r="J22" i="11"/>
  <c r="J21" i="11"/>
  <c r="Q46" i="15"/>
  <c r="I126" i="22" l="1"/>
  <c r="C127" i="22"/>
  <c r="I148" i="22"/>
  <c r="C149" i="22"/>
  <c r="C108" i="22"/>
  <c r="I107" i="22"/>
  <c r="A18" i="13"/>
  <c r="A30" i="13" s="1"/>
  <c r="A42" i="13" s="1"/>
  <c r="A54" i="13" s="1"/>
  <c r="A66" i="13" s="1"/>
  <c r="A78" i="13" s="1"/>
  <c r="A19" i="13"/>
  <c r="A31" i="13" s="1"/>
  <c r="A43" i="13" s="1"/>
  <c r="A55" i="13" s="1"/>
  <c r="A67" i="13" s="1"/>
  <c r="A79" i="13" s="1"/>
  <c r="A20" i="13"/>
  <c r="A32" i="13" s="1"/>
  <c r="A44" i="13" s="1"/>
  <c r="A56" i="13" s="1"/>
  <c r="A68" i="13" s="1"/>
  <c r="A80" i="13" s="1"/>
  <c r="A21" i="13"/>
  <c r="A33" i="13" s="1"/>
  <c r="A45" i="13" s="1"/>
  <c r="A57" i="13" s="1"/>
  <c r="A69" i="13" s="1"/>
  <c r="A81" i="13" s="1"/>
  <c r="A22" i="13"/>
  <c r="A34" i="13" s="1"/>
  <c r="A46" i="13" s="1"/>
  <c r="A58" i="13" s="1"/>
  <c r="A70" i="13" s="1"/>
  <c r="A82" i="13" s="1"/>
  <c r="A23" i="13"/>
  <c r="A35" i="13" s="1"/>
  <c r="A47" i="13" s="1"/>
  <c r="A59" i="13" s="1"/>
  <c r="A71" i="13" s="1"/>
  <c r="A83" i="13" s="1"/>
  <c r="A24" i="13"/>
  <c r="A36" i="13" s="1"/>
  <c r="A48" i="13" s="1"/>
  <c r="A60" i="13" s="1"/>
  <c r="A72" i="13" s="1"/>
  <c r="A84" i="13" s="1"/>
  <c r="A25" i="13"/>
  <c r="A37" i="13" s="1"/>
  <c r="A49" i="13" s="1"/>
  <c r="A61" i="13" s="1"/>
  <c r="A73" i="13" s="1"/>
  <c r="A85" i="13" s="1"/>
  <c r="A26" i="13"/>
  <c r="A27" i="13"/>
  <c r="A39" i="13" s="1"/>
  <c r="A51" i="13" s="1"/>
  <c r="A63" i="13" s="1"/>
  <c r="A75" i="13" s="1"/>
  <c r="A87" i="13" s="1"/>
  <c r="A28" i="13"/>
  <c r="A40" i="13" s="1"/>
  <c r="A52" i="13" s="1"/>
  <c r="A64" i="13" s="1"/>
  <c r="A76" i="13" s="1"/>
  <c r="A88" i="13" s="1"/>
  <c r="A38" i="13"/>
  <c r="A50" i="13" s="1"/>
  <c r="A62" i="13" s="1"/>
  <c r="A74" i="13" s="1"/>
  <c r="A86" i="13" s="1"/>
  <c r="A17" i="13"/>
  <c r="A29" i="13" s="1"/>
  <c r="A41" i="13" s="1"/>
  <c r="A53" i="13" s="1"/>
  <c r="A65" i="13" s="1"/>
  <c r="A77" i="13" s="1"/>
  <c r="J6" i="13"/>
  <c r="J7" i="13"/>
  <c r="J8" i="13"/>
  <c r="J9" i="13"/>
  <c r="J10" i="13"/>
  <c r="J11" i="13"/>
  <c r="J12" i="13"/>
  <c r="J13" i="13"/>
  <c r="J14" i="13"/>
  <c r="J15" i="13"/>
  <c r="J16" i="13"/>
  <c r="J17" i="13"/>
  <c r="J18" i="13"/>
  <c r="J19" i="13"/>
  <c r="J20" i="13"/>
  <c r="J21" i="13"/>
  <c r="J22" i="13"/>
  <c r="J23" i="13"/>
  <c r="J24" i="13"/>
  <c r="J25" i="13"/>
  <c r="J26" i="13"/>
  <c r="J27" i="13"/>
  <c r="J28" i="13"/>
  <c r="J29" i="13"/>
  <c r="J30" i="13"/>
  <c r="J31" i="13"/>
  <c r="J32" i="13"/>
  <c r="J33" i="13"/>
  <c r="J34" i="13"/>
  <c r="J35" i="13"/>
  <c r="J36" i="13"/>
  <c r="J37" i="13"/>
  <c r="J38" i="13"/>
  <c r="J39" i="13"/>
  <c r="J40" i="13"/>
  <c r="J41" i="13"/>
  <c r="J42" i="13"/>
  <c r="J43" i="13"/>
  <c r="J44" i="13"/>
  <c r="J45" i="13"/>
  <c r="J46" i="13"/>
  <c r="J47" i="13"/>
  <c r="J48" i="13"/>
  <c r="J49" i="13"/>
  <c r="J50" i="13"/>
  <c r="J51" i="13"/>
  <c r="J52" i="13"/>
  <c r="J53" i="13"/>
  <c r="J54" i="13"/>
  <c r="J55" i="13"/>
  <c r="J56" i="13"/>
  <c r="J57" i="13"/>
  <c r="J58" i="13"/>
  <c r="J59" i="13"/>
  <c r="J60" i="13"/>
  <c r="J61" i="13"/>
  <c r="J62" i="13"/>
  <c r="J63" i="13"/>
  <c r="J64" i="13"/>
  <c r="J65" i="13"/>
  <c r="J66" i="13"/>
  <c r="J67" i="13"/>
  <c r="J68" i="13"/>
  <c r="J69" i="13"/>
  <c r="J70" i="13"/>
  <c r="J71" i="13"/>
  <c r="J72" i="13"/>
  <c r="J73" i="13"/>
  <c r="J74" i="13"/>
  <c r="J75" i="13"/>
  <c r="J76" i="13"/>
  <c r="J77" i="13"/>
  <c r="J78" i="13"/>
  <c r="J79" i="13"/>
  <c r="J80" i="13"/>
  <c r="J81" i="13"/>
  <c r="J82" i="13"/>
  <c r="J83" i="13"/>
  <c r="J84" i="13"/>
  <c r="J85" i="13"/>
  <c r="J86" i="13"/>
  <c r="J87" i="13"/>
  <c r="J88" i="13"/>
  <c r="J5" i="13"/>
  <c r="S6" i="13"/>
  <c r="S7" i="13"/>
  <c r="S8" i="13"/>
  <c r="S9" i="13"/>
  <c r="S10" i="13"/>
  <c r="S11" i="13"/>
  <c r="S12" i="13"/>
  <c r="S13" i="13"/>
  <c r="S14" i="13"/>
  <c r="S15" i="13"/>
  <c r="S16" i="13"/>
  <c r="S17" i="13"/>
  <c r="S18" i="13"/>
  <c r="S19" i="13"/>
  <c r="S20" i="13"/>
  <c r="S21" i="13"/>
  <c r="S22" i="13"/>
  <c r="S23" i="13"/>
  <c r="S24" i="13"/>
  <c r="S25" i="13"/>
  <c r="S26" i="13"/>
  <c r="S27" i="13"/>
  <c r="S28" i="13"/>
  <c r="S29" i="13"/>
  <c r="S30" i="13"/>
  <c r="S31" i="13"/>
  <c r="S32" i="13"/>
  <c r="S33" i="13"/>
  <c r="S34" i="13"/>
  <c r="S35" i="13"/>
  <c r="S36" i="13"/>
  <c r="S37" i="13"/>
  <c r="S38" i="13"/>
  <c r="S39" i="13"/>
  <c r="S40" i="13"/>
  <c r="S41" i="13"/>
  <c r="S42" i="13"/>
  <c r="S43" i="13"/>
  <c r="S44" i="13"/>
  <c r="S45" i="13"/>
  <c r="S46" i="13"/>
  <c r="S47" i="13"/>
  <c r="S48" i="13"/>
  <c r="S49" i="13"/>
  <c r="S50" i="13"/>
  <c r="S51" i="13"/>
  <c r="S52" i="13"/>
  <c r="S53" i="13"/>
  <c r="S54" i="13"/>
  <c r="S55" i="13"/>
  <c r="S56" i="13"/>
  <c r="S57" i="13"/>
  <c r="S58" i="13"/>
  <c r="S59" i="13"/>
  <c r="S60" i="13"/>
  <c r="S61" i="13"/>
  <c r="S62" i="13"/>
  <c r="S63" i="13"/>
  <c r="S64" i="13"/>
  <c r="S65" i="13"/>
  <c r="S66" i="13"/>
  <c r="S67" i="13"/>
  <c r="S68" i="13"/>
  <c r="S69" i="13"/>
  <c r="S70" i="13"/>
  <c r="S71" i="13"/>
  <c r="S72" i="13"/>
  <c r="S73" i="13"/>
  <c r="S74" i="13"/>
  <c r="S75" i="13"/>
  <c r="S76" i="13"/>
  <c r="S77" i="13"/>
  <c r="S78" i="13"/>
  <c r="S79" i="13"/>
  <c r="S80" i="13"/>
  <c r="S81" i="13"/>
  <c r="S82" i="13"/>
  <c r="S83" i="13"/>
  <c r="S84" i="13"/>
  <c r="S85" i="13"/>
  <c r="S86" i="13"/>
  <c r="S87" i="13"/>
  <c r="S88" i="13"/>
  <c r="S5" i="13"/>
  <c r="AA6" i="13"/>
  <c r="AA7" i="13"/>
  <c r="AA8" i="13"/>
  <c r="AA9" i="13"/>
  <c r="AA10" i="13"/>
  <c r="AA11" i="13"/>
  <c r="AA12" i="13"/>
  <c r="AA13" i="13"/>
  <c r="AA14" i="13"/>
  <c r="AA15" i="13"/>
  <c r="AA16" i="13"/>
  <c r="AA17" i="13"/>
  <c r="AA18" i="13"/>
  <c r="AA19" i="13"/>
  <c r="AA20" i="13"/>
  <c r="AA21" i="13"/>
  <c r="AA22" i="13"/>
  <c r="AA23" i="13"/>
  <c r="AA24" i="13"/>
  <c r="AA25" i="13"/>
  <c r="AA26" i="13"/>
  <c r="AA27" i="13"/>
  <c r="AA28" i="13"/>
  <c r="AA29" i="13"/>
  <c r="AA30" i="13"/>
  <c r="AA31" i="13"/>
  <c r="AA32" i="13"/>
  <c r="AA33" i="13"/>
  <c r="AA34" i="13"/>
  <c r="AA35" i="13"/>
  <c r="AA36" i="13"/>
  <c r="AA37" i="13"/>
  <c r="AA38" i="13"/>
  <c r="AA39" i="13"/>
  <c r="AA40" i="13"/>
  <c r="AA41" i="13"/>
  <c r="AA42" i="13"/>
  <c r="AA43" i="13"/>
  <c r="AA44" i="13"/>
  <c r="AA45" i="13"/>
  <c r="AA46" i="13"/>
  <c r="AA47" i="13"/>
  <c r="AA48" i="13"/>
  <c r="AA49" i="13"/>
  <c r="AA50" i="13"/>
  <c r="AA51" i="13"/>
  <c r="AA52" i="13"/>
  <c r="AA53" i="13"/>
  <c r="AA54" i="13"/>
  <c r="AA55" i="13"/>
  <c r="AA56" i="13"/>
  <c r="AA57" i="13"/>
  <c r="AA58" i="13"/>
  <c r="AA59" i="13"/>
  <c r="AA60" i="13"/>
  <c r="AA61" i="13"/>
  <c r="AA62" i="13"/>
  <c r="AA63" i="13"/>
  <c r="AA64" i="13"/>
  <c r="AA65" i="13"/>
  <c r="AA66" i="13"/>
  <c r="AA67" i="13"/>
  <c r="AA68" i="13"/>
  <c r="AA69" i="13"/>
  <c r="AA70" i="13"/>
  <c r="AA71" i="13"/>
  <c r="AA72" i="13"/>
  <c r="AA73" i="13"/>
  <c r="AA74" i="13"/>
  <c r="AA75" i="13"/>
  <c r="AA76" i="13"/>
  <c r="AA77" i="13"/>
  <c r="AA78" i="13"/>
  <c r="AA79" i="13"/>
  <c r="AA80" i="13"/>
  <c r="AA81" i="13"/>
  <c r="AA82" i="13"/>
  <c r="AA83" i="13"/>
  <c r="AA84" i="13"/>
  <c r="AA85" i="13"/>
  <c r="AA86" i="13"/>
  <c r="AA87" i="13"/>
  <c r="AA88" i="13"/>
  <c r="AA5" i="13"/>
  <c r="C128" i="22" l="1"/>
  <c r="I127" i="22"/>
  <c r="C150" i="22"/>
  <c r="I149" i="22"/>
  <c r="I108" i="22"/>
  <c r="C109" i="22"/>
  <c r="F99" i="13"/>
  <c r="D99" i="13"/>
  <c r="D100" i="13"/>
  <c r="E99" i="13"/>
  <c r="D102" i="13"/>
  <c r="D105" i="13"/>
  <c r="E103" i="13"/>
  <c r="F100" i="13"/>
  <c r="F104" i="13"/>
  <c r="D103" i="13"/>
  <c r="F101" i="13"/>
  <c r="E100" i="13"/>
  <c r="F105" i="13"/>
  <c r="E104" i="13"/>
  <c r="F102" i="13"/>
  <c r="E101" i="13"/>
  <c r="F103" i="13"/>
  <c r="E105" i="13"/>
  <c r="D104" i="13"/>
  <c r="E102" i="13"/>
  <c r="D101" i="13"/>
  <c r="C151" i="22" l="1"/>
  <c r="I151" i="22" s="1"/>
  <c r="I150" i="22"/>
  <c r="C110" i="22"/>
  <c r="I110" i="22" s="1"/>
  <c r="I109" i="22"/>
  <c r="I128" i="22"/>
  <c r="C129" i="22"/>
  <c r="D106" i="13"/>
  <c r="E19" i="11" s="1"/>
  <c r="E106" i="13"/>
  <c r="F19" i="11" s="1"/>
  <c r="F106" i="13"/>
  <c r="G19" i="11" s="1"/>
  <c r="Q23" i="7"/>
  <c r="I111" i="22" l="1"/>
  <c r="E93" i="11" s="1"/>
  <c r="G93" i="11" s="1"/>
  <c r="C130" i="22"/>
  <c r="I130" i="22" s="1"/>
  <c r="I129" i="22"/>
  <c r="E94" i="11"/>
  <c r="T92" i="13"/>
  <c r="I131" i="22" l="1"/>
  <c r="E95" i="11"/>
  <c r="E41" i="9"/>
  <c r="G39" i="9"/>
  <c r="F39" i="9"/>
  <c r="R41" i="9" s="1"/>
  <c r="R42" i="9" s="1"/>
  <c r="E39" i="9"/>
  <c r="D39" i="9"/>
  <c r="C39" i="9"/>
  <c r="E17" i="9"/>
  <c r="E18" i="9" s="1"/>
  <c r="G15" i="9"/>
  <c r="E15" i="9"/>
  <c r="C15" i="9"/>
  <c r="D5" i="8"/>
  <c r="AF26" i="26" l="1"/>
  <c r="Z10" i="24"/>
  <c r="Z34" i="24" s="1"/>
  <c r="AF8" i="24"/>
  <c r="AF32" i="24" s="1"/>
  <c r="AF13" i="26"/>
  <c r="AF29" i="26"/>
  <c r="Z26" i="26"/>
  <c r="AF11" i="24"/>
  <c r="AF35" i="24" s="1"/>
  <c r="AF30" i="26"/>
  <c r="AF11" i="26"/>
  <c r="Z30" i="26"/>
  <c r="Z11" i="24"/>
  <c r="Z35" i="24" s="1"/>
  <c r="Z9" i="26"/>
  <c r="Z14" i="24"/>
  <c r="Z38" i="24" s="1"/>
  <c r="Z10" i="26"/>
  <c r="AF9" i="24"/>
  <c r="AF33" i="24" s="1"/>
  <c r="Z13" i="26"/>
  <c r="Z9" i="24"/>
  <c r="Z33" i="24" s="1"/>
  <c r="Z12" i="24"/>
  <c r="Z36" i="24" s="1"/>
  <c r="T34" i="26"/>
  <c r="T16" i="26"/>
  <c r="Z8" i="24"/>
  <c r="Z32" i="24" s="1"/>
  <c r="AF27" i="26"/>
  <c r="Z11" i="26"/>
  <c r="AF28" i="26"/>
  <c r="Z27" i="26"/>
  <c r="Z12" i="26"/>
  <c r="AF10" i="24"/>
  <c r="AF34" i="24" s="1"/>
  <c r="Z28" i="26"/>
  <c r="AF14" i="24"/>
  <c r="AF38" i="24" s="1"/>
  <c r="AF12" i="26"/>
  <c r="Z31" i="26"/>
  <c r="Z13" i="24"/>
  <c r="Z37" i="24" s="1"/>
  <c r="Z32" i="26"/>
  <c r="AF14" i="26"/>
  <c r="AF9" i="26"/>
  <c r="Z14" i="26"/>
  <c r="AF12" i="24"/>
  <c r="AF36" i="24" s="1"/>
  <c r="AF31" i="26"/>
  <c r="AF8" i="26"/>
  <c r="Z8" i="26"/>
  <c r="AF13" i="24"/>
  <c r="AF37" i="24" s="1"/>
  <c r="AF32" i="26"/>
  <c r="AF10" i="26"/>
  <c r="Z29" i="26"/>
  <c r="Z8" i="9"/>
  <c r="T40" i="24"/>
  <c r="F16" i="26"/>
  <c r="F17" i="26" s="1"/>
  <c r="N10" i="26"/>
  <c r="T10" i="26" s="1"/>
  <c r="F34" i="26"/>
  <c r="F35" i="26" s="1"/>
  <c r="T16" i="24"/>
  <c r="F40" i="24"/>
  <c r="F16" i="24"/>
  <c r="N9" i="26"/>
  <c r="T9" i="26" s="1"/>
  <c r="N29" i="26"/>
  <c r="D7" i="8"/>
  <c r="N28" i="26" s="1"/>
  <c r="T28" i="26" s="1"/>
  <c r="Z13" i="9"/>
  <c r="AF32" i="19"/>
  <c r="Z30" i="19"/>
  <c r="AF27" i="19"/>
  <c r="Z14" i="19"/>
  <c r="AF11" i="19"/>
  <c r="Z9" i="19"/>
  <c r="AF37" i="9"/>
  <c r="Z35" i="9"/>
  <c r="AF32" i="9"/>
  <c r="AF12" i="9"/>
  <c r="Z14" i="9"/>
  <c r="AF12" i="19"/>
  <c r="AF9" i="19"/>
  <c r="AF14" i="19"/>
  <c r="AF35" i="9"/>
  <c r="Z32" i="19"/>
  <c r="Z27" i="19"/>
  <c r="AF13" i="19"/>
  <c r="AF8" i="19"/>
  <c r="Z37" i="9"/>
  <c r="Z13" i="19"/>
  <c r="AF28" i="19"/>
  <c r="AF14" i="9"/>
  <c r="Z11" i="19"/>
  <c r="AF31" i="19"/>
  <c r="AF36" i="9"/>
  <c r="AF30" i="19"/>
  <c r="Z32" i="9"/>
  <c r="AF33" i="9"/>
  <c r="AF29" i="19"/>
  <c r="AF34" i="9"/>
  <c r="AF26" i="19"/>
  <c r="AF9" i="9"/>
  <c r="AF8" i="9"/>
  <c r="AF10" i="9"/>
  <c r="Z31" i="19"/>
  <c r="Z26" i="19"/>
  <c r="Z10" i="19"/>
  <c r="AF38" i="9"/>
  <c r="Z9" i="9"/>
  <c r="Z36" i="9"/>
  <c r="Z10" i="9"/>
  <c r="AF13" i="9"/>
  <c r="Z11" i="9"/>
  <c r="Z38" i="9"/>
  <c r="Z12" i="9"/>
  <c r="AF11" i="9"/>
  <c r="Z29" i="19"/>
  <c r="AF10" i="19"/>
  <c r="Z8" i="19"/>
  <c r="Z34" i="9"/>
  <c r="Z28" i="19"/>
  <c r="Z12" i="19"/>
  <c r="Z33" i="9"/>
  <c r="T16" i="9"/>
  <c r="T16" i="19"/>
  <c r="T34" i="19"/>
  <c r="T40" i="9"/>
  <c r="S41" i="9"/>
  <c r="S40" i="9"/>
  <c r="N11" i="9"/>
  <c r="T11" i="9" s="1"/>
  <c r="F16" i="19"/>
  <c r="F17" i="19" s="1"/>
  <c r="F34" i="19"/>
  <c r="F35" i="19" s="1"/>
  <c r="E5" i="8"/>
  <c r="G16" i="15"/>
  <c r="G47" i="15"/>
  <c r="G32" i="15"/>
  <c r="F16" i="9"/>
  <c r="F21" i="9" s="1"/>
  <c r="F40" i="9"/>
  <c r="F46" i="9" s="1"/>
  <c r="E4" i="8"/>
  <c r="N13" i="26" l="1"/>
  <c r="T13" i="26" s="1"/>
  <c r="N30" i="26"/>
  <c r="T30" i="26" s="1"/>
  <c r="N8" i="24"/>
  <c r="T8" i="24" s="1"/>
  <c r="T32" i="24" s="1"/>
  <c r="N37" i="24"/>
  <c r="T29" i="26"/>
  <c r="T36" i="26"/>
  <c r="F36" i="26" s="1"/>
  <c r="N35" i="24"/>
  <c r="N33" i="24"/>
  <c r="N14" i="26"/>
  <c r="T14" i="26" s="1"/>
  <c r="N38" i="24"/>
  <c r="F21" i="24"/>
  <c r="F17" i="24"/>
  <c r="N8" i="26"/>
  <c r="T35" i="26"/>
  <c r="T17" i="26"/>
  <c r="T18" i="26" s="1"/>
  <c r="F18" i="26" s="1"/>
  <c r="T41" i="24"/>
  <c r="T42" i="24" s="1"/>
  <c r="F42" i="24" s="1"/>
  <c r="F48" i="24" s="1"/>
  <c r="T17" i="24"/>
  <c r="T18" i="24" s="1"/>
  <c r="F18" i="24" s="1"/>
  <c r="F23" i="24" s="1"/>
  <c r="N12" i="26"/>
  <c r="N31" i="26"/>
  <c r="T31" i="26" s="1"/>
  <c r="N13" i="24"/>
  <c r="T13" i="24" s="1"/>
  <c r="T37" i="24" s="1"/>
  <c r="N26" i="26"/>
  <c r="N34" i="24"/>
  <c r="N14" i="24"/>
  <c r="T14" i="24" s="1"/>
  <c r="T38" i="24" s="1"/>
  <c r="N11" i="26"/>
  <c r="T11" i="26" s="1"/>
  <c r="N9" i="24"/>
  <c r="T9" i="24" s="1"/>
  <c r="T33" i="24" s="1"/>
  <c r="N11" i="24"/>
  <c r="N10" i="24"/>
  <c r="T10" i="24" s="1"/>
  <c r="T34" i="24" s="1"/>
  <c r="N32" i="24"/>
  <c r="N36" i="24"/>
  <c r="N32" i="26"/>
  <c r="T32" i="26" s="1"/>
  <c r="U30" i="26"/>
  <c r="AA29" i="26"/>
  <c r="AA12" i="26"/>
  <c r="AA14" i="24"/>
  <c r="AA38" i="24" s="1"/>
  <c r="U14" i="26"/>
  <c r="U14" i="24"/>
  <c r="U38" i="24" s="1"/>
  <c r="AA27" i="26"/>
  <c r="U10" i="26"/>
  <c r="AA9" i="26"/>
  <c r="U12" i="26"/>
  <c r="AA13" i="26"/>
  <c r="AA9" i="24"/>
  <c r="AA33" i="24" s="1"/>
  <c r="U9" i="24"/>
  <c r="U33" i="24" s="1"/>
  <c r="AA8" i="24"/>
  <c r="AA32" i="24" s="1"/>
  <c r="U28" i="26"/>
  <c r="U31" i="26"/>
  <c r="AA30" i="26"/>
  <c r="AA14" i="26"/>
  <c r="U10" i="24"/>
  <c r="U34" i="24" s="1"/>
  <c r="U32" i="26"/>
  <c r="U12" i="24"/>
  <c r="U36" i="24" s="1"/>
  <c r="U27" i="26"/>
  <c r="U8" i="26"/>
  <c r="AA32" i="26"/>
  <c r="U9" i="26"/>
  <c r="AA26" i="26"/>
  <c r="AA11" i="24"/>
  <c r="AA35" i="24" s="1"/>
  <c r="AA13" i="24"/>
  <c r="AA37" i="24" s="1"/>
  <c r="U13" i="26"/>
  <c r="AA8" i="26"/>
  <c r="U11" i="24"/>
  <c r="U35" i="24" s="1"/>
  <c r="AA31" i="26"/>
  <c r="U26" i="26"/>
  <c r="U13" i="24"/>
  <c r="U37" i="24" s="1"/>
  <c r="U8" i="24"/>
  <c r="U32" i="24" s="1"/>
  <c r="AA10" i="24"/>
  <c r="AA34" i="24" s="1"/>
  <c r="U29" i="26"/>
  <c r="AA28" i="26"/>
  <c r="AA10" i="26"/>
  <c r="AA12" i="24"/>
  <c r="AA36" i="24" s="1"/>
  <c r="U11" i="26"/>
  <c r="AA11" i="26"/>
  <c r="G35" i="26"/>
  <c r="G36" i="26" s="1"/>
  <c r="G17" i="26"/>
  <c r="G18" i="26" s="1"/>
  <c r="G17" i="24"/>
  <c r="G41" i="24"/>
  <c r="D23" i="8"/>
  <c r="E23" i="8" s="1"/>
  <c r="N12" i="24"/>
  <c r="T12" i="24" s="1"/>
  <c r="T36" i="24" s="1"/>
  <c r="F41" i="24"/>
  <c r="F47" i="24" s="1"/>
  <c r="F46" i="24"/>
  <c r="N27" i="26"/>
  <c r="T27" i="26" s="1"/>
  <c r="AA30" i="19"/>
  <c r="AA14" i="19"/>
  <c r="AA9" i="19"/>
  <c r="AA35" i="9"/>
  <c r="AA8" i="9"/>
  <c r="AA31" i="19"/>
  <c r="AA10" i="19"/>
  <c r="AA36" i="9"/>
  <c r="AA11" i="9"/>
  <c r="AA10" i="9"/>
  <c r="AA11" i="19"/>
  <c r="AA27" i="19"/>
  <c r="AA29" i="19"/>
  <c r="AA38" i="9"/>
  <c r="AA13" i="9"/>
  <c r="AA13" i="19"/>
  <c r="AA12" i="9"/>
  <c r="AA33" i="9"/>
  <c r="AA12" i="19"/>
  <c r="AA26" i="19"/>
  <c r="AA9" i="9"/>
  <c r="AA14" i="9"/>
  <c r="AA32" i="19"/>
  <c r="AA37" i="9"/>
  <c r="AA32" i="9"/>
  <c r="AA8" i="19"/>
  <c r="AA34" i="9"/>
  <c r="AA28" i="19"/>
  <c r="N26" i="19"/>
  <c r="T26" i="19" s="1"/>
  <c r="N37" i="9"/>
  <c r="T37" i="9" s="1"/>
  <c r="N36" i="9"/>
  <c r="T36" i="9" s="1"/>
  <c r="N10" i="9"/>
  <c r="T10" i="9" s="1"/>
  <c r="N14" i="19"/>
  <c r="T14" i="19" s="1"/>
  <c r="N34" i="9"/>
  <c r="T34" i="9" s="1"/>
  <c r="S42" i="9"/>
  <c r="U31" i="19"/>
  <c r="U27" i="19"/>
  <c r="U14" i="19"/>
  <c r="U10" i="19"/>
  <c r="U38" i="9"/>
  <c r="U34" i="9"/>
  <c r="U10" i="9"/>
  <c r="U14" i="9"/>
  <c r="U32" i="19"/>
  <c r="U28" i="19"/>
  <c r="U13" i="19"/>
  <c r="U29" i="19"/>
  <c r="U12" i="19"/>
  <c r="U8" i="19"/>
  <c r="U36" i="9"/>
  <c r="U32" i="9"/>
  <c r="U12" i="9"/>
  <c r="U30" i="19"/>
  <c r="U26" i="19"/>
  <c r="U11" i="19"/>
  <c r="U35" i="9"/>
  <c r="U9" i="9"/>
  <c r="U13" i="9"/>
  <c r="U9" i="19"/>
  <c r="U11" i="9"/>
  <c r="U8" i="9"/>
  <c r="U37" i="9"/>
  <c r="U33" i="9"/>
  <c r="D9" i="8"/>
  <c r="T35" i="19"/>
  <c r="T36" i="19" s="1"/>
  <c r="F36" i="19" s="1"/>
  <c r="T41" i="9"/>
  <c r="T42" i="9" s="1"/>
  <c r="F42" i="9" s="1"/>
  <c r="F48" i="9" s="1"/>
  <c r="T17" i="19"/>
  <c r="T18" i="19" s="1"/>
  <c r="F18" i="19" s="1"/>
  <c r="T17" i="9"/>
  <c r="T18" i="9" s="1"/>
  <c r="F18" i="9" s="1"/>
  <c r="F23" i="9" s="1"/>
  <c r="N33" i="9"/>
  <c r="T33" i="9" s="1"/>
  <c r="N14" i="9"/>
  <c r="T14" i="9" s="1"/>
  <c r="N29" i="19"/>
  <c r="T29" i="19" s="1"/>
  <c r="N30" i="19"/>
  <c r="T30" i="19" s="1"/>
  <c r="N13" i="19"/>
  <c r="T13" i="19" s="1"/>
  <c r="N8" i="19"/>
  <c r="T8" i="19" s="1"/>
  <c r="N32" i="9"/>
  <c r="T32" i="9" s="1"/>
  <c r="N38" i="9"/>
  <c r="T38" i="9" s="1"/>
  <c r="N27" i="19"/>
  <c r="T27" i="19" s="1"/>
  <c r="N28" i="19"/>
  <c r="T28" i="19" s="1"/>
  <c r="N12" i="19"/>
  <c r="T12" i="19" s="1"/>
  <c r="N10" i="19"/>
  <c r="T10" i="19" s="1"/>
  <c r="N8" i="9"/>
  <c r="T8" i="9" s="1"/>
  <c r="N35" i="9"/>
  <c r="T35" i="9" s="1"/>
  <c r="N12" i="9"/>
  <c r="T12" i="9" s="1"/>
  <c r="N31" i="19"/>
  <c r="T31" i="19" s="1"/>
  <c r="N32" i="19"/>
  <c r="T32" i="19" s="1"/>
  <c r="N9" i="19"/>
  <c r="T9" i="19" s="1"/>
  <c r="N11" i="19"/>
  <c r="T11" i="19" s="1"/>
  <c r="N9" i="9"/>
  <c r="T9" i="9" s="1"/>
  <c r="N13" i="9"/>
  <c r="T13" i="9" s="1"/>
  <c r="G17" i="19"/>
  <c r="G18" i="19" s="1"/>
  <c r="G35" i="19"/>
  <c r="G36" i="19" s="1"/>
  <c r="G41" i="9"/>
  <c r="G47" i="9" s="1"/>
  <c r="G17" i="9"/>
  <c r="G22" i="9" s="1"/>
  <c r="G33" i="15"/>
  <c r="G34" i="15"/>
  <c r="G49" i="15"/>
  <c r="G48" i="15"/>
  <c r="H48" i="15"/>
  <c r="H49" i="15" s="1"/>
  <c r="H17" i="15"/>
  <c r="H18" i="15" s="1"/>
  <c r="H33" i="15"/>
  <c r="H34" i="15" s="1"/>
  <c r="G18" i="15"/>
  <c r="G17" i="15"/>
  <c r="F41" i="9"/>
  <c r="F47" i="9" s="1"/>
  <c r="F17" i="9"/>
  <c r="F22" i="9" s="1"/>
  <c r="F47" i="7"/>
  <c r="F32" i="7"/>
  <c r="F17" i="7"/>
  <c r="T12" i="26" l="1"/>
  <c r="G18" i="24"/>
  <c r="G23" i="24" s="1"/>
  <c r="G22" i="24"/>
  <c r="G47" i="24"/>
  <c r="G42" i="24"/>
  <c r="G48" i="24" s="1"/>
  <c r="T11" i="24"/>
  <c r="T35" i="24" s="1"/>
  <c r="T8" i="26"/>
  <c r="T26" i="26"/>
  <c r="F22" i="24"/>
  <c r="F28" i="24"/>
  <c r="G18" i="9"/>
  <c r="G23" i="9" s="1"/>
  <c r="G42" i="9"/>
  <c r="G48" i="9" s="1"/>
  <c r="B22" i="23"/>
  <c r="F28" i="9"/>
  <c r="D6" i="8"/>
  <c r="D4" i="8"/>
  <c r="AG10" i="26" l="1"/>
  <c r="AG11" i="24"/>
  <c r="AG35" i="24" s="1"/>
  <c r="AG12" i="24"/>
  <c r="AG36" i="24" s="1"/>
  <c r="AG31" i="26"/>
  <c r="AG14" i="26"/>
  <c r="AG26" i="26"/>
  <c r="AG28" i="26"/>
  <c r="AG12" i="26"/>
  <c r="AG13" i="26"/>
  <c r="AG11" i="26"/>
  <c r="AG14" i="24"/>
  <c r="AG38" i="24" s="1"/>
  <c r="AG8" i="26"/>
  <c r="AG27" i="26"/>
  <c r="AG9" i="24"/>
  <c r="AG33" i="24" s="1"/>
  <c r="AG10" i="24"/>
  <c r="AG34" i="24" s="1"/>
  <c r="AG8" i="24"/>
  <c r="AG32" i="24" s="1"/>
  <c r="AG29" i="26"/>
  <c r="AG30" i="26"/>
  <c r="AG13" i="24"/>
  <c r="AG37" i="24" s="1"/>
  <c r="AG32" i="26"/>
  <c r="AG9" i="26"/>
  <c r="G34" i="26"/>
  <c r="G16" i="24"/>
  <c r="G21" i="24" s="1"/>
  <c r="G16" i="26"/>
  <c r="G40" i="24"/>
  <c r="G46" i="24" s="1"/>
  <c r="F23" i="8"/>
  <c r="Q32" i="26"/>
  <c r="R31" i="26"/>
  <c r="W30" i="26"/>
  <c r="X29" i="26"/>
  <c r="X28" i="26"/>
  <c r="AC27" i="26"/>
  <c r="J27" i="26" s="1"/>
  <c r="AD26" i="26"/>
  <c r="R14" i="26"/>
  <c r="R13" i="26"/>
  <c r="R12" i="26"/>
  <c r="W11" i="26"/>
  <c r="W10" i="26"/>
  <c r="W9" i="26"/>
  <c r="W8" i="26"/>
  <c r="AD13" i="26"/>
  <c r="AD12" i="26"/>
  <c r="AC31" i="26"/>
  <c r="AC13" i="26"/>
  <c r="AD10" i="26"/>
  <c r="Q31" i="26"/>
  <c r="H31" i="26" s="1"/>
  <c r="R30" i="26"/>
  <c r="W29" i="26"/>
  <c r="I29" i="26" s="1"/>
  <c r="W28" i="26"/>
  <c r="X27" i="26"/>
  <c r="AC26" i="26"/>
  <c r="Q14" i="26"/>
  <c r="Q13" i="26"/>
  <c r="Q12" i="26"/>
  <c r="R11" i="26"/>
  <c r="R10" i="26"/>
  <c r="R9" i="26"/>
  <c r="R8" i="26"/>
  <c r="AC14" i="26"/>
  <c r="J14" i="26" s="1"/>
  <c r="AD11" i="26"/>
  <c r="Q30" i="26"/>
  <c r="R29" i="26"/>
  <c r="R28" i="26"/>
  <c r="W27" i="26"/>
  <c r="I27" i="26" s="1"/>
  <c r="X26" i="26"/>
  <c r="Q11" i="26"/>
  <c r="Q10" i="26"/>
  <c r="Q9" i="26"/>
  <c r="Q8" i="26"/>
  <c r="Q27" i="26"/>
  <c r="H27" i="26" s="1"/>
  <c r="AD32" i="26"/>
  <c r="AD31" i="26"/>
  <c r="AD14" i="26"/>
  <c r="X32" i="26"/>
  <c r="AD30" i="26"/>
  <c r="AD8" i="26"/>
  <c r="Q29" i="26"/>
  <c r="H29" i="26" s="1"/>
  <c r="Q28" i="26"/>
  <c r="R27" i="26"/>
  <c r="W26" i="26"/>
  <c r="I26" i="26" s="1"/>
  <c r="R26" i="26"/>
  <c r="Q26" i="26"/>
  <c r="H26" i="26" s="1"/>
  <c r="AC32" i="26"/>
  <c r="AC12" i="26"/>
  <c r="J12" i="26" s="1"/>
  <c r="AD9" i="26"/>
  <c r="W32" i="26"/>
  <c r="I32" i="26" s="1"/>
  <c r="X31" i="26"/>
  <c r="AC30" i="26"/>
  <c r="J30" i="26" s="1"/>
  <c r="AD29" i="26"/>
  <c r="AD28" i="26"/>
  <c r="X14" i="26"/>
  <c r="X13" i="26"/>
  <c r="X12" i="26"/>
  <c r="AC11" i="26"/>
  <c r="J11" i="26" s="1"/>
  <c r="AC10" i="26"/>
  <c r="AC9" i="26"/>
  <c r="AC8" i="26"/>
  <c r="R32" i="26"/>
  <c r="W31" i="26"/>
  <c r="I31" i="26" s="1"/>
  <c r="X30" i="26"/>
  <c r="AC29" i="26"/>
  <c r="J29" i="26" s="1"/>
  <c r="AC28" i="26"/>
  <c r="AD27" i="26"/>
  <c r="W14" i="26"/>
  <c r="I14" i="26" s="1"/>
  <c r="W13" i="26"/>
  <c r="I13" i="26" s="1"/>
  <c r="W12" i="26"/>
  <c r="I12" i="26" s="1"/>
  <c r="X11" i="26"/>
  <c r="X10" i="26"/>
  <c r="X9" i="26"/>
  <c r="X8" i="26"/>
  <c r="AD13" i="24"/>
  <c r="D16" i="26"/>
  <c r="D17" i="26" s="1"/>
  <c r="D18" i="26" s="1"/>
  <c r="W38" i="24"/>
  <c r="X13" i="24"/>
  <c r="AD10" i="24"/>
  <c r="R37" i="24"/>
  <c r="W34" i="24"/>
  <c r="R35" i="24"/>
  <c r="Q35" i="24"/>
  <c r="Q12" i="24"/>
  <c r="H12" i="24" s="1"/>
  <c r="Q11" i="24"/>
  <c r="Q8" i="24"/>
  <c r="D34" i="26"/>
  <c r="D35" i="26" s="1"/>
  <c r="AD38" i="24"/>
  <c r="X38" i="24"/>
  <c r="AC37" i="24"/>
  <c r="AD36" i="24"/>
  <c r="AC14" i="24"/>
  <c r="AC36" i="24"/>
  <c r="J36" i="24" s="1"/>
  <c r="AC33" i="24"/>
  <c r="J33" i="24" s="1"/>
  <c r="Q14" i="24"/>
  <c r="X9" i="24"/>
  <c r="Q36" i="24"/>
  <c r="X8" i="24"/>
  <c r="W32" i="24"/>
  <c r="R11" i="24"/>
  <c r="W8" i="24"/>
  <c r="I8" i="24" s="1"/>
  <c r="Q9" i="24"/>
  <c r="C34" i="26"/>
  <c r="AC38" i="24"/>
  <c r="J38" i="24" s="1"/>
  <c r="AD37" i="24"/>
  <c r="AD14" i="24"/>
  <c r="X37" i="24"/>
  <c r="AD35" i="24"/>
  <c r="AD34" i="24"/>
  <c r="AC13" i="24"/>
  <c r="AD33" i="24"/>
  <c r="W14" i="24"/>
  <c r="AC12" i="24"/>
  <c r="J12" i="24" s="1"/>
  <c r="AD11" i="24"/>
  <c r="W36" i="24"/>
  <c r="I36" i="24" s="1"/>
  <c r="X35" i="24"/>
  <c r="X34" i="24"/>
  <c r="AD32" i="24"/>
  <c r="W13" i="24"/>
  <c r="I13" i="24" s="1"/>
  <c r="X12" i="24"/>
  <c r="AC11" i="24"/>
  <c r="J11" i="24" s="1"/>
  <c r="AC9" i="24"/>
  <c r="Q37" i="24"/>
  <c r="AC32" i="24"/>
  <c r="R13" i="24"/>
  <c r="W12" i="24"/>
  <c r="X11" i="24"/>
  <c r="X10" i="24"/>
  <c r="W33" i="24"/>
  <c r="I33" i="24" s="1"/>
  <c r="Q13" i="24"/>
  <c r="H13" i="24" s="1"/>
  <c r="W10" i="24"/>
  <c r="Q34" i="24"/>
  <c r="R10" i="24"/>
  <c r="Q33" i="24"/>
  <c r="X14" i="24"/>
  <c r="AD12" i="24"/>
  <c r="AD9" i="24"/>
  <c r="Q38" i="24"/>
  <c r="R14" i="24"/>
  <c r="AC10" i="24"/>
  <c r="J10" i="24" s="1"/>
  <c r="AD8" i="24"/>
  <c r="W35" i="24"/>
  <c r="I35" i="24" s="1"/>
  <c r="AC8" i="24"/>
  <c r="X32" i="24"/>
  <c r="W11" i="24"/>
  <c r="R32" i="24"/>
  <c r="R8" i="24"/>
  <c r="Q32" i="24"/>
  <c r="H32" i="24" s="1"/>
  <c r="R38" i="24"/>
  <c r="W37" i="24"/>
  <c r="X36" i="24"/>
  <c r="AC35" i="24"/>
  <c r="AC34" i="24"/>
  <c r="J34" i="24" s="1"/>
  <c r="R36" i="24"/>
  <c r="X33" i="24"/>
  <c r="R34" i="24"/>
  <c r="R12" i="24"/>
  <c r="W9" i="24"/>
  <c r="R33" i="24"/>
  <c r="R9" i="24"/>
  <c r="Q10" i="24"/>
  <c r="H10" i="24" s="1"/>
  <c r="D40" i="24"/>
  <c r="D41" i="24" s="1"/>
  <c r="D42" i="24" s="1"/>
  <c r="C16" i="26"/>
  <c r="C16" i="24"/>
  <c r="D16" i="24"/>
  <c r="D17" i="24" s="1"/>
  <c r="D18" i="24" s="1"/>
  <c r="C40" i="24"/>
  <c r="Q26" i="19"/>
  <c r="AG32" i="19"/>
  <c r="AG27" i="19"/>
  <c r="AG11" i="19"/>
  <c r="AG37" i="9"/>
  <c r="AG32" i="9"/>
  <c r="AG12" i="19"/>
  <c r="AG13" i="9"/>
  <c r="AG30" i="19"/>
  <c r="AG11" i="9"/>
  <c r="AG9" i="9"/>
  <c r="AG12" i="9"/>
  <c r="AG38" i="9"/>
  <c r="AG14" i="9"/>
  <c r="AG9" i="19"/>
  <c r="AG31" i="19"/>
  <c r="AG10" i="19"/>
  <c r="AG36" i="9"/>
  <c r="AG10" i="9"/>
  <c r="AG33" i="9"/>
  <c r="AG14" i="19"/>
  <c r="AG35" i="9"/>
  <c r="AG8" i="9"/>
  <c r="AG28" i="19"/>
  <c r="AG29" i="19"/>
  <c r="AG13" i="19"/>
  <c r="AG8" i="19"/>
  <c r="AG34" i="9"/>
  <c r="AG26" i="19"/>
  <c r="AC13" i="9"/>
  <c r="W9" i="9"/>
  <c r="AC26" i="19"/>
  <c r="AC9" i="9"/>
  <c r="X36" i="9"/>
  <c r="W36" i="9"/>
  <c r="I36" i="9" s="1"/>
  <c r="AC8" i="9"/>
  <c r="AD11" i="9"/>
  <c r="W14" i="9"/>
  <c r="AD31" i="19"/>
  <c r="AD12" i="19"/>
  <c r="AD38" i="9"/>
  <c r="W8" i="19"/>
  <c r="W12" i="9"/>
  <c r="X11" i="9"/>
  <c r="AD33" i="9"/>
  <c r="W26" i="19"/>
  <c r="AD34" i="9"/>
  <c r="X32" i="9"/>
  <c r="AC11" i="9"/>
  <c r="W31" i="19"/>
  <c r="X27" i="19"/>
  <c r="AD13" i="19"/>
  <c r="X11" i="19"/>
  <c r="AD8" i="19"/>
  <c r="X37" i="9"/>
  <c r="AC10" i="9"/>
  <c r="AC31" i="19"/>
  <c r="X26" i="19"/>
  <c r="X32" i="19"/>
  <c r="AD26" i="19"/>
  <c r="X13" i="19"/>
  <c r="AD10" i="19"/>
  <c r="X8" i="19"/>
  <c r="AD36" i="9"/>
  <c r="X12" i="9"/>
  <c r="AC10" i="19"/>
  <c r="X10" i="19"/>
  <c r="W32" i="19"/>
  <c r="AC29" i="19"/>
  <c r="W27" i="19"/>
  <c r="AC13" i="19"/>
  <c r="W11" i="19"/>
  <c r="AC8" i="19"/>
  <c r="W37" i="9"/>
  <c r="AC34" i="9"/>
  <c r="W32" i="9"/>
  <c r="X13" i="9"/>
  <c r="W13" i="19"/>
  <c r="AC28" i="19"/>
  <c r="AC33" i="9"/>
  <c r="AD14" i="9"/>
  <c r="X10" i="9"/>
  <c r="W34" i="9"/>
  <c r="AC12" i="19"/>
  <c r="W10" i="19"/>
  <c r="AC38" i="9"/>
  <c r="X31" i="19"/>
  <c r="W11" i="9"/>
  <c r="I11" i="9" s="1"/>
  <c r="AC36" i="9"/>
  <c r="W10" i="9"/>
  <c r="AC14" i="9"/>
  <c r="AD30" i="19"/>
  <c r="X28" i="19"/>
  <c r="AD14" i="19"/>
  <c r="X12" i="19"/>
  <c r="AD9" i="19"/>
  <c r="X38" i="9"/>
  <c r="AD35" i="9"/>
  <c r="X33" i="9"/>
  <c r="X30" i="19"/>
  <c r="X14" i="19"/>
  <c r="X9" i="19"/>
  <c r="AD37" i="9"/>
  <c r="AD32" i="9"/>
  <c r="AD12" i="9"/>
  <c r="X8" i="9"/>
  <c r="AD28" i="19"/>
  <c r="AD8" i="9"/>
  <c r="AC30" i="19"/>
  <c r="W28" i="19"/>
  <c r="AC14" i="19"/>
  <c r="W12" i="19"/>
  <c r="AC9" i="19"/>
  <c r="W38" i="9"/>
  <c r="AC35" i="9"/>
  <c r="W33" i="9"/>
  <c r="AD13" i="9"/>
  <c r="X9" i="9"/>
  <c r="AD32" i="19"/>
  <c r="AD27" i="19"/>
  <c r="AD11" i="19"/>
  <c r="X35" i="9"/>
  <c r="AC32" i="19"/>
  <c r="W30" i="19"/>
  <c r="AC27" i="19"/>
  <c r="W14" i="19"/>
  <c r="AC11" i="19"/>
  <c r="W9" i="19"/>
  <c r="AC37" i="9"/>
  <c r="J37" i="9" s="1"/>
  <c r="W35" i="9"/>
  <c r="AC32" i="9"/>
  <c r="AC12" i="9"/>
  <c r="W8" i="9"/>
  <c r="X14" i="9"/>
  <c r="AD29" i="19"/>
  <c r="AD10" i="9"/>
  <c r="W13" i="9"/>
  <c r="I13" i="9" s="1"/>
  <c r="X29" i="19"/>
  <c r="X34" i="9"/>
  <c r="W29" i="19"/>
  <c r="AD9" i="9"/>
  <c r="L4" i="23"/>
  <c r="L6" i="23" s="1"/>
  <c r="L12" i="23" s="1"/>
  <c r="D8" i="23"/>
  <c r="R30" i="19"/>
  <c r="Q29" i="19"/>
  <c r="R26" i="19"/>
  <c r="Q12" i="19"/>
  <c r="R11" i="19"/>
  <c r="Q8" i="19"/>
  <c r="R36" i="9"/>
  <c r="R32" i="9"/>
  <c r="R12" i="9"/>
  <c r="Q37" i="9"/>
  <c r="Q34" i="9"/>
  <c r="R31" i="19"/>
  <c r="Q30" i="19"/>
  <c r="H30" i="19" s="1"/>
  <c r="R27" i="19"/>
  <c r="H26" i="19"/>
  <c r="R14" i="19"/>
  <c r="R32" i="19"/>
  <c r="Q31" i="19"/>
  <c r="R28" i="19"/>
  <c r="Q27" i="19"/>
  <c r="Q14" i="19"/>
  <c r="R13" i="19"/>
  <c r="Q10" i="19"/>
  <c r="R9" i="19"/>
  <c r="R38" i="9"/>
  <c r="R34" i="9"/>
  <c r="R10" i="9"/>
  <c r="R14" i="9"/>
  <c r="Q35" i="9"/>
  <c r="Q32" i="19"/>
  <c r="R29" i="19"/>
  <c r="Q28" i="19"/>
  <c r="Q13" i="19"/>
  <c r="R12" i="19"/>
  <c r="Q9" i="19"/>
  <c r="R8" i="19"/>
  <c r="R37" i="9"/>
  <c r="R33" i="9"/>
  <c r="R11" i="9"/>
  <c r="R8" i="9"/>
  <c r="Q38" i="9"/>
  <c r="Q32" i="9"/>
  <c r="Q9" i="9"/>
  <c r="Q11" i="9"/>
  <c r="Q13" i="9"/>
  <c r="Q8" i="9"/>
  <c r="Q11" i="19"/>
  <c r="R10" i="19"/>
  <c r="R13" i="9"/>
  <c r="H13" i="9" s="1"/>
  <c r="Q36" i="9"/>
  <c r="Q12" i="9"/>
  <c r="Q33" i="9"/>
  <c r="Q14" i="9"/>
  <c r="R35" i="9"/>
  <c r="R9" i="9"/>
  <c r="H9" i="9" s="1"/>
  <c r="Q10" i="9"/>
  <c r="G34" i="19"/>
  <c r="G16" i="19"/>
  <c r="G16" i="9"/>
  <c r="G21" i="9" s="1"/>
  <c r="C16" i="19"/>
  <c r="D16" i="19"/>
  <c r="D17" i="19" s="1"/>
  <c r="D18" i="19" s="1"/>
  <c r="D34" i="19"/>
  <c r="D35" i="19" s="1"/>
  <c r="C34" i="19"/>
  <c r="D16" i="9"/>
  <c r="D17" i="9" s="1"/>
  <c r="D18" i="9" s="1"/>
  <c r="H32" i="15"/>
  <c r="H47" i="15"/>
  <c r="H16" i="15"/>
  <c r="D47" i="15"/>
  <c r="D32" i="15"/>
  <c r="D16" i="15"/>
  <c r="D17" i="15" s="1"/>
  <c r="E47" i="15"/>
  <c r="E48" i="15" s="1"/>
  <c r="E16" i="15"/>
  <c r="E17" i="15" s="1"/>
  <c r="E32" i="15"/>
  <c r="E33" i="15" s="1"/>
  <c r="G40" i="9"/>
  <c r="G46" i="9" s="1"/>
  <c r="D40" i="9"/>
  <c r="D41" i="9" s="1"/>
  <c r="D42" i="9" s="1"/>
  <c r="C16" i="9"/>
  <c r="C40" i="9"/>
  <c r="C41" i="9" s="1"/>
  <c r="E6" i="8"/>
  <c r="E7" i="8"/>
  <c r="M45" i="7"/>
  <c r="N45" i="7"/>
  <c r="O45" i="7"/>
  <c r="E15" i="7"/>
  <c r="E16" i="7" s="1"/>
  <c r="F15" i="7"/>
  <c r="G15" i="7"/>
  <c r="H15" i="7"/>
  <c r="E30" i="7"/>
  <c r="E31" i="7" s="1"/>
  <c r="E32" i="7" s="1"/>
  <c r="F30" i="7"/>
  <c r="G30" i="7"/>
  <c r="H30" i="7"/>
  <c r="E45" i="7"/>
  <c r="E46" i="7" s="1"/>
  <c r="E47" i="7" s="1"/>
  <c r="F45" i="7"/>
  <c r="G45" i="7"/>
  <c r="H45" i="7"/>
  <c r="D45" i="7"/>
  <c r="D46" i="7" s="1"/>
  <c r="P45" i="7"/>
  <c r="G18" i="11" s="1"/>
  <c r="L45" i="7"/>
  <c r="M30" i="7"/>
  <c r="N30" i="7"/>
  <c r="O30" i="7"/>
  <c r="D30" i="7"/>
  <c r="D31" i="7" s="1"/>
  <c r="D15" i="7"/>
  <c r="D16" i="7" s="1"/>
  <c r="D17" i="7" s="1"/>
  <c r="D18" i="7" s="1"/>
  <c r="P30" i="7"/>
  <c r="F18" i="11" s="1"/>
  <c r="M15" i="7"/>
  <c r="N15" i="7"/>
  <c r="O15" i="7"/>
  <c r="P15" i="7"/>
  <c r="E18" i="11" s="1"/>
  <c r="L30" i="7"/>
  <c r="L15" i="7"/>
  <c r="H34" i="24" l="1"/>
  <c r="J9" i="26"/>
  <c r="I8" i="9"/>
  <c r="J8" i="19"/>
  <c r="J8" i="24"/>
  <c r="I10" i="24"/>
  <c r="H14" i="24"/>
  <c r="H35" i="24"/>
  <c r="J32" i="26"/>
  <c r="H40" i="24"/>
  <c r="C70" i="24" s="1"/>
  <c r="C41" i="24"/>
  <c r="I35" i="9"/>
  <c r="J35" i="24"/>
  <c r="C35" i="26"/>
  <c r="H34" i="26"/>
  <c r="C64" i="26" s="1"/>
  <c r="H10" i="26"/>
  <c r="J31" i="26"/>
  <c r="I29" i="19"/>
  <c r="I9" i="19"/>
  <c r="I37" i="24"/>
  <c r="H38" i="24"/>
  <c r="I12" i="24"/>
  <c r="I26" i="24" s="1"/>
  <c r="H9" i="24"/>
  <c r="J37" i="24"/>
  <c r="J28" i="26"/>
  <c r="H28" i="26"/>
  <c r="H11" i="26"/>
  <c r="H12" i="26"/>
  <c r="J14" i="24"/>
  <c r="J13" i="26"/>
  <c r="C17" i="26"/>
  <c r="H16" i="26"/>
  <c r="C63" i="26" s="1"/>
  <c r="I38" i="24"/>
  <c r="H13" i="26"/>
  <c r="I30" i="26"/>
  <c r="C17" i="24"/>
  <c r="H16" i="24"/>
  <c r="C69" i="24" s="1"/>
  <c r="I10" i="9"/>
  <c r="J32" i="24"/>
  <c r="J44" i="24" s="1"/>
  <c r="I14" i="24"/>
  <c r="H14" i="26"/>
  <c r="I8" i="26"/>
  <c r="I20" i="26" s="1"/>
  <c r="I34" i="24"/>
  <c r="I38" i="26"/>
  <c r="H37" i="24"/>
  <c r="I32" i="24"/>
  <c r="J26" i="26"/>
  <c r="I9" i="26"/>
  <c r="H32" i="26"/>
  <c r="H8" i="26"/>
  <c r="H9" i="26"/>
  <c r="I32" i="9"/>
  <c r="I9" i="24"/>
  <c r="H33" i="24"/>
  <c r="J9" i="24"/>
  <c r="J13" i="24"/>
  <c r="H8" i="24"/>
  <c r="I10" i="26"/>
  <c r="I11" i="24"/>
  <c r="H36" i="24"/>
  <c r="H11" i="24"/>
  <c r="J8" i="26"/>
  <c r="H30" i="26"/>
  <c r="H38" i="26" s="1"/>
  <c r="I28" i="26"/>
  <c r="I11" i="26"/>
  <c r="J10" i="26"/>
  <c r="J34" i="9"/>
  <c r="J12" i="9"/>
  <c r="J33" i="9"/>
  <c r="I27" i="19"/>
  <c r="J8" i="9"/>
  <c r="D13" i="23"/>
  <c r="J32" i="9"/>
  <c r="J28" i="19"/>
  <c r="I31" i="19"/>
  <c r="I14" i="9"/>
  <c r="J35" i="9"/>
  <c r="I38" i="9"/>
  <c r="I37" i="9"/>
  <c r="I13" i="19"/>
  <c r="J31" i="19"/>
  <c r="J9" i="9"/>
  <c r="J14" i="19"/>
  <c r="J14" i="9"/>
  <c r="J13" i="19"/>
  <c r="I9" i="9"/>
  <c r="J11" i="19"/>
  <c r="J10" i="9"/>
  <c r="J29" i="19"/>
  <c r="J27" i="19"/>
  <c r="I10" i="19"/>
  <c r="I14" i="19"/>
  <c r="I26" i="19"/>
  <c r="I30" i="19"/>
  <c r="J12" i="19"/>
  <c r="I33" i="9"/>
  <c r="J9" i="19"/>
  <c r="J26" i="19"/>
  <c r="I28" i="19"/>
  <c r="J30" i="19"/>
  <c r="J11" i="9"/>
  <c r="J38" i="9"/>
  <c r="J32" i="19"/>
  <c r="I34" i="9"/>
  <c r="I12" i="9"/>
  <c r="I12" i="19"/>
  <c r="I11" i="19"/>
  <c r="J13" i="9"/>
  <c r="J36" i="9"/>
  <c r="I32" i="19"/>
  <c r="J10" i="19"/>
  <c r="I8" i="19"/>
  <c r="C17" i="9"/>
  <c r="H17" i="9" s="1"/>
  <c r="H16" i="9"/>
  <c r="H32" i="9"/>
  <c r="H28" i="19"/>
  <c r="H38" i="9"/>
  <c r="H16" i="19"/>
  <c r="C63" i="19" s="1"/>
  <c r="H33" i="9"/>
  <c r="H8" i="9"/>
  <c r="H27" i="19"/>
  <c r="H12" i="9"/>
  <c r="H11" i="19"/>
  <c r="H34" i="9"/>
  <c r="H34" i="19"/>
  <c r="H32" i="19"/>
  <c r="H14" i="9"/>
  <c r="H12" i="19"/>
  <c r="H37" i="9"/>
  <c r="H11" i="9"/>
  <c r="H9" i="19"/>
  <c r="H10" i="19"/>
  <c r="H36" i="9"/>
  <c r="H31" i="19"/>
  <c r="H8" i="19"/>
  <c r="H29" i="19"/>
  <c r="H10" i="9"/>
  <c r="H13" i="19"/>
  <c r="H35" i="9"/>
  <c r="H14" i="19"/>
  <c r="C17" i="19"/>
  <c r="H17" i="19" s="1"/>
  <c r="C35" i="19"/>
  <c r="H35" i="19" s="1"/>
  <c r="G46" i="7"/>
  <c r="G47" i="7" s="1"/>
  <c r="G21" i="11"/>
  <c r="G22" i="11"/>
  <c r="G31" i="7"/>
  <c r="G33" i="7" s="1"/>
  <c r="I22" i="11"/>
  <c r="F22" i="11"/>
  <c r="F21" i="11"/>
  <c r="I21" i="11"/>
  <c r="G16" i="7"/>
  <c r="G18" i="7" s="1"/>
  <c r="E22" i="11"/>
  <c r="E21" i="11"/>
  <c r="D48" i="15"/>
  <c r="I47" i="15"/>
  <c r="I16" i="15"/>
  <c r="D18" i="15"/>
  <c r="I18" i="15" s="1"/>
  <c r="I17" i="15"/>
  <c r="D33" i="15"/>
  <c r="I32" i="15"/>
  <c r="C42" i="9"/>
  <c r="H42" i="9" s="1"/>
  <c r="H41" i="9"/>
  <c r="H40" i="9"/>
  <c r="Q45" i="7"/>
  <c r="D47" i="7"/>
  <c r="D48" i="7" s="1"/>
  <c r="H32" i="7"/>
  <c r="H33" i="7" s="1"/>
  <c r="H31" i="7"/>
  <c r="H47" i="7"/>
  <c r="H48" i="7" s="1"/>
  <c r="H46" i="7"/>
  <c r="D32" i="7"/>
  <c r="E17" i="7"/>
  <c r="H16" i="7"/>
  <c r="H17" i="7"/>
  <c r="H18" i="7" s="1"/>
  <c r="H44" i="24" l="1"/>
  <c r="E107" i="11" s="1"/>
  <c r="I44" i="24"/>
  <c r="I55" i="24" s="1"/>
  <c r="C18" i="26"/>
  <c r="H18" i="26" s="1"/>
  <c r="E63" i="26" s="1"/>
  <c r="H17" i="26"/>
  <c r="D63" i="26" s="1"/>
  <c r="H26" i="24"/>
  <c r="H55" i="24" s="1"/>
  <c r="H41" i="24"/>
  <c r="D70" i="24" s="1"/>
  <c r="C42" i="24"/>
  <c r="H42" i="24" s="1"/>
  <c r="E70" i="24" s="1"/>
  <c r="J20" i="26"/>
  <c r="H20" i="26"/>
  <c r="F106" i="11"/>
  <c r="C18" i="24"/>
  <c r="H18" i="24" s="1"/>
  <c r="E69" i="24" s="1"/>
  <c r="H17" i="24"/>
  <c r="D69" i="24" s="1"/>
  <c r="H35" i="26"/>
  <c r="D64" i="26" s="1"/>
  <c r="C36" i="26"/>
  <c r="H36" i="26" s="1"/>
  <c r="E64" i="26" s="1"/>
  <c r="J26" i="24"/>
  <c r="J55" i="24" s="1"/>
  <c r="J38" i="26"/>
  <c r="G107" i="11" s="1"/>
  <c r="H9" i="11"/>
  <c r="D16" i="23"/>
  <c r="D15" i="23"/>
  <c r="H11" i="11"/>
  <c r="H13" i="11" s="1"/>
  <c r="F68" i="11"/>
  <c r="G75" i="11" s="1"/>
  <c r="J44" i="9"/>
  <c r="I44" i="9"/>
  <c r="I38" i="19"/>
  <c r="F83" i="11" s="1"/>
  <c r="J20" i="19"/>
  <c r="I26" i="9"/>
  <c r="AX4" i="10" s="1"/>
  <c r="J26" i="9"/>
  <c r="AY4" i="10" s="1"/>
  <c r="J38" i="19"/>
  <c r="G83" i="11" s="1"/>
  <c r="H26" i="9"/>
  <c r="AW4" i="10" s="1"/>
  <c r="I20" i="19"/>
  <c r="F82" i="11" s="1"/>
  <c r="G9" i="11"/>
  <c r="C18" i="9"/>
  <c r="H18" i="9" s="1"/>
  <c r="H20" i="19"/>
  <c r="G17" i="7"/>
  <c r="I17" i="7" s="1"/>
  <c r="H38" i="19"/>
  <c r="I31" i="7"/>
  <c r="C61" i="7" s="1"/>
  <c r="C70" i="9"/>
  <c r="G48" i="7"/>
  <c r="I48" i="7" s="1"/>
  <c r="D70" i="9"/>
  <c r="I46" i="7"/>
  <c r="C62" i="7" s="1"/>
  <c r="D69" i="9"/>
  <c r="E70" i="9"/>
  <c r="I16" i="7"/>
  <c r="C60" i="7" s="1"/>
  <c r="G32" i="7"/>
  <c r="I32" i="7" s="1"/>
  <c r="C36" i="19"/>
  <c r="H36" i="19" s="1"/>
  <c r="C64" i="19"/>
  <c r="C18" i="19"/>
  <c r="D63" i="19"/>
  <c r="E61" i="15"/>
  <c r="C62" i="15"/>
  <c r="C61" i="15"/>
  <c r="D61" i="15"/>
  <c r="C63" i="15"/>
  <c r="C69" i="9"/>
  <c r="D34" i="15"/>
  <c r="I34" i="15" s="1"/>
  <c r="I33" i="15"/>
  <c r="D49" i="15"/>
  <c r="I49" i="15" s="1"/>
  <c r="I48" i="15"/>
  <c r="I18" i="7"/>
  <c r="D33" i="7"/>
  <c r="I33" i="7" s="1"/>
  <c r="I47" i="7"/>
  <c r="G10" i="11" l="1"/>
  <c r="E82" i="11"/>
  <c r="E106" i="11"/>
  <c r="E108" i="11" s="1"/>
  <c r="G106" i="11"/>
  <c r="G108" i="11" s="1"/>
  <c r="G82" i="11"/>
  <c r="G84" i="11" s="1"/>
  <c r="G110" i="11" s="1"/>
  <c r="F107" i="11"/>
  <c r="G11" i="11"/>
  <c r="P11" i="11" s="1"/>
  <c r="E83" i="11"/>
  <c r="H83" i="11" s="1"/>
  <c r="C71" i="9"/>
  <c r="C71" i="24"/>
  <c r="F108" i="11"/>
  <c r="D17" i="23"/>
  <c r="F94" i="11" s="1"/>
  <c r="F69" i="11"/>
  <c r="G8" i="11"/>
  <c r="G12" i="11" s="1"/>
  <c r="H12" i="11"/>
  <c r="H18" i="19"/>
  <c r="Q11" i="11"/>
  <c r="E69" i="9"/>
  <c r="Q9" i="11"/>
  <c r="P9" i="11"/>
  <c r="E64" i="19"/>
  <c r="D64" i="19"/>
  <c r="D62" i="15"/>
  <c r="E62" i="15"/>
  <c r="D63" i="15"/>
  <c r="E63" i="15"/>
  <c r="D62" i="7"/>
  <c r="E62" i="7"/>
  <c r="E61" i="7"/>
  <c r="D61" i="7"/>
  <c r="E60" i="7"/>
  <c r="D60" i="7"/>
  <c r="D71" i="9" l="1"/>
  <c r="D71" i="24"/>
  <c r="G13" i="11"/>
  <c r="E71" i="9"/>
  <c r="E71" i="24"/>
  <c r="F95" i="11"/>
  <c r="G94" i="11"/>
  <c r="G95" i="11" s="1"/>
  <c r="F84" i="11"/>
  <c r="F110" i="11" s="1"/>
  <c r="H82" i="11"/>
  <c r="E84" i="11"/>
  <c r="E110" i="11" s="1"/>
  <c r="E63" i="19"/>
  <c r="J8" i="11" l="1"/>
  <c r="K9" i="11" l="1"/>
  <c r="J9" i="11"/>
  <c r="J12" i="11" s="1"/>
  <c r="J11" i="11" l="1"/>
  <c r="H68" i="11" s="1"/>
  <c r="H69" i="11" l="1"/>
  <c r="K11" i="11"/>
  <c r="K8" i="11"/>
  <c r="K12" i="11" s="1"/>
  <c r="J10" i="11"/>
  <c r="K10" i="11"/>
  <c r="I67" i="11" s="1"/>
  <c r="J67" i="11" l="1"/>
  <c r="I68" i="11"/>
  <c r="K13" i="11"/>
  <c r="L10" i="11"/>
  <c r="J13" i="11"/>
  <c r="L8" i="11"/>
  <c r="I69" i="11" l="1"/>
  <c r="L10" i="22" l="1"/>
  <c r="N10" i="22" s="1"/>
  <c r="D10" i="22" s="1"/>
  <c r="F10" i="22" l="1"/>
  <c r="D12" i="22"/>
  <c r="F12" i="22" s="1"/>
  <c r="D11" i="22"/>
  <c r="F11" i="22" s="1"/>
  <c r="F14" i="22" l="1"/>
  <c r="J13" i="22"/>
  <c r="H13" i="22"/>
  <c r="H14" i="22" l="1"/>
  <c r="I9" i="11"/>
  <c r="J14" i="22"/>
  <c r="I11" i="11"/>
  <c r="G68" i="11" l="1"/>
  <c r="I13" i="11"/>
  <c r="L13" i="11" s="1"/>
  <c r="R11" i="11"/>
  <c r="L11" i="11"/>
  <c r="I12" i="11"/>
  <c r="L12" i="11" s="1"/>
  <c r="R9" i="11"/>
  <c r="L9" i="11"/>
  <c r="F73" i="11" l="1"/>
  <c r="G69" i="11"/>
  <c r="J68" i="11"/>
  <c r="J69" i="11" s="1"/>
  <c r="F85" i="11" l="1"/>
  <c r="F86" i="11" s="1"/>
  <c r="G85" i="11"/>
  <c r="G86" i="11" s="1"/>
  <c r="E85" i="11"/>
  <c r="E86" i="11" s="1"/>
  <c r="F74" i="11"/>
  <c r="G73" i="11"/>
  <c r="G74" i="11" s="1"/>
  <c r="G76" i="11" s="1"/>
</calcChain>
</file>

<file path=xl/comments1.xml><?xml version="1.0" encoding="utf-8"?>
<comments xmlns="http://schemas.openxmlformats.org/spreadsheetml/2006/main">
  <authors>
    <author>איתי גוטגליק</author>
  </authors>
  <commentList>
    <comment ref="D9" authorId="0" shapeId="0">
      <text>
        <r>
          <rPr>
            <b/>
            <sz val="9"/>
            <color indexed="81"/>
            <rFont val="Tahoma"/>
            <family val="2"/>
          </rPr>
          <t>איתי גוטגליק:</t>
        </r>
        <r>
          <rPr>
            <sz val="9"/>
            <color indexed="81"/>
            <rFont val="Tahoma"/>
            <family val="2"/>
          </rPr>
          <t xml:space="preserve">
שימור חם - חזרה תוך 6 ימים</t>
        </r>
      </text>
    </comment>
  </commentList>
</comments>
</file>

<file path=xl/comments2.xml><?xml version="1.0" encoding="utf-8"?>
<comments xmlns="http://schemas.openxmlformats.org/spreadsheetml/2006/main">
  <authors>
    <author>אדיר לוי</author>
    <author>איתי גוטגליק</author>
  </authors>
  <commentList>
    <comment ref="H5" authorId="0" shapeId="0">
      <text>
        <r>
          <rPr>
            <b/>
            <sz val="9"/>
            <color indexed="81"/>
            <rFont val="Tahoma"/>
            <family val="2"/>
          </rPr>
          <t>אדיר לוי:</t>
        </r>
        <r>
          <rPr>
            <sz val="9"/>
            <color indexed="81"/>
            <rFont val="Tahoma"/>
            <family val="2"/>
          </rPr>
          <t xml:space="preserve">
מניח שנשאר דומה לשימור</t>
        </r>
      </text>
    </comment>
    <comment ref="G9" authorId="0" shapeId="0">
      <text>
        <r>
          <rPr>
            <b/>
            <sz val="9"/>
            <color indexed="81"/>
            <rFont val="Tahoma"/>
            <family val="2"/>
          </rPr>
          <t>אדיר לוי:</t>
        </r>
        <r>
          <rPr>
            <sz val="9"/>
            <color indexed="81"/>
            <rFont val="Tahoma"/>
            <family val="2"/>
          </rPr>
          <t xml:space="preserve">
הפעלת המשאבה לצורך שמירת הזרימה בנחל חדרה</t>
        </r>
      </text>
    </comment>
    <comment ref="H9" authorId="1" shapeId="0">
      <text>
        <r>
          <rPr>
            <b/>
            <sz val="9"/>
            <color indexed="81"/>
            <rFont val="Tahoma"/>
            <family val="2"/>
          </rPr>
          <t>איתי גוטגליק:</t>
        </r>
        <r>
          <rPr>
            <sz val="9"/>
            <color indexed="81"/>
            <rFont val="Tahoma"/>
            <family val="2"/>
          </rPr>
          <t xml:space="preserve">
הנחה- אם יעבוד 4 פעמים בשנה הצורך במשאבות ירד בחצי</t>
        </r>
      </text>
    </comment>
  </commentList>
</comments>
</file>

<file path=xl/comments3.xml><?xml version="1.0" encoding="utf-8"?>
<comments xmlns="http://schemas.openxmlformats.org/spreadsheetml/2006/main">
  <authors>
    <author>איתי גוטגליק</author>
  </authors>
  <commentList>
    <comment ref="F17" authorId="0" shapeId="0">
      <text>
        <r>
          <rPr>
            <b/>
            <sz val="9"/>
            <color indexed="81"/>
            <rFont val="Tahoma"/>
            <family val="2"/>
          </rPr>
          <t>איתי גוטגליק:</t>
        </r>
        <r>
          <rPr>
            <sz val="9"/>
            <color indexed="81"/>
            <rFont val="Tahoma"/>
            <family val="2"/>
          </rPr>
          <t xml:space="preserve">
לפי עלויות תפעול שימור חם
</t>
        </r>
      </text>
    </comment>
  </commentList>
</comments>
</file>

<file path=xl/comments4.xml><?xml version="1.0" encoding="utf-8"?>
<comments xmlns="http://schemas.openxmlformats.org/spreadsheetml/2006/main">
  <authors>
    <author>אדיר לוי</author>
  </authors>
  <commentList>
    <comment ref="T16" authorId="0" shapeId="0">
      <text>
        <r>
          <rPr>
            <b/>
            <sz val="9"/>
            <color indexed="81"/>
            <rFont val="Tahoma"/>
            <family val="2"/>
          </rPr>
          <t>אדיר לוי:</t>
        </r>
        <r>
          <rPr>
            <sz val="9"/>
            <color indexed="81"/>
            <rFont val="Tahoma"/>
            <family val="2"/>
          </rPr>
          <t xml:space="preserve">
יש עוד 0.1 שלא נסכם בעבודה קודמת</t>
        </r>
      </text>
    </comment>
  </commentList>
</comments>
</file>

<file path=xl/sharedStrings.xml><?xml version="1.0" encoding="utf-8"?>
<sst xmlns="http://schemas.openxmlformats.org/spreadsheetml/2006/main" count="2356" uniqueCount="475">
  <si>
    <t>COAL</t>
  </si>
  <si>
    <t>Total</t>
  </si>
  <si>
    <t>GAS</t>
  </si>
  <si>
    <t>GAS_MIX</t>
  </si>
  <si>
    <t>D:\sal-delek\2024-2030\‏‏‏‏‏‏Sen1-‏‏Ren-30 -2-Units-sum-win\Base2.ucp</t>
  </si>
  <si>
    <t>MAZUT</t>
  </si>
  <si>
    <t>2024 |</t>
  </si>
  <si>
    <t>2025 |</t>
  </si>
  <si>
    <t>2026 |</t>
  </si>
  <si>
    <t>2027 |</t>
  </si>
  <si>
    <t>2028 |</t>
  </si>
  <si>
    <t>2029 |</t>
  </si>
  <si>
    <t>2030 |</t>
  </si>
  <si>
    <t>D:\sal-delek\2024-2030\Sen0-‏‏Ren-30\Base.ucp</t>
  </si>
  <si>
    <t>SOLER</t>
  </si>
  <si>
    <t>METANOL</t>
  </si>
  <si>
    <t>RUTEN</t>
  </si>
  <si>
    <t>תרחיש בסיס ( הסבת פחמיות לפי התוכנית - סוף עידן הפחם 2026)</t>
  </si>
  <si>
    <t>אלפי טון</t>
  </si>
  <si>
    <t>GWH</t>
  </si>
  <si>
    <t>D:\sal-delek\2024-2030\‏‏Sen1-‏‏Ren-30\Base1.ucp</t>
  </si>
  <si>
    <t>תרחיש 1 ( הסבת שתי יחידות באתר רוטנברג בלבד והפעלת שאר היחידות בפחם)</t>
  </si>
  <si>
    <t>תרחיש 2 ( מדיניות הדממת פחמיות לפי רמת רזרבה)</t>
  </si>
  <si>
    <t>פחם</t>
  </si>
  <si>
    <t>סולר</t>
  </si>
  <si>
    <t>עלות מוכרת לטון דלק ₪\טון</t>
  </si>
  <si>
    <t>ש"ח\mmBTU</t>
  </si>
  <si>
    <t>פחם אורות רבין</t>
  </si>
  <si>
    <t>פחם רוטנברג</t>
  </si>
  <si>
    <t xml:space="preserve"> דלק ₪\טון</t>
  </si>
  <si>
    <t>ש"ח\לטון</t>
  </si>
  <si>
    <t>אשכול</t>
  </si>
  <si>
    <t>רידינג</t>
  </si>
  <si>
    <t>חיפה</t>
  </si>
  <si>
    <t>IPP_MDA_SI</t>
  </si>
  <si>
    <t>צפית</t>
  </si>
  <si>
    <t>חגית</t>
  </si>
  <si>
    <t>גזר</t>
  </si>
  <si>
    <t>מזוט</t>
  </si>
  <si>
    <t>גז</t>
  </si>
  <si>
    <t xml:space="preserve">חלופה מחיר םחם גבוה </t>
  </si>
  <si>
    <t>מחיר פחם נמוך</t>
  </si>
  <si>
    <t>טבלת סיכום חלופות</t>
  </si>
  <si>
    <t>חדירת מתחדשות</t>
  </si>
  <si>
    <t>מדיניות ייצור בפחם</t>
  </si>
  <si>
    <t>סה"כ עלות</t>
  </si>
  <si>
    <t>סה"כ כמויות ששימשו לייצור</t>
  </si>
  <si>
    <t>עלות מצטברת לדלקים במחיר פחם גבוה</t>
  </si>
  <si>
    <t>עלות מצטברת לדלקים מחיר פחם נמוך</t>
  </si>
  <si>
    <t>מחיר שולי גז</t>
  </si>
  <si>
    <t>מחיר $/MMTU</t>
  </si>
  <si>
    <t>עלות מצטברת לדלקים מחיר פחם נמוך וגז שולי</t>
  </si>
  <si>
    <r>
      <t xml:space="preserve">עלות מצטברת לדלקים במחיר פחם </t>
    </r>
    <r>
      <rPr>
        <b/>
        <sz val="11"/>
        <color rgb="FFFF0000"/>
        <rFont val="Arial"/>
        <family val="2"/>
        <scheme val="minor"/>
      </rPr>
      <t>גבוה</t>
    </r>
  </si>
  <si>
    <r>
      <t xml:space="preserve">עלות מצטברת לדלקים מחיר פחם </t>
    </r>
    <r>
      <rPr>
        <b/>
        <sz val="11"/>
        <color rgb="FFFF0000"/>
        <rFont val="Arial"/>
        <family val="2"/>
        <scheme val="minor"/>
      </rPr>
      <t>נמוך</t>
    </r>
  </si>
  <si>
    <t>basis</t>
  </si>
  <si>
    <t>תרחיש בסיס</t>
  </si>
  <si>
    <t>תרחיש 1</t>
  </si>
  <si>
    <t>תרחיש 2</t>
  </si>
  <si>
    <t>COAL_RTC</t>
  </si>
  <si>
    <t>COAL_MDC</t>
  </si>
  <si>
    <t>IEC</t>
  </si>
  <si>
    <t>RUTEN_C4</t>
  </si>
  <si>
    <t>RUTEN_C3</t>
  </si>
  <si>
    <t>RUTEN_A2</t>
  </si>
  <si>
    <t>RUTEN_A1</t>
  </si>
  <si>
    <t>MAORDAV_B6</t>
  </si>
  <si>
    <t>MAORDAV_B5</t>
  </si>
  <si>
    <t>Jan 2024 |</t>
  </si>
  <si>
    <t>Feb 2024 |</t>
  </si>
  <si>
    <t>Mar 2024 |</t>
  </si>
  <si>
    <t>Apr 2024 |</t>
  </si>
  <si>
    <t>May 2024 |</t>
  </si>
  <si>
    <t>Jun 2024 |</t>
  </si>
  <si>
    <t>Jul 2024 |</t>
  </si>
  <si>
    <t>Aug 2024 |</t>
  </si>
  <si>
    <t>Sep 2024 |</t>
  </si>
  <si>
    <t>Oct 2024 |</t>
  </si>
  <si>
    <t>Nov 2024 |</t>
  </si>
  <si>
    <t>Dec 2024 |</t>
  </si>
  <si>
    <t>Jan 2025 |</t>
  </si>
  <si>
    <t>Feb 2025 |</t>
  </si>
  <si>
    <t>Mar 2025 |</t>
  </si>
  <si>
    <t>Apr 2025 |</t>
  </si>
  <si>
    <t>May 2025 |</t>
  </si>
  <si>
    <t>Jun 2025 |</t>
  </si>
  <si>
    <t>Jul 2025 |</t>
  </si>
  <si>
    <t>Aug 2025 |</t>
  </si>
  <si>
    <t>Sep 2025 |</t>
  </si>
  <si>
    <t>Oct 2025 |</t>
  </si>
  <si>
    <t>Nov 2025 |</t>
  </si>
  <si>
    <t>Dec 2025 |</t>
  </si>
  <si>
    <t>Jan 2026 |</t>
  </si>
  <si>
    <t>Feb 2026 |</t>
  </si>
  <si>
    <t>Mar 2026 |</t>
  </si>
  <si>
    <t>Apr 2026 |</t>
  </si>
  <si>
    <t>May 2026 |</t>
  </si>
  <si>
    <t>Jun 2026 |</t>
  </si>
  <si>
    <t>Jul 2026 |</t>
  </si>
  <si>
    <t>Aug 2026 |</t>
  </si>
  <si>
    <t>Sep 2026 |</t>
  </si>
  <si>
    <t>Oct 2026 |</t>
  </si>
  <si>
    <t>Nov 2026 |</t>
  </si>
  <si>
    <t>Dec 2026 |</t>
  </si>
  <si>
    <t>Jan 2027 |</t>
  </si>
  <si>
    <t>Feb 2027 |</t>
  </si>
  <si>
    <t>Mar 2027 |</t>
  </si>
  <si>
    <t>Apr 2027 |</t>
  </si>
  <si>
    <t>May 2027 |</t>
  </si>
  <si>
    <t>Jun 2027 |</t>
  </si>
  <si>
    <t>Jul 2027 |</t>
  </si>
  <si>
    <t>Aug 2027 |</t>
  </si>
  <si>
    <t>Sep 2027 |</t>
  </si>
  <si>
    <t>Oct 2027 |</t>
  </si>
  <si>
    <t>Nov 2027 |</t>
  </si>
  <si>
    <t>Dec 2027 |</t>
  </si>
  <si>
    <t>Jan 2028 |</t>
  </si>
  <si>
    <t>Feb 2028 |</t>
  </si>
  <si>
    <t>Mar 2028 |</t>
  </si>
  <si>
    <t>Apr 2028 |</t>
  </si>
  <si>
    <t>May 2028 |</t>
  </si>
  <si>
    <t>Jun 2028 |</t>
  </si>
  <si>
    <t>Jul 2028 |</t>
  </si>
  <si>
    <t>Aug 2028 |</t>
  </si>
  <si>
    <t>Sep 2028 |</t>
  </si>
  <si>
    <t>Oct 2028 |</t>
  </si>
  <si>
    <t>Nov 2028 |</t>
  </si>
  <si>
    <t>Dec 2028 |</t>
  </si>
  <si>
    <t>Jan 2029 |</t>
  </si>
  <si>
    <t>Feb 2029 |</t>
  </si>
  <si>
    <t>Mar 2029 |</t>
  </si>
  <si>
    <t>Apr 2029 |</t>
  </si>
  <si>
    <t>May 2029 |</t>
  </si>
  <si>
    <t>Jun 2029 |</t>
  </si>
  <si>
    <t>Jul 2029 |</t>
  </si>
  <si>
    <t>Aug 2029 |</t>
  </si>
  <si>
    <t>Sep 2029 |</t>
  </si>
  <si>
    <t>Oct 2029 |</t>
  </si>
  <si>
    <t>Nov 2029 |</t>
  </si>
  <si>
    <t>Dec 2029 |</t>
  </si>
  <si>
    <t>Jan 2030 |</t>
  </si>
  <si>
    <t>Feb 2030 |</t>
  </si>
  <si>
    <t>Mar 2030 |</t>
  </si>
  <si>
    <t>Apr 2030 |</t>
  </si>
  <si>
    <t>May 2030 |</t>
  </si>
  <si>
    <t>Jun 2030 |</t>
  </si>
  <si>
    <t>Jul 2030 |</t>
  </si>
  <si>
    <t>Aug 2030 |</t>
  </si>
  <si>
    <t>Sep 2030 |</t>
  </si>
  <si>
    <t>Oct 2030 |</t>
  </si>
  <si>
    <t>Nov 2030 |</t>
  </si>
  <si>
    <t>Dec 2030 |</t>
  </si>
  <si>
    <t>תחישבסיס 30% מתחדשות</t>
  </si>
  <si>
    <t>תחיש1 30% מתחדשות</t>
  </si>
  <si>
    <t>תחיש מדיניות 30% מתחדשות</t>
  </si>
  <si>
    <t>מס התנעות</t>
  </si>
  <si>
    <t>תרחיש 0 30%</t>
  </si>
  <si>
    <t>תרחיש 1 30%</t>
  </si>
  <si>
    <t>D:\sal-delek\2024-2030\‏‏Sen0-‏‏Ren-30 -T3.5\Base.ucp</t>
  </si>
  <si>
    <t>D:\sal-delek\2024-2030\‏‏‏‏Sen1-‏‏Ren-30 -T3.5\Base1.ucp</t>
  </si>
  <si>
    <t>התנעות</t>
  </si>
  <si>
    <t>שעות עבודה</t>
  </si>
  <si>
    <t>סה"כ שעות הפעלה של תחנות פחמיות</t>
  </si>
  <si>
    <t>התנעות תחנות פחם</t>
  </si>
  <si>
    <t>יחס המרה</t>
  </si>
  <si>
    <t>המרה ל-BCM</t>
  </si>
  <si>
    <t>גז ב-BCM</t>
  </si>
  <si>
    <t>גז במיליוני MMBTU</t>
  </si>
  <si>
    <t>אנרגיה שיוצרה בפחם GWH</t>
  </si>
  <si>
    <t>שעות הפעלה</t>
  </si>
  <si>
    <t xml:space="preserve">שעות הפעלה </t>
  </si>
  <si>
    <t>D:\sal-delek\2024-2030\‏‏‏‏‏‏‏‏Sen1-‏‏Ren-30 -2-Units-sum-win-T3.5\Base2.ucp</t>
  </si>
  <si>
    <t>תחיש 0</t>
  </si>
  <si>
    <t xml:space="preserve">תרחיש 2 מדיניות </t>
  </si>
  <si>
    <t xml:space="preserve">מספר התנעות </t>
  </si>
  <si>
    <t>מספר התנעות</t>
  </si>
  <si>
    <t>תמ"ג 3% - חדירת מתחדשות 30%</t>
  </si>
  <si>
    <t>תמ"ג 3.5% - חדירת מתחדשות 30%</t>
  </si>
  <si>
    <t xml:space="preserve">BCM </t>
  </si>
  <si>
    <t>D:\sal-delek\‏‏2024-2030-Ren20\‏‏Sen0-‏‏Ren-20\Base.ucp</t>
  </si>
  <si>
    <t>COAL_RT</t>
  </si>
  <si>
    <t>COAL_MD</t>
  </si>
  <si>
    <t>MAORDAV_A4</t>
  </si>
  <si>
    <t>MAORDAV_A3</t>
  </si>
  <si>
    <t>MAORDAV_A2</t>
  </si>
  <si>
    <t>MAORDAV_A1</t>
  </si>
  <si>
    <t>HADERA</t>
  </si>
  <si>
    <t>D:\sal-delek\‏‏2024-2030-Ren20\‏‏‏‏Sen1-‏‏Ren-20\Base1.ucp</t>
  </si>
  <si>
    <t>השקעות החל משנת 2029</t>
  </si>
  <si>
    <t>תרחיש 1 ( הסבת שתי יחידות באתר רוטנברג בלבד והפעלת פחמיות לפי מדיניות)</t>
  </si>
  <si>
    <t>D:\sal-delek\‏‏2024-2030-Ren20\‏‏‏‏Sen0-‏‏Ren-20 -adv-inv\Base.ucp</t>
  </si>
  <si>
    <t xml:space="preserve">השקעות החל מיוני 2027 </t>
  </si>
  <si>
    <t>חלופה 1: מתחדשות 20% תמ"ג 3 - הקמת מחז"מם החל משנת 2029</t>
  </si>
  <si>
    <t>D:\sal-delek\‏‏2024-2030-Ren20\‏‏‏‏‏‏Sen1-‏‏Ren-20 - adv-inv\Base1.ucp</t>
  </si>
  <si>
    <t>חלופה 2: מתחדשות 20% תמ"ג 3 - הקמת מחז"מם החל יוני 2027</t>
  </si>
  <si>
    <t xml:space="preserve">מחיר משוקלל </t>
  </si>
  <si>
    <t>תרחיש בסיס ( הסבת פחמיות לפי התוכנית עם הפעלת מוסבות בתקופה עם רמת רזרבה נמוכה  - סוף עידן הפחם 2026)</t>
  </si>
  <si>
    <t>ייצור מפחם GWH</t>
  </si>
  <si>
    <t>חלופה 1 - 20% מתחדשות - תמ"ג 3 והקמת מחז"מים החל משנת 2029</t>
  </si>
  <si>
    <t>חלופה 2 - 20% מתחדשות - תמ"ג 3 והקמת מחז"מים החל מיוני 2027</t>
  </si>
  <si>
    <t>התנעות תרחיש 0</t>
  </si>
  <si>
    <t>חלופה 1</t>
  </si>
  <si>
    <t>שעות פעולה  תרחיש 1</t>
  </si>
  <si>
    <t>שעות פעולה  תרחיש0</t>
  </si>
  <si>
    <t>התנעות תרחיש 1</t>
  </si>
  <si>
    <t>חלופה2</t>
  </si>
  <si>
    <t xml:space="preserve">שעות פעולה  תרחיש 0  </t>
  </si>
  <si>
    <t xml:space="preserve">שעות פעולה  תרחיש 1  </t>
  </si>
  <si>
    <t>כמות פחם במחיר בסיס</t>
  </si>
  <si>
    <t>מחיר</t>
  </si>
  <si>
    <t>כמות פחם במחיר שולי</t>
  </si>
  <si>
    <t>מחיר משוקלל</t>
  </si>
  <si>
    <t>טון</t>
  </si>
  <si>
    <t>משקל אחוזי</t>
  </si>
  <si>
    <t>גז בסיס</t>
  </si>
  <si>
    <t>גז שולי</t>
  </si>
  <si>
    <t>עלות שנתית פחם זול גז שולי</t>
  </si>
  <si>
    <t>ממוצע הנעות לתחנה</t>
  </si>
  <si>
    <t>ממוצע שעות לתחנה</t>
  </si>
  <si>
    <t>תרחיש בסיס ( הסבת פחמיות לפי התוכנית - סוף עידן הפחם 2026) הפעלה לפי מדיניות</t>
  </si>
  <si>
    <t>היקף שימוש הגז BCM</t>
  </si>
  <si>
    <t>היקף שימוש בפחם בשנים 2024-2030 GWH</t>
  </si>
  <si>
    <t>תרחיש 1 ( מדיניות הדממת פחמיות לפי רמת רזרבה)</t>
  </si>
  <si>
    <t>חלופת 1 - הקדמת מחז"מים החל משנת 2029</t>
  </si>
  <si>
    <t>חלופת 2 - הקדמת מחז"מים החל מיוני 2027</t>
  </si>
  <si>
    <t xml:space="preserve">הפרשים בין התרחישים </t>
  </si>
  <si>
    <t>עלויות סביבתיות מקומיות במלש"ח</t>
  </si>
  <si>
    <t>עלויות סביבתיות CO2 במלש"ח</t>
  </si>
  <si>
    <t>אומדן עלות ליח' מס' 1 באתר רוטנברג</t>
  </si>
  <si>
    <t>מיליוני ₪</t>
  </si>
  <si>
    <t>אומדן עלות ליח' מס' 2 באתר רוטנברג</t>
  </si>
  <si>
    <t>אומדן עלות ליח' מס'3+4 באתר רוטנברג</t>
  </si>
  <si>
    <t>אומדן עלות ליח' מס' 5 ו- 6 באתר אורות רבין</t>
  </si>
  <si>
    <t xml:space="preserve">סה"כ </t>
  </si>
  <si>
    <t>₪/לקוט</t>
  </si>
  <si>
    <t>עלות נחסכת בהסבה לשנה</t>
  </si>
  <si>
    <t>סה"כ קו"ט מותקן</t>
  </si>
  <si>
    <t>עלות ממוצעת ליחידה</t>
  </si>
  <si>
    <t>עלות ממוצעת למתקן</t>
  </si>
  <si>
    <t>תפעול</t>
  </si>
  <si>
    <t>עלות לאחר הסבה</t>
  </si>
  <si>
    <t>הפרש</t>
  </si>
  <si>
    <t>רוטנברג</t>
  </si>
  <si>
    <t>אורות רבין</t>
  </si>
  <si>
    <t>תרחיש 0</t>
  </si>
  <si>
    <t>מוסב</t>
  </si>
  <si>
    <t>פחמי</t>
  </si>
  <si>
    <t>שימור</t>
  </si>
  <si>
    <t>תרחיש 1 -חלופה 1</t>
  </si>
  <si>
    <t>תרחיש 1 -חלופה 2</t>
  </si>
  <si>
    <t>חישוב עלויות תפעול</t>
  </si>
  <si>
    <t>קו"ט 1-4</t>
  </si>
  <si>
    <t>עלות הון שימור לקו"ט</t>
  </si>
  <si>
    <t>עודף עלות הסבה על שימור</t>
  </si>
  <si>
    <t>עלויות צינור גז</t>
  </si>
  <si>
    <t>ביטול חוזי הסבה</t>
  </si>
  <si>
    <t>אומדן מעודכן - ספטמבר 2022</t>
  </si>
  <si>
    <t>יחידה 1 ברוטנברג</t>
  </si>
  <si>
    <t>יחידה 2 ברוטנברג</t>
  </si>
  <si>
    <t>יחידות 1+2 ברוטנברג</t>
  </si>
  <si>
    <t>יחידות 3+4 ברוטנברג</t>
  </si>
  <si>
    <t>יחידות 5+6 באורות רבין</t>
  </si>
  <si>
    <t>סה"כ</t>
  </si>
  <si>
    <t>פינויי תשתיות, פירוק מחממי מזוט וכו' (כללי)</t>
  </si>
  <si>
    <t>מערך הגז הטבעי - מקטעים 1 ו-2 כולל החלק המשותף</t>
  </si>
  <si>
    <t>אתר הדלק הנוזלי</t>
  </si>
  <si>
    <t>הסכמים עם ריילי</t>
  </si>
  <si>
    <t>PRMS</t>
  </si>
  <si>
    <t>סה"כ ביניים</t>
  </si>
  <si>
    <t xml:space="preserve">בנ"מ </t>
  </si>
  <si>
    <t>₪ לקוט"ש</t>
  </si>
  <si>
    <t>כמות ייצור</t>
  </si>
  <si>
    <t>הספק</t>
  </si>
  <si>
    <t>שעות</t>
  </si>
  <si>
    <t>עלות עודפת לסולר</t>
  </si>
  <si>
    <t>מחיר לMMBTU</t>
  </si>
  <si>
    <t>שבועיים ב-7 שנים</t>
  </si>
  <si>
    <t>D:\sal-delek\‏‏2024-2030-Ren20\‏‏‏‏‏‏Sen1-‏‏Ren-20-Storage-test\Base1.ucp</t>
  </si>
  <si>
    <t xml:space="preserve">תיקון כניסת אגירה </t>
  </si>
  <si>
    <t>שיעור היוון</t>
  </si>
  <si>
    <t>עלות מהוונת</t>
  </si>
  <si>
    <t>היוון</t>
  </si>
  <si>
    <t>עלות דלקים מהוונת לפי תרחיש מחיר פחם ממוצעת ומחיר גז שולי במלש"ח</t>
  </si>
  <si>
    <t>עלויות הון להסבה או שימור מהוונות</t>
  </si>
  <si>
    <t>עלויות כוללות</t>
  </si>
  <si>
    <t>עלויות תפעול שוטפות מהוונות (לרבות עלויות מחסור פתאומי בגז)</t>
  </si>
  <si>
    <t>D:\sal-delek\‏‏2024-2030-Ren20\‏‏‏‏‏‏‏‏Sen1-‏‏Ren-20 - adv-inv -Storage-test\Base1.ucp</t>
  </si>
  <si>
    <t>GHW</t>
  </si>
  <si>
    <t>חלופה 2</t>
  </si>
  <si>
    <t>MUSTRUN</t>
  </si>
  <si>
    <t>תרחיש חליפי ( אי הסבת התחנות ומעבר להליך שימור)</t>
  </si>
  <si>
    <t xml:space="preserve">עלויות תפעול שוטפות מהוונות </t>
  </si>
  <si>
    <t>עלויות מחסור פתאומי בגז</t>
  </si>
  <si>
    <t>עלויות הון תפעול וסביבתיות כוללות</t>
  </si>
  <si>
    <t>עלויות הון תפעול  (ללא דלקים וסביבה)</t>
  </si>
  <si>
    <t>הפרש עלויות בניכוי מוכנות להפעלה מיידית של תחנות קיטוריות בפחם</t>
  </si>
  <si>
    <t>עלות דלקים מהוונת לפי תרחיש מחיר פחם גבוה ומחיר גז ממוצע במלש"ח</t>
  </si>
  <si>
    <t>עלות דלקים מהוונת לפי תרחיש מחיר פחם ממוצע ומחיר גז שולי במלש"ח</t>
  </si>
  <si>
    <t>עלות דלקים מהוונת לפי תרחיש מחיר פחם ממוצע ומחיר גז ממוצע במלש"ח</t>
  </si>
  <si>
    <t>בניכוי הפרש בעלויות אחרות</t>
  </si>
  <si>
    <t>סה"כ הפרש בין התרחישים</t>
  </si>
  <si>
    <t>העמסת לפי מדיניות רזרבה נדרשת</t>
  </si>
  <si>
    <t xml:space="preserve">עלות יצור סולר במחז"מ </t>
  </si>
  <si>
    <t>עלות יצור פחם</t>
  </si>
  <si>
    <t xml:space="preserve">עלות עודפת </t>
  </si>
  <si>
    <t>MW</t>
  </si>
  <si>
    <t>סה"כ יצור אנרגיה בזמן חירום</t>
  </si>
  <si>
    <t>MWH</t>
  </si>
  <si>
    <t>סה"כ עלות עודפת בזמן חירום</t>
  </si>
  <si>
    <t>₪</t>
  </si>
  <si>
    <t xml:space="preserve">חישוב עלות מחסור פתאומי בגז </t>
  </si>
  <si>
    <t>סך הספק שעתי להפעלת יחידות מוסבות</t>
  </si>
  <si>
    <t>עלות</t>
  </si>
  <si>
    <t>אג לקווטש</t>
  </si>
  <si>
    <t>מחיר פחם אג'/ לקווט"ש</t>
  </si>
  <si>
    <t>מחיר גז אג' לקווט"ש</t>
  </si>
  <si>
    <t xml:space="preserve">נמוך </t>
  </si>
  <si>
    <t>גבוה</t>
  </si>
  <si>
    <t xml:space="preserve"> פחם </t>
  </si>
  <si>
    <t>מחיר באג לקוווט"ש</t>
  </si>
  <si>
    <t>שנה</t>
  </si>
  <si>
    <t>קוט"ש מיותר בסולר במקום פחם</t>
  </si>
  <si>
    <t>עלות עודפת באלש"ח</t>
  </si>
  <si>
    <t>יחס עלות גז לקו"טש</t>
  </si>
  <si>
    <t>ל-MMBTU</t>
  </si>
  <si>
    <t>מקדם היוון ל-2023</t>
  </si>
  <si>
    <t>עלות שימור כוללת במלש"ח</t>
  </si>
  <si>
    <t>הספק במו"ט</t>
  </si>
  <si>
    <t>עלות שימור במלש"ח</t>
  </si>
  <si>
    <t>יח' מס' 5 ו- 6 באתר אורות רבין</t>
  </si>
  <si>
    <t>יח' מס'3 באתר רוטנברג</t>
  </si>
  <si>
    <t>עלות תפעול פחמית מופעלת</t>
  </si>
  <si>
    <t>עלויות תפעול שימור שוטפת</t>
  </si>
  <si>
    <t>עלויות תפעול מוסבות</t>
  </si>
  <si>
    <t>יח' מס'4 באתר רוטנברג</t>
  </si>
  <si>
    <t>שנת הסבה תרחיש 1-1</t>
  </si>
  <si>
    <t>שנת הסבה תרחיש 1-2</t>
  </si>
  <si>
    <t>עלות לפני הסבה ליחידה בממוצע</t>
  </si>
  <si>
    <t>עלות לכלל תחנות הקיטוריות</t>
  </si>
  <si>
    <t>נכון ל-1/6/2023</t>
  </si>
  <si>
    <t>סיכום</t>
  </si>
  <si>
    <t>עלות שכבר הושקעה ע"י חחי</t>
  </si>
  <si>
    <t>ככל שלא יושלם- חשיפה לתביעות משפטיות  לפי חחי (בעיקר נתגז)</t>
  </si>
  <si>
    <t>סה"כ עלות שקועה לפי חחי</t>
  </si>
  <si>
    <t>חלופה 3</t>
  </si>
  <si>
    <t>מחירי גז</t>
  </si>
  <si>
    <t>מחירי פחם</t>
  </si>
  <si>
    <t>הסבר</t>
  </si>
  <si>
    <t xml:space="preserve"> ₪\טון</t>
  </si>
  <si>
    <t>מחיר גז</t>
  </si>
  <si>
    <t>ממוצע מחירים טרום קורונה</t>
  </si>
  <si>
    <t>מחיר גז נוכחי</t>
  </si>
  <si>
    <t>מחיר פחם 6/23</t>
  </si>
  <si>
    <t>מחיר הגז שולי גבוה</t>
  </si>
  <si>
    <t>עלויות הון</t>
  </si>
  <si>
    <t>המשך פעילות עד 2045</t>
  </si>
  <si>
    <t>עלויות תפעול</t>
  </si>
  <si>
    <t>חלופת 0</t>
  </si>
  <si>
    <t>עודף עלויות חירום בשימור</t>
  </si>
  <si>
    <t>שנתיים נוספות עד 2045</t>
  </si>
  <si>
    <t>עלות ליום</t>
  </si>
  <si>
    <t>עלות שנתית</t>
  </si>
  <si>
    <t>היוון להיום</t>
  </si>
  <si>
    <t>בלו על פחם</t>
  </si>
  <si>
    <t>בלו על ג</t>
  </si>
  <si>
    <t>סכום הבלו ומס הקנייה על פחם בש"ח לטון יעמוד על 147 בשנת 2025, 195 בשנת 2026, 255 בשנת 2027, 335 בשנת 2028, 415 בשנת 2029, 515 בשנת 2030 ואילך.</t>
  </si>
  <si>
    <t>2)    סכום הבלו ומס הקנייה על גז טבעי בש"ח לטון יעמוד על סך של 33 בשנת 2025, 54 בשנת 2026, 80 בשנת 2027, 114 בשנת 2028, 149 בשנת 2029, 192 בשנת 2030 ואילך.</t>
  </si>
  <si>
    <t xml:space="preserve">פער הסבה - שימור </t>
  </si>
  <si>
    <t>עם מס פחמן החל משנת 2025</t>
  </si>
  <si>
    <t xml:space="preserve">הנחה על הפעלה בסולר למשך שבועיים </t>
  </si>
  <si>
    <t>חיסכון משימור</t>
  </si>
  <si>
    <t>אומדן של עלות הקשעה - קיבלנו עלות עדכנית ולא קחבלנו אותה בגלל שטרם עברה בקרה</t>
  </si>
  <si>
    <t>עלות ייצור סולר במחז"מ ללא בלו</t>
  </si>
  <si>
    <t>עלות ייצור פחם ללא בלו</t>
  </si>
  <si>
    <t>עלות הפעלת שימור חם</t>
  </si>
  <si>
    <t>כולל בלו</t>
  </si>
  <si>
    <t>שימור חם</t>
  </si>
  <si>
    <t>טון למחזור בדיקה ליחידה</t>
  </si>
  <si>
    <t>טון שנתי</t>
  </si>
  <si>
    <t>מחיר לטון</t>
  </si>
  <si>
    <t>עלות ללא בלו</t>
  </si>
  <si>
    <t>מוט"ש מיוצר</t>
  </si>
  <si>
    <t>הפעלה</t>
  </si>
  <si>
    <t xml:space="preserve">עלות </t>
  </si>
  <si>
    <t>שימור קר</t>
  </si>
  <si>
    <t>סגירה</t>
  </si>
  <si>
    <t>טון פחם</t>
  </si>
  <si>
    <t>העמסה במקסימום</t>
  </si>
  <si>
    <t>טון סולר</t>
  </si>
  <si>
    <t>לפי גיליון מצורף</t>
  </si>
  <si>
    <t>פעמים בשנה</t>
  </si>
  <si>
    <t>מוטש מיוצר</t>
  </si>
  <si>
    <t>שנתי</t>
  </si>
  <si>
    <t>בלו (2027)</t>
  </si>
  <si>
    <t>מחיר פחם ינואר 2025</t>
  </si>
  <si>
    <t>מחיר סולר</t>
  </si>
  <si>
    <t>ללא בלו</t>
  </si>
  <si>
    <t>ייצור חלופי בגז</t>
  </si>
  <si>
    <t>כמות</t>
  </si>
  <si>
    <t>נצילות</t>
  </si>
  <si>
    <t>מגה ואט לטון</t>
  </si>
  <si>
    <t>טון נדרש לייצור מגו"ש</t>
  </si>
  <si>
    <t>MMBTU/TON</t>
  </si>
  <si>
    <t>מחיר ל MMBTU</t>
  </si>
  <si>
    <t>שע"ח</t>
  </si>
  <si>
    <t>עלויות משתנות</t>
  </si>
  <si>
    <t>אגורות לקוט"ש</t>
  </si>
  <si>
    <t xml:space="preserve">גז </t>
  </si>
  <si>
    <t>https://www.gov.il/he/pages/natural_gas_conecting?chapterIndex=4</t>
  </si>
  <si>
    <t xml:space="preserve">סולר </t>
  </si>
  <si>
    <t>עלות אג' לקוט"ש תחנה אלטרנטיבית בגז (הסתכלות על משק החשמל בלבד)</t>
  </si>
  <si>
    <t>עלות גז</t>
  </si>
  <si>
    <t>עלות פחם</t>
  </si>
  <si>
    <t>עלות גז למגו"ש</t>
  </si>
  <si>
    <t>עלות ממוצעת בפחם 1-4</t>
  </si>
  <si>
    <t>בלו גז</t>
  </si>
  <si>
    <t>עלות טון גז</t>
  </si>
  <si>
    <t>סה"כ עלות טון גז</t>
  </si>
  <si>
    <t>בלו פחם</t>
  </si>
  <si>
    <t>עלות טון פחם</t>
  </si>
  <si>
    <t>סה"כ עלות טון פחם</t>
  </si>
  <si>
    <t>עלות בסולר</t>
  </si>
  <si>
    <t>עלות גז חלופי בסגירה</t>
  </si>
  <si>
    <t>עלות שנתית ייצור משלים בגז ללא בלו</t>
  </si>
  <si>
    <t>עלות שנתית ייצור משלים בגז כולל בלו</t>
  </si>
  <si>
    <t>עלות שנתית פחם ללא בלו</t>
  </si>
  <si>
    <t>עלות שנתית פחם כולל בלו</t>
  </si>
  <si>
    <t>עלות שנתית סולר ללא בלו</t>
  </si>
  <si>
    <t xml:space="preserve">עלות שנתית סולר כולל בלו </t>
  </si>
  <si>
    <t xml:space="preserve">שימור חם </t>
  </si>
  <si>
    <t>הפעלה בגז</t>
  </si>
  <si>
    <t>פער עלויות</t>
  </si>
  <si>
    <t>כמות הפעלות בשנה</t>
  </si>
  <si>
    <t>כמות תחנות</t>
  </si>
  <si>
    <t>סה"כ טון שנתי</t>
  </si>
  <si>
    <t>עלות אלטרנטיבית בגז</t>
  </si>
  <si>
    <t>סה"כ עלות הפעלה באלפי ₪</t>
  </si>
  <si>
    <t>עלות עודפת לשנה</t>
  </si>
  <si>
    <t xml:space="preserve">עלות מהוונת לשנים </t>
  </si>
  <si>
    <t>מקדם היוון</t>
  </si>
  <si>
    <t>מחיר ₪ לטון</t>
  </si>
  <si>
    <t>עלות ייצור ממוצעת בגז אג' לקוט"ש</t>
  </si>
  <si>
    <t>טון דלק להפעלה 3 ימים</t>
  </si>
  <si>
    <t xml:space="preserve">עלות ייצור ממוצעת בגז </t>
  </si>
  <si>
    <t>סה"כ ייצור MWH</t>
  </si>
  <si>
    <t>סה"כ מחיר ₪ לטון</t>
  </si>
  <si>
    <t xml:space="preserve">בלו </t>
  </si>
  <si>
    <t>מחיר  ₪ לטון</t>
  </si>
  <si>
    <t xml:space="preserve">עלות ייצור ממוצעת בפחם </t>
  </si>
  <si>
    <t>אג' לקוט"ש כולל בלו שנת 2030</t>
  </si>
  <si>
    <t>יצןר MWH</t>
  </si>
  <si>
    <t>שימור קר - חירום</t>
  </si>
  <si>
    <t>פחמיות</t>
  </si>
  <si>
    <t>מחזמים</t>
  </si>
  <si>
    <t>עובדים</t>
  </si>
  <si>
    <t>יכולת הפעלה במקביל ל 70 80</t>
  </si>
  <si>
    <t xml:space="preserve">יכולת עבודה במקביל של 2 מחזמים עם 4 יחדות פחמיות </t>
  </si>
  <si>
    <t>שכר</t>
  </si>
  <si>
    <t>מספר משרות</t>
  </si>
  <si>
    <t xml:space="preserve">נגה מבקשים שחחי יעמידו רק יכולת לעבודה עם שתי פחמיות </t>
  </si>
  <si>
    <t>ארנונה</t>
  </si>
  <si>
    <t>שכר עובד</t>
  </si>
  <si>
    <t>שמירה</t>
  </si>
  <si>
    <t>ביטוח</t>
  </si>
  <si>
    <t>קבלנים וחומרים</t>
  </si>
  <si>
    <t>חסכון בסגירה בארנונה/ ביטוח ושמירה</t>
  </si>
  <si>
    <t>הפעלת משאבת מי קרור</t>
  </si>
  <si>
    <t>סה"כ לשנה</t>
  </si>
  <si>
    <t>מול סגירה</t>
  </si>
  <si>
    <t>כולל יכולת הפעלה במקביל</t>
  </si>
  <si>
    <t>מול תרחיש סגירה</t>
  </si>
  <si>
    <t>ק"וט 1-4</t>
  </si>
  <si>
    <t>עלות לקו"ט</t>
  </si>
  <si>
    <t>לא כולל עלויות אתריות</t>
  </si>
  <si>
    <t>שימור חם - חירום</t>
  </si>
  <si>
    <t xml:space="preserve">שעות יצור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</si>
</sst>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8" formatCode="&quot;₪&quot;\ #,##0.00;[Red]&quot;₪&quot;\ \-#,##0.00"/>
    <numFmt numFmtId="43" formatCode="_ * #,##0.00_ ;_ * \-#,##0.00_ ;_ * &quot;-&quot;??_ ;_ @_ "/>
    <numFmt numFmtId="164" formatCode="_ * #,##0_ ;_ * \-#,##0_ ;_ * &quot;-&quot;??_ ;_ @_ "/>
    <numFmt numFmtId="165" formatCode="#,##0.000"/>
    <numFmt numFmtId="166" formatCode="_ * #,##0.0_ ;_ * \-#,##0.0_ ;_ * &quot;-&quot;??_ ;_ @_ "/>
    <numFmt numFmtId="167" formatCode="#,##0;\(#,##0\);\-"/>
    <numFmt numFmtId="168" formatCode="_ * #,##0.00000_ ;_ * \-#,##0.00000_ ;_ * &quot;-&quot;??_ ;_ @_ "/>
    <numFmt numFmtId="169" formatCode="_ * #,##0.000_ ;_ * \-#,##0.000_ ;_ * &quot;-&quot;??_ ;_ @_ "/>
    <numFmt numFmtId="170" formatCode="_ * #,##0.0_ ;_ * \-#,##0.0_ ;_ * &quot;-&quot;?_ ;_ @_ "/>
    <numFmt numFmtId="171" formatCode="0.000"/>
  </numFmts>
  <fonts count="28">
    <font>
      <sz val="11"/>
      <color theme="1"/>
      <name val="Arial"/>
      <family val="2"/>
      <charset val="177"/>
      <scheme val="minor"/>
    </font>
    <font>
      <sz val="11"/>
      <color theme="1"/>
      <name val="Arial"/>
      <family val="2"/>
      <charset val="177"/>
      <scheme val="minor"/>
    </font>
    <font>
      <b/>
      <sz val="11"/>
      <color theme="1"/>
      <name val="Arial"/>
      <family val="2"/>
      <charset val="177"/>
      <scheme val="minor"/>
    </font>
    <font>
      <b/>
      <sz val="11"/>
      <color theme="1"/>
      <name val="Arial"/>
      <family val="2"/>
      <scheme val="minor"/>
    </font>
    <font>
      <b/>
      <sz val="11"/>
      <name val="David"/>
      <family val="2"/>
    </font>
    <font>
      <sz val="11"/>
      <name val="David"/>
      <family val="2"/>
    </font>
    <font>
      <sz val="11"/>
      <color rgb="FF000000"/>
      <name val="David"/>
      <family val="2"/>
    </font>
    <font>
      <b/>
      <sz val="11"/>
      <color rgb="FF000000"/>
      <name val="David"/>
      <family val="2"/>
    </font>
    <font>
      <b/>
      <u/>
      <sz val="11"/>
      <color theme="1"/>
      <name val="Arial"/>
      <family val="2"/>
      <scheme val="minor"/>
    </font>
    <font>
      <b/>
      <sz val="11"/>
      <color rgb="FFFF0000"/>
      <name val="Arial"/>
      <family val="2"/>
      <scheme val="minor"/>
    </font>
    <font>
      <b/>
      <sz val="16"/>
      <color theme="1"/>
      <name val="Arial"/>
      <family val="2"/>
      <scheme val="minor"/>
    </font>
    <font>
      <b/>
      <sz val="8"/>
      <color theme="1"/>
      <name val="Arial"/>
      <family val="2"/>
      <charset val="177"/>
      <scheme val="minor"/>
    </font>
    <font>
      <sz val="8"/>
      <color theme="1"/>
      <name val="Arial"/>
      <family val="2"/>
      <charset val="177"/>
      <scheme val="minor"/>
    </font>
    <font>
      <sz val="15"/>
      <color rgb="FF294C6A"/>
      <name val="Heebo"/>
      <charset val="177"/>
    </font>
    <font>
      <b/>
      <sz val="11"/>
      <color rgb="FF3F3F3F"/>
      <name val="Arial"/>
      <family val="2"/>
      <charset val="177"/>
      <scheme val="minor"/>
    </font>
    <font>
      <b/>
      <sz val="11"/>
      <color rgb="FF3F3F3F"/>
      <name val="Arial"/>
      <family val="2"/>
      <scheme val="minor"/>
    </font>
    <font>
      <sz val="11"/>
      <color rgb="FF3F3F3F"/>
      <name val="Arial"/>
      <family val="2"/>
      <scheme val="minor"/>
    </font>
    <font>
      <u/>
      <sz val="11"/>
      <color theme="1"/>
      <name val="Arial"/>
      <family val="2"/>
      <charset val="177"/>
      <scheme val="minor"/>
    </font>
    <font>
      <sz val="11"/>
      <color theme="1"/>
      <name val="Arial"/>
      <family val="2"/>
      <scheme val="minor"/>
    </font>
    <font>
      <b/>
      <sz val="14"/>
      <color theme="1"/>
      <name val="Arial"/>
      <family val="2"/>
      <scheme val="minor"/>
    </font>
    <font>
      <sz val="11"/>
      <color theme="3" tint="0.39997558519241921"/>
      <name val="Arial"/>
      <family val="2"/>
      <charset val="177"/>
      <scheme val="minor"/>
    </font>
    <font>
      <sz val="12"/>
      <color rgb="FF272727"/>
      <name val="Arial"/>
      <family val="2"/>
      <scheme val="minor"/>
    </font>
    <font>
      <sz val="9"/>
      <color indexed="81"/>
      <name val="Tahoma"/>
      <family val="2"/>
    </font>
    <font>
      <b/>
      <sz val="9"/>
      <color indexed="81"/>
      <name val="Tahoma"/>
      <family val="2"/>
    </font>
    <font>
      <sz val="11"/>
      <color rgb="FFFF0000"/>
      <name val="Arial"/>
      <family val="2"/>
      <charset val="177"/>
      <scheme val="minor"/>
    </font>
    <font>
      <sz val="11"/>
      <name val="Arial"/>
      <family val="2"/>
      <charset val="177"/>
      <scheme val="minor"/>
    </font>
    <font>
      <sz val="11"/>
      <color theme="5"/>
      <name val="Arial"/>
      <family val="2"/>
      <charset val="177"/>
      <scheme val="minor"/>
    </font>
    <font>
      <u val="singleAccounting"/>
      <sz val="11"/>
      <color theme="1"/>
      <name val="Arial"/>
      <family val="2"/>
      <charset val="177"/>
      <scheme val="minor"/>
    </font>
  </fonts>
  <fills count="16">
    <fill>
      <patternFill patternType="none"/>
    </fill>
    <fill>
      <patternFill patternType="gray125"/>
    </fill>
    <fill>
      <patternFill patternType="solid">
        <fgColor rgb="FFFFFFFF"/>
        <bgColor rgb="FF000000"/>
      </patternFill>
    </fill>
    <fill>
      <patternFill patternType="solid">
        <fgColor rgb="FFE2EFDA"/>
        <bgColor rgb="FF000000"/>
      </patternFill>
    </fill>
    <fill>
      <patternFill patternType="solid">
        <fgColor theme="7"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F2F2F2"/>
      </patternFill>
    </fill>
    <fill>
      <patternFill patternType="solid">
        <fgColor theme="9" tint="0.39997558519241921"/>
        <bgColor indexed="64"/>
      </patternFill>
    </fill>
    <fill>
      <patternFill patternType="solid">
        <fgColor theme="4" tint="0.39997558519241921"/>
        <bgColor indexed="64"/>
      </patternFill>
    </fill>
    <fill>
      <patternFill patternType="solid">
        <fgColor rgb="FF92D05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rgb="FF3F3F3F"/>
      </left>
      <right style="thin">
        <color rgb="FF3F3F3F"/>
      </right>
      <top style="thin">
        <color rgb="FF3F3F3F"/>
      </top>
      <bottom style="thin">
        <color rgb="FF3F3F3F"/>
      </bottom>
      <diagonal/>
    </border>
    <border>
      <left style="thin">
        <color rgb="FF3F3F3F"/>
      </left>
      <right/>
      <top/>
      <bottom/>
      <diagonal/>
    </border>
    <border>
      <left style="thin">
        <color rgb="FF3F3F3F"/>
      </left>
      <right/>
      <top style="thin">
        <color rgb="FF3F3F3F"/>
      </top>
      <bottom style="thin">
        <color rgb="FF3F3F3F"/>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4" fillId="12" borderId="13" applyNumberFormat="0" applyAlignment="0" applyProtection="0"/>
    <xf numFmtId="0" fontId="1" fillId="0" borderId="0"/>
    <xf numFmtId="0" fontId="18" fillId="0" borderId="0"/>
    <xf numFmtId="43" fontId="1" fillId="0" borderId="0" applyFont="0" applyFill="0" applyBorder="0" applyAlignment="0" applyProtection="0"/>
  </cellStyleXfs>
  <cellXfs count="281">
    <xf numFmtId="0" fontId="0" fillId="0" borderId="0" xfId="0"/>
    <xf numFmtId="0" fontId="2" fillId="0" borderId="0" xfId="0" applyFont="1" applyAlignment="1">
      <alignment horizontal="center" vertical="center" wrapText="1"/>
    </xf>
    <xf numFmtId="0" fontId="0" fillId="0" borderId="0" xfId="0" applyAlignment="1">
      <alignment vertical="center" wrapText="1"/>
    </xf>
    <xf numFmtId="164" fontId="0" fillId="0" borderId="0" xfId="1" applyNumberFormat="1" applyFont="1" applyAlignment="1">
      <alignment vertical="center" wrapText="1"/>
    </xf>
    <xf numFmtId="0" fontId="3" fillId="0" borderId="0" xfId="0" applyFont="1"/>
    <xf numFmtId="164" fontId="0" fillId="0" borderId="0" xfId="0" applyNumberFormat="1"/>
    <xf numFmtId="164" fontId="0" fillId="0" borderId="0" xfId="1" applyNumberFormat="1" applyFont="1"/>
    <xf numFmtId="9" fontId="0" fillId="0" borderId="0" xfId="2" applyFont="1"/>
    <xf numFmtId="3" fontId="0" fillId="0" borderId="0" xfId="0" applyNumberFormat="1"/>
    <xf numFmtId="0" fontId="2" fillId="0" borderId="0" xfId="0" applyFont="1" applyAlignment="1">
      <alignment vertical="center" wrapText="1"/>
    </xf>
    <xf numFmtId="43" fontId="0" fillId="0" borderId="0" xfId="0" applyNumberFormat="1"/>
    <xf numFmtId="164" fontId="2" fillId="0" borderId="0" xfId="1" applyNumberFormat="1" applyFont="1" applyAlignment="1">
      <alignment horizontal="center" vertical="center" wrapText="1"/>
    </xf>
    <xf numFmtId="0" fontId="8" fillId="0" borderId="0" xfId="0" applyFont="1"/>
    <xf numFmtId="9" fontId="10" fillId="0" borderId="0" xfId="0" applyNumberFormat="1" applyFont="1"/>
    <xf numFmtId="0" fontId="3" fillId="6" borderId="0" xfId="0" applyFont="1" applyFill="1"/>
    <xf numFmtId="0" fontId="11" fillId="0" borderId="0" xfId="0" applyFont="1" applyAlignment="1">
      <alignment horizontal="center" vertical="center" wrapText="1"/>
    </xf>
    <xf numFmtId="0" fontId="12" fillId="0" borderId="0" xfId="0" applyFont="1"/>
    <xf numFmtId="164" fontId="0" fillId="7" borderId="1" xfId="1" applyNumberFormat="1" applyFont="1" applyFill="1" applyBorder="1"/>
    <xf numFmtId="0" fontId="0" fillId="0" borderId="1" xfId="0" applyBorder="1"/>
    <xf numFmtId="0" fontId="2"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164" fontId="0" fillId="8" borderId="1" xfId="1" applyNumberFormat="1" applyFont="1" applyFill="1" applyBorder="1"/>
    <xf numFmtId="0" fontId="0" fillId="7" borderId="1" xfId="0" applyFill="1" applyBorder="1"/>
    <xf numFmtId="0" fontId="0" fillId="8" borderId="1" xfId="0" applyFill="1" applyBorder="1"/>
    <xf numFmtId="166" fontId="0" fillId="8" borderId="1" xfId="1" applyNumberFormat="1" applyFont="1" applyFill="1" applyBorder="1"/>
    <xf numFmtId="164" fontId="0" fillId="0" borderId="1" xfId="1" applyNumberFormat="1" applyFont="1" applyBorder="1"/>
    <xf numFmtId="166" fontId="0" fillId="0" borderId="1" xfId="1" applyNumberFormat="1" applyFont="1" applyBorder="1"/>
    <xf numFmtId="0" fontId="8" fillId="0" borderId="0" xfId="0" applyFont="1" applyAlignment="1">
      <alignment horizontal="center" vertical="center" wrapText="1"/>
    </xf>
    <xf numFmtId="0" fontId="0" fillId="6" borderId="0" xfId="0" applyFill="1"/>
    <xf numFmtId="0" fontId="2" fillId="0" borderId="2" xfId="0" applyFont="1" applyBorder="1" applyAlignment="1">
      <alignment horizontal="center" vertical="center" wrapText="1"/>
    </xf>
    <xf numFmtId="164" fontId="0" fillId="0" borderId="2" xfId="1" applyNumberFormat="1" applyFont="1" applyBorder="1" applyAlignment="1">
      <alignment vertical="center" wrapText="1"/>
    </xf>
    <xf numFmtId="0" fontId="0" fillId="9" borderId="0" xfId="0" applyFill="1"/>
    <xf numFmtId="0" fontId="3" fillId="6" borderId="0" xfId="0" applyFont="1" applyFill="1" applyAlignment="1">
      <alignment horizontal="center"/>
    </xf>
    <xf numFmtId="164" fontId="0" fillId="0" borderId="0" xfId="1" applyNumberFormat="1" applyFont="1" applyBorder="1" applyAlignment="1">
      <alignment vertical="center" wrapText="1"/>
    </xf>
    <xf numFmtId="164" fontId="0" fillId="0" borderId="0" xfId="2" applyNumberFormat="1" applyFont="1"/>
    <xf numFmtId="43" fontId="0" fillId="0" borderId="0" xfId="1" applyFont="1"/>
    <xf numFmtId="164" fontId="3" fillId="0" borderId="0" xfId="1" applyNumberFormat="1" applyFont="1"/>
    <xf numFmtId="0" fontId="3" fillId="10" borderId="4" xfId="0" applyFont="1" applyFill="1" applyBorder="1"/>
    <xf numFmtId="0" fontId="3" fillId="10" borderId="7" xfId="0" applyFont="1" applyFill="1" applyBorder="1"/>
    <xf numFmtId="0" fontId="3" fillId="11" borderId="4" xfId="0" applyFont="1" applyFill="1" applyBorder="1"/>
    <xf numFmtId="0" fontId="3" fillId="11" borderId="7" xfId="0" applyFont="1" applyFill="1" applyBorder="1"/>
    <xf numFmtId="0" fontId="3" fillId="4" borderId="4" xfId="0" applyFont="1" applyFill="1" applyBorder="1"/>
    <xf numFmtId="0" fontId="3" fillId="4" borderId="7" xfId="0" applyFont="1" applyFill="1" applyBorder="1"/>
    <xf numFmtId="0" fontId="8" fillId="5" borderId="9" xfId="0" applyFont="1" applyFill="1" applyBorder="1"/>
    <xf numFmtId="0" fontId="8" fillId="5" borderId="10" xfId="0" applyFont="1" applyFill="1" applyBorder="1" applyAlignment="1">
      <alignment horizontal="center"/>
    </xf>
    <xf numFmtId="0" fontId="8" fillId="5" borderId="10" xfId="0" applyFont="1" applyFill="1" applyBorder="1" applyAlignment="1">
      <alignment horizontal="center" wrapText="1"/>
    </xf>
    <xf numFmtId="0" fontId="8" fillId="5" borderId="11" xfId="0" applyFont="1" applyFill="1" applyBorder="1" applyAlignment="1">
      <alignment horizontal="center" wrapText="1"/>
    </xf>
    <xf numFmtId="167" fontId="0" fillId="10" borderId="4" xfId="1" applyNumberFormat="1" applyFont="1" applyFill="1" applyBorder="1" applyAlignment="1">
      <alignment vertical="center"/>
    </xf>
    <xf numFmtId="167" fontId="0" fillId="10" borderId="5" xfId="1" applyNumberFormat="1" applyFont="1" applyFill="1" applyBorder="1" applyAlignment="1">
      <alignment vertical="center"/>
    </xf>
    <xf numFmtId="167" fontId="0" fillId="10" borderId="7" xfId="1" applyNumberFormat="1" applyFont="1" applyFill="1" applyBorder="1" applyAlignment="1">
      <alignment vertical="center"/>
    </xf>
    <xf numFmtId="167" fontId="0" fillId="10" borderId="8" xfId="1" applyNumberFormat="1" applyFont="1" applyFill="1" applyBorder="1" applyAlignment="1">
      <alignment vertical="center"/>
    </xf>
    <xf numFmtId="167" fontId="0" fillId="11" borderId="4" xfId="1" applyNumberFormat="1" applyFont="1" applyFill="1" applyBorder="1" applyAlignment="1">
      <alignment vertical="center"/>
    </xf>
    <xf numFmtId="167" fontId="0" fillId="11" borderId="5" xfId="1" applyNumberFormat="1" applyFont="1" applyFill="1" applyBorder="1" applyAlignment="1">
      <alignment vertical="center"/>
    </xf>
    <xf numFmtId="167" fontId="0" fillId="11" borderId="7" xfId="1" applyNumberFormat="1" applyFont="1" applyFill="1" applyBorder="1" applyAlignment="1">
      <alignment vertical="center"/>
    </xf>
    <xf numFmtId="167" fontId="0" fillId="11" borderId="8" xfId="1" applyNumberFormat="1" applyFont="1" applyFill="1" applyBorder="1" applyAlignment="1">
      <alignment vertical="center"/>
    </xf>
    <xf numFmtId="167" fontId="0" fillId="4" borderId="4" xfId="1" applyNumberFormat="1" applyFont="1" applyFill="1" applyBorder="1" applyAlignment="1">
      <alignment vertical="center"/>
    </xf>
    <xf numFmtId="167" fontId="0" fillId="4" borderId="7" xfId="1" applyNumberFormat="1" applyFont="1" applyFill="1" applyBorder="1" applyAlignment="1">
      <alignment vertical="center"/>
    </xf>
    <xf numFmtId="0" fontId="13" fillId="0" borderId="0" xfId="0" applyFont="1"/>
    <xf numFmtId="168" fontId="0" fillId="0" borderId="0" xfId="1" applyNumberFormat="1" applyFont="1" applyAlignment="1">
      <alignment vertical="center" wrapText="1"/>
    </xf>
    <xf numFmtId="166" fontId="0" fillId="0" borderId="0" xfId="1" applyNumberFormat="1" applyFont="1"/>
    <xf numFmtId="0" fontId="0" fillId="0" borderId="0" xfId="0" applyAlignment="1">
      <alignment readingOrder="2"/>
    </xf>
    <xf numFmtId="166" fontId="0" fillId="0" borderId="0" xfId="0" applyNumberFormat="1"/>
    <xf numFmtId="164" fontId="3" fillId="0" borderId="0" xfId="0" applyNumberFormat="1" applyFont="1"/>
    <xf numFmtId="0" fontId="14" fillId="12" borderId="13" xfId="3"/>
    <xf numFmtId="0" fontId="14" fillId="12" borderId="13" xfId="3" applyAlignment="1">
      <alignment wrapText="1"/>
    </xf>
    <xf numFmtId="0" fontId="14" fillId="12" borderId="15" xfId="3" applyBorder="1" applyAlignment="1">
      <alignment wrapText="1"/>
    </xf>
    <xf numFmtId="0" fontId="15" fillId="12" borderId="1" xfId="3" applyFont="1" applyBorder="1" applyAlignment="1">
      <alignment horizontal="center" wrapText="1"/>
    </xf>
    <xf numFmtId="0" fontId="16" fillId="12" borderId="13" xfId="3" applyFont="1" applyAlignment="1">
      <alignment horizontal="right"/>
    </xf>
    <xf numFmtId="0" fontId="16" fillId="12" borderId="13" xfId="3" applyFont="1" applyAlignment="1">
      <alignment horizontal="center"/>
    </xf>
    <xf numFmtId="0" fontId="16" fillId="12" borderId="15" xfId="3" applyFont="1" applyBorder="1" applyAlignment="1">
      <alignment horizontal="center"/>
    </xf>
    <xf numFmtId="0" fontId="16" fillId="12" borderId="1" xfId="3" applyFont="1" applyBorder="1" applyAlignment="1">
      <alignment horizontal="center"/>
    </xf>
    <xf numFmtId="0" fontId="16" fillId="12" borderId="13" xfId="3" applyFont="1" applyAlignment="1">
      <alignment horizontal="right" wrapText="1"/>
    </xf>
    <xf numFmtId="1" fontId="16" fillId="12" borderId="13" xfId="3" applyNumberFormat="1" applyFont="1" applyAlignment="1">
      <alignment horizontal="center"/>
    </xf>
    <xf numFmtId="1" fontId="16" fillId="12" borderId="15" xfId="3" applyNumberFormat="1" applyFont="1" applyBorder="1" applyAlignment="1">
      <alignment horizontal="center"/>
    </xf>
    <xf numFmtId="1" fontId="16" fillId="12" borderId="1" xfId="3" applyNumberFormat="1" applyFont="1" applyBorder="1" applyAlignment="1">
      <alignment horizontal="center"/>
    </xf>
    <xf numFmtId="0" fontId="14" fillId="12" borderId="13" xfId="3" applyAlignment="1">
      <alignment horizontal="right"/>
    </xf>
    <xf numFmtId="1" fontId="14" fillId="12" borderId="13" xfId="3" applyNumberFormat="1" applyAlignment="1">
      <alignment horizontal="center"/>
    </xf>
    <xf numFmtId="1" fontId="14" fillId="12" borderId="15" xfId="3" applyNumberFormat="1" applyBorder="1" applyAlignment="1">
      <alignment horizontal="center"/>
    </xf>
    <xf numFmtId="1" fontId="14" fillId="12" borderId="1" xfId="3" applyNumberFormat="1" applyBorder="1" applyAlignment="1">
      <alignment horizontal="center"/>
    </xf>
    <xf numFmtId="1" fontId="0" fillId="0" borderId="0" xfId="0" applyNumberFormat="1" applyAlignment="1">
      <alignment horizontal="center"/>
    </xf>
    <xf numFmtId="10" fontId="0" fillId="0" borderId="0" xfId="0" applyNumberFormat="1"/>
    <xf numFmtId="1" fontId="14" fillId="12" borderId="0" xfId="3" applyNumberFormat="1" applyBorder="1" applyAlignment="1">
      <alignment horizontal="center"/>
    </xf>
    <xf numFmtId="0" fontId="8" fillId="6" borderId="0" xfId="0" applyFont="1" applyFill="1"/>
    <xf numFmtId="0" fontId="8" fillId="5" borderId="9" xfId="0" applyFont="1" applyFill="1" applyBorder="1" applyAlignment="1">
      <alignment horizontal="center" wrapText="1"/>
    </xf>
    <xf numFmtId="0" fontId="3" fillId="10" borderId="3" xfId="0" applyFont="1" applyFill="1" applyBorder="1"/>
    <xf numFmtId="0" fontId="3" fillId="10" borderId="6" xfId="0" applyFont="1" applyFill="1" applyBorder="1"/>
    <xf numFmtId="0" fontId="3" fillId="4" borderId="3" xfId="0" applyFont="1" applyFill="1" applyBorder="1"/>
    <xf numFmtId="167" fontId="0" fillId="4" borderId="5" xfId="1" applyNumberFormat="1" applyFont="1" applyFill="1" applyBorder="1" applyAlignment="1">
      <alignment vertical="center"/>
    </xf>
    <xf numFmtId="0" fontId="3" fillId="11" borderId="3" xfId="0" applyFont="1" applyFill="1" applyBorder="1"/>
    <xf numFmtId="0" fontId="3" fillId="13" borderId="16" xfId="0" applyFont="1" applyFill="1" applyBorder="1"/>
    <xf numFmtId="167" fontId="3" fillId="13" borderId="17" xfId="1" applyNumberFormat="1" applyFont="1" applyFill="1" applyBorder="1" applyAlignment="1">
      <alignment vertical="center"/>
    </xf>
    <xf numFmtId="167" fontId="3" fillId="13" borderId="18" xfId="1" applyNumberFormat="1" applyFont="1" applyFill="1" applyBorder="1" applyAlignment="1">
      <alignment vertical="center"/>
    </xf>
    <xf numFmtId="2" fontId="17" fillId="0" borderId="0" xfId="0" applyNumberFormat="1" applyFont="1"/>
    <xf numFmtId="0" fontId="0" fillId="0" borderId="19" xfId="0" applyBorder="1"/>
    <xf numFmtId="0" fontId="0" fillId="0" borderId="20" xfId="0" applyBorder="1" applyAlignment="1">
      <alignment horizontal="center"/>
    </xf>
    <xf numFmtId="0" fontId="3" fillId="0" borderId="19" xfId="0" applyFont="1" applyBorder="1"/>
    <xf numFmtId="0" fontId="3" fillId="0" borderId="20" xfId="0" applyFont="1" applyBorder="1" applyAlignment="1">
      <alignment horizontal="center"/>
    </xf>
    <xf numFmtId="0" fontId="0" fillId="0" borderId="20" xfId="0" applyBorder="1" applyAlignment="1">
      <alignment horizontal="center" vertical="center"/>
    </xf>
    <xf numFmtId="0" fontId="3" fillId="0" borderId="20" xfId="0" applyFont="1" applyBorder="1" applyAlignment="1">
      <alignment horizontal="center" vertical="center"/>
    </xf>
    <xf numFmtId="0" fontId="19" fillId="0" borderId="6" xfId="0" applyFont="1" applyBorder="1"/>
    <xf numFmtId="0" fontId="19" fillId="0" borderId="8" xfId="0" applyFont="1" applyBorder="1" applyAlignment="1">
      <alignment horizontal="center"/>
    </xf>
    <xf numFmtId="0" fontId="20" fillId="14" borderId="19" xfId="0" applyFont="1" applyFill="1" applyBorder="1"/>
    <xf numFmtId="0" fontId="20" fillId="14" borderId="20" xfId="0" applyFont="1" applyFill="1" applyBorder="1" applyAlignment="1">
      <alignment horizontal="center"/>
    </xf>
    <xf numFmtId="0" fontId="0" fillId="14" borderId="19" xfId="0" applyFill="1" applyBorder="1"/>
    <xf numFmtId="0" fontId="0" fillId="14" borderId="20" xfId="0" applyFill="1" applyBorder="1" applyAlignment="1">
      <alignment horizontal="center"/>
    </xf>
    <xf numFmtId="43" fontId="0" fillId="0" borderId="1" xfId="0" applyNumberFormat="1" applyBorder="1" applyAlignment="1">
      <alignment horizontal="right" vertical="center"/>
    </xf>
    <xf numFmtId="2" fontId="0" fillId="0" borderId="1" xfId="0" applyNumberFormat="1" applyBorder="1" applyAlignment="1">
      <alignment horizontal="right" vertical="center"/>
    </xf>
    <xf numFmtId="43" fontId="3" fillId="0" borderId="1" xfId="0" applyNumberFormat="1" applyFont="1" applyBorder="1" applyAlignment="1">
      <alignment horizontal="right" vertical="center"/>
    </xf>
    <xf numFmtId="0" fontId="20" fillId="14" borderId="1" xfId="0" applyFont="1" applyFill="1" applyBorder="1" applyAlignment="1">
      <alignment horizontal="right" vertical="center"/>
    </xf>
    <xf numFmtId="0" fontId="0" fillId="0" borderId="1" xfId="0" applyBorder="1" applyAlignment="1">
      <alignment horizontal="right" vertical="center"/>
    </xf>
    <xf numFmtId="164" fontId="0" fillId="0" borderId="1" xfId="1" applyNumberFormat="1" applyFont="1" applyBorder="1" applyAlignment="1">
      <alignment horizontal="right" vertical="center"/>
    </xf>
    <xf numFmtId="164" fontId="3" fillId="0" borderId="1" xfId="1" applyNumberFormat="1" applyFont="1" applyBorder="1" applyAlignment="1">
      <alignment horizontal="right" vertical="center"/>
    </xf>
    <xf numFmtId="0" fontId="0" fillId="14" borderId="1" xfId="0" applyFill="1" applyBorder="1" applyAlignment="1">
      <alignment horizontal="right" vertical="center"/>
    </xf>
    <xf numFmtId="164" fontId="19" fillId="0" borderId="7" xfId="1" applyNumberFormat="1" applyFont="1" applyFill="1" applyBorder="1" applyAlignment="1">
      <alignment horizontal="right" vertical="center"/>
    </xf>
    <xf numFmtId="169" fontId="0" fillId="0" borderId="0" xfId="1" applyNumberFormat="1" applyFont="1"/>
    <xf numFmtId="169" fontId="0" fillId="11" borderId="0" xfId="1" applyNumberFormat="1" applyFont="1" applyFill="1"/>
    <xf numFmtId="43" fontId="0" fillId="11" borderId="0" xfId="1" applyFont="1" applyFill="1"/>
    <xf numFmtId="164" fontId="0" fillId="11" borderId="0" xfId="1" applyNumberFormat="1" applyFont="1" applyFill="1"/>
    <xf numFmtId="169" fontId="0" fillId="11" borderId="0" xfId="1" applyNumberFormat="1" applyFont="1" applyFill="1" applyAlignment="1">
      <alignment horizontal="center" wrapText="1"/>
    </xf>
    <xf numFmtId="43" fontId="0" fillId="11" borderId="0" xfId="1" applyFont="1" applyFill="1" applyAlignment="1">
      <alignment horizontal="center" wrapText="1"/>
    </xf>
    <xf numFmtId="0" fontId="0" fillId="0" borderId="0" xfId="0" applyAlignment="1">
      <alignment wrapText="1"/>
    </xf>
    <xf numFmtId="164" fontId="0" fillId="0" borderId="0" xfId="1" applyNumberFormat="1" applyFont="1" applyAlignment="1">
      <alignment wrapText="1"/>
    </xf>
    <xf numFmtId="164" fontId="3" fillId="0" borderId="0" xfId="1" applyNumberFormat="1" applyFont="1" applyAlignment="1">
      <alignment wrapText="1"/>
    </xf>
    <xf numFmtId="0" fontId="3" fillId="0" borderId="0" xfId="0" applyFont="1" applyAlignment="1">
      <alignment wrapText="1"/>
    </xf>
    <xf numFmtId="0" fontId="4" fillId="2" borderId="1" xfId="0" applyFont="1" applyFill="1" applyBorder="1"/>
    <xf numFmtId="0" fontId="7" fillId="2" borderId="1" xfId="0" applyFont="1" applyFill="1" applyBorder="1"/>
    <xf numFmtId="0" fontId="6" fillId="2" borderId="1" xfId="0" applyFont="1" applyFill="1" applyBorder="1"/>
    <xf numFmtId="165" fontId="5" fillId="2" borderId="1" xfId="0" applyNumberFormat="1" applyFont="1" applyFill="1" applyBorder="1"/>
    <xf numFmtId="2" fontId="5" fillId="2" borderId="1" xfId="0" applyNumberFormat="1" applyFont="1" applyFill="1" applyBorder="1"/>
    <xf numFmtId="4" fontId="5" fillId="2" borderId="1" xfId="0" applyNumberFormat="1" applyFont="1" applyFill="1" applyBorder="1"/>
    <xf numFmtId="0" fontId="6" fillId="3" borderId="1" xfId="0" applyFont="1" applyFill="1" applyBorder="1"/>
    <xf numFmtId="4" fontId="5" fillId="3" borderId="1" xfId="0" applyNumberFormat="1" applyFont="1" applyFill="1" applyBorder="1"/>
    <xf numFmtId="2" fontId="5" fillId="3" borderId="1" xfId="0" applyNumberFormat="1" applyFont="1" applyFill="1" applyBorder="1"/>
    <xf numFmtId="0" fontId="6" fillId="3" borderId="1" xfId="0" applyFont="1" applyFill="1" applyBorder="1" applyAlignment="1">
      <alignment horizontal="right"/>
    </xf>
    <xf numFmtId="0" fontId="6" fillId="2" borderId="1" xfId="0" applyFont="1" applyFill="1" applyBorder="1" applyAlignment="1">
      <alignment wrapText="1"/>
    </xf>
    <xf numFmtId="1" fontId="0" fillId="0" borderId="0" xfId="0" applyNumberFormat="1"/>
    <xf numFmtId="167" fontId="0" fillId="10" borderId="4" xfId="1" quotePrefix="1" applyNumberFormat="1" applyFont="1" applyFill="1" applyBorder="1" applyAlignment="1">
      <alignment vertical="center"/>
    </xf>
    <xf numFmtId="0" fontId="14" fillId="12" borderId="13" xfId="3" applyAlignment="1">
      <alignment horizontal="center"/>
    </xf>
    <xf numFmtId="0" fontId="14" fillId="12" borderId="15" xfId="3" applyBorder="1" applyAlignment="1">
      <alignment horizontal="center"/>
    </xf>
    <xf numFmtId="0" fontId="14" fillId="12" borderId="1" xfId="3" applyBorder="1" applyAlignment="1">
      <alignment horizontal="center"/>
    </xf>
    <xf numFmtId="0" fontId="8" fillId="0" borderId="1" xfId="0" applyFont="1" applyBorder="1" applyAlignment="1">
      <alignment wrapText="1"/>
    </xf>
    <xf numFmtId="0" fontId="0" fillId="0" borderId="1" xfId="0" applyBorder="1" applyAlignment="1">
      <alignment wrapText="1"/>
    </xf>
    <xf numFmtId="0" fontId="18" fillId="0" borderId="1" xfId="0" applyFont="1" applyBorder="1" applyAlignment="1">
      <alignment wrapText="1"/>
    </xf>
    <xf numFmtId="166" fontId="0" fillId="0" borderId="1" xfId="0" applyNumberFormat="1" applyBorder="1" applyAlignment="1">
      <alignment wrapText="1"/>
    </xf>
    <xf numFmtId="164" fontId="0" fillId="0" borderId="1" xfId="0" applyNumberFormat="1" applyBorder="1" applyAlignment="1">
      <alignment wrapText="1"/>
    </xf>
    <xf numFmtId="167" fontId="0" fillId="0" borderId="0" xfId="0" applyNumberFormat="1"/>
    <xf numFmtId="8" fontId="0" fillId="0" borderId="0" xfId="0" applyNumberFormat="1"/>
    <xf numFmtId="0" fontId="8" fillId="5" borderId="1" xfId="0" applyFont="1" applyFill="1" applyBorder="1" applyAlignment="1">
      <alignment horizontal="center" wrapText="1"/>
    </xf>
    <xf numFmtId="0" fontId="3" fillId="10" borderId="1" xfId="0" applyFont="1" applyFill="1" applyBorder="1"/>
    <xf numFmtId="164" fontId="0" fillId="0" borderId="1" xfId="0" applyNumberFormat="1" applyBorder="1"/>
    <xf numFmtId="0" fontId="3" fillId="4" borderId="1" xfId="0" applyFont="1" applyFill="1" applyBorder="1"/>
    <xf numFmtId="0" fontId="21" fillId="0" borderId="0" xfId="0" applyFont="1"/>
    <xf numFmtId="0" fontId="3" fillId="6" borderId="0" xfId="0" applyFont="1" applyFill="1" applyAlignment="1">
      <alignment horizontal="center" vertical="center" wrapText="1"/>
    </xf>
    <xf numFmtId="164" fontId="9" fillId="0" borderId="0" xfId="1" applyNumberFormat="1" applyFont="1"/>
    <xf numFmtId="167" fontId="3" fillId="4" borderId="4" xfId="1" applyNumberFormat="1" applyFont="1" applyFill="1" applyBorder="1" applyAlignment="1">
      <alignment vertical="center"/>
    </xf>
    <xf numFmtId="0" fontId="8" fillId="5" borderId="9" xfId="0" applyFont="1" applyFill="1" applyBorder="1" applyAlignment="1">
      <alignment horizontal="center" vertical="center" wrapText="1"/>
    </xf>
    <xf numFmtId="43" fontId="3" fillId="0" borderId="0" xfId="1" applyFont="1"/>
    <xf numFmtId="3" fontId="0" fillId="0" borderId="0" xfId="0" applyNumberFormat="1" applyAlignment="1">
      <alignment wrapText="1"/>
    </xf>
    <xf numFmtId="170" fontId="0" fillId="0" borderId="0" xfId="0" applyNumberFormat="1"/>
    <xf numFmtId="164" fontId="0" fillId="6" borderId="0" xfId="0" applyNumberFormat="1" applyFill="1"/>
    <xf numFmtId="166" fontId="0" fillId="6" borderId="0" xfId="1" applyNumberFormat="1" applyFont="1" applyFill="1"/>
    <xf numFmtId="167" fontId="0" fillId="6" borderId="7" xfId="1" applyNumberFormat="1" applyFont="1" applyFill="1" applyBorder="1" applyAlignment="1">
      <alignment vertical="center"/>
    </xf>
    <xf numFmtId="0" fontId="8" fillId="0" borderId="3" xfId="0" applyFont="1" applyBorder="1"/>
    <xf numFmtId="0" fontId="0" fillId="0" borderId="4" xfId="0" applyBorder="1"/>
    <xf numFmtId="0" fontId="0" fillId="0" borderId="5" xfId="0" applyBorder="1"/>
    <xf numFmtId="0" fontId="3" fillId="0" borderId="24" xfId="0" applyFont="1" applyBorder="1"/>
    <xf numFmtId="0" fontId="3" fillId="0" borderId="25" xfId="0" applyFont="1" applyBorder="1"/>
    <xf numFmtId="0" fontId="3" fillId="0" borderId="26" xfId="0" applyFont="1" applyBorder="1"/>
    <xf numFmtId="0" fontId="0" fillId="6" borderId="19" xfId="0" applyFill="1" applyBorder="1"/>
    <xf numFmtId="164" fontId="0" fillId="0" borderId="1" xfId="1" applyNumberFormat="1" applyFont="1" applyFill="1" applyBorder="1"/>
    <xf numFmtId="164" fontId="24" fillId="0" borderId="20" xfId="1" applyNumberFormat="1" applyFont="1" applyBorder="1"/>
    <xf numFmtId="9" fontId="0" fillId="0" borderId="1" xfId="0" applyNumberFormat="1" applyBorder="1"/>
    <xf numFmtId="0" fontId="0" fillId="0" borderId="27" xfId="0" applyBorder="1"/>
    <xf numFmtId="166" fontId="0" fillId="0" borderId="28" xfId="0" applyNumberFormat="1" applyBorder="1"/>
    <xf numFmtId="166" fontId="0" fillId="0" borderId="27" xfId="0" applyNumberFormat="1" applyBorder="1"/>
    <xf numFmtId="166" fontId="0" fillId="0" borderId="5" xfId="0" applyNumberFormat="1" applyBorder="1"/>
    <xf numFmtId="0" fontId="0" fillId="0" borderId="31" xfId="0" applyBorder="1"/>
    <xf numFmtId="166" fontId="0" fillId="0" borderId="32" xfId="0" applyNumberFormat="1" applyBorder="1"/>
    <xf numFmtId="166" fontId="0" fillId="0" borderId="31" xfId="0" applyNumberFormat="1" applyBorder="1"/>
    <xf numFmtId="166" fontId="0" fillId="0" borderId="20" xfId="0" applyNumberFormat="1" applyBorder="1"/>
    <xf numFmtId="0" fontId="0" fillId="0" borderId="6" xfId="0" applyBorder="1"/>
    <xf numFmtId="0" fontId="0" fillId="0" borderId="7" xfId="0" applyBorder="1"/>
    <xf numFmtId="164" fontId="0" fillId="6" borderId="7" xfId="0" applyNumberFormat="1" applyFill="1" applyBorder="1"/>
    <xf numFmtId="164" fontId="0" fillId="0" borderId="7" xfId="0" applyNumberFormat="1" applyBorder="1"/>
    <xf numFmtId="164" fontId="0" fillId="6" borderId="8" xfId="0" applyNumberFormat="1" applyFill="1" applyBorder="1"/>
    <xf numFmtId="164" fontId="25" fillId="0" borderId="1" xfId="1" applyNumberFormat="1" applyFont="1" applyBorder="1"/>
    <xf numFmtId="0" fontId="0" fillId="6" borderId="1" xfId="0" applyFill="1" applyBorder="1"/>
    <xf numFmtId="164" fontId="24" fillId="0" borderId="20" xfId="0" applyNumberFormat="1" applyFont="1" applyBorder="1"/>
    <xf numFmtId="164" fontId="25" fillId="0" borderId="8" xfId="0" applyNumberFormat="1" applyFont="1" applyBorder="1"/>
    <xf numFmtId="0" fontId="0" fillId="0" borderId="33" xfId="0" applyBorder="1"/>
    <xf numFmtId="166" fontId="0" fillId="0" borderId="34" xfId="0" applyNumberFormat="1" applyBorder="1"/>
    <xf numFmtId="166" fontId="0" fillId="0" borderId="33" xfId="0" applyNumberFormat="1" applyBorder="1"/>
    <xf numFmtId="166" fontId="0" fillId="0" borderId="8" xfId="0" applyNumberFormat="1" applyBorder="1"/>
    <xf numFmtId="0" fontId="8" fillId="0" borderId="1" xfId="0" applyFont="1" applyBorder="1"/>
    <xf numFmtId="0" fontId="8" fillId="0" borderId="35" xfId="0" applyFont="1" applyBorder="1"/>
    <xf numFmtId="2" fontId="0" fillId="0" borderId="1" xfId="0" applyNumberFormat="1" applyBorder="1"/>
    <xf numFmtId="0" fontId="25" fillId="0" borderId="0" xfId="0" applyFont="1"/>
    <xf numFmtId="9" fontId="0" fillId="0" borderId="1" xfId="1" applyNumberFormat="1" applyFont="1" applyBorder="1"/>
    <xf numFmtId="0" fontId="25" fillId="0" borderId="1" xfId="0" applyFont="1" applyBorder="1"/>
    <xf numFmtId="0" fontId="0" fillId="0" borderId="21" xfId="0" applyBorder="1" applyAlignment="1">
      <alignment horizontal="center"/>
    </xf>
    <xf numFmtId="0" fontId="0" fillId="0" borderId="23" xfId="0" applyBorder="1" applyAlignment="1">
      <alignment horizontal="center"/>
    </xf>
    <xf numFmtId="0" fontId="0" fillId="0" borderId="28" xfId="0" applyBorder="1"/>
    <xf numFmtId="0" fontId="0" fillId="0" borderId="3" xfId="0" applyBorder="1"/>
    <xf numFmtId="0" fontId="0" fillId="0" borderId="37" xfId="0" applyBorder="1"/>
    <xf numFmtId="0" fontId="0" fillId="0" borderId="32" xfId="0" applyBorder="1"/>
    <xf numFmtId="1" fontId="0" fillId="0" borderId="19" xfId="0" applyNumberFormat="1" applyBorder="1"/>
    <xf numFmtId="1" fontId="0" fillId="0" borderId="1" xfId="0" applyNumberFormat="1" applyBorder="1"/>
    <xf numFmtId="1" fontId="0" fillId="0" borderId="20" xfId="0" applyNumberFormat="1" applyBorder="1"/>
    <xf numFmtId="1" fontId="0" fillId="0" borderId="30" xfId="0" applyNumberFormat="1" applyBorder="1"/>
    <xf numFmtId="164" fontId="0" fillId="0" borderId="20" xfId="1" applyNumberFormat="1" applyFont="1" applyBorder="1"/>
    <xf numFmtId="0" fontId="0" fillId="0" borderId="30" xfId="0" applyBorder="1"/>
    <xf numFmtId="0" fontId="0" fillId="0" borderId="34" xfId="0" applyBorder="1"/>
    <xf numFmtId="1" fontId="0" fillId="0" borderId="7" xfId="0" applyNumberFormat="1" applyBorder="1"/>
    <xf numFmtId="1" fontId="0" fillId="0" borderId="8" xfId="0" applyNumberFormat="1" applyBorder="1"/>
    <xf numFmtId="0" fontId="0" fillId="0" borderId="38" xfId="0" applyBorder="1"/>
    <xf numFmtId="1" fontId="0" fillId="0" borderId="6" xfId="0" applyNumberFormat="1" applyBorder="1"/>
    <xf numFmtId="164" fontId="0" fillId="0" borderId="8" xfId="1" applyNumberFormat="1" applyFont="1" applyBorder="1"/>
    <xf numFmtId="0" fontId="24" fillId="0" borderId="0" xfId="0" applyFont="1"/>
    <xf numFmtId="164" fontId="24" fillId="0" borderId="0" xfId="1" applyNumberFormat="1" applyFont="1"/>
    <xf numFmtId="164" fontId="24" fillId="0" borderId="0" xfId="0" applyNumberFormat="1" applyFont="1"/>
    <xf numFmtId="9" fontId="0" fillId="0" borderId="0" xfId="2" applyFont="1" applyFill="1"/>
    <xf numFmtId="0" fontId="26" fillId="0" borderId="0" xfId="0" applyFont="1"/>
    <xf numFmtId="171" fontId="26" fillId="0" borderId="0" xfId="0" applyNumberFormat="1" applyFont="1"/>
    <xf numFmtId="9" fontId="26" fillId="0" borderId="0" xfId="2" applyFont="1"/>
    <xf numFmtId="0" fontId="0" fillId="0" borderId="39" xfId="0" applyBorder="1"/>
    <xf numFmtId="0" fontId="0" fillId="0" borderId="40" xfId="0" applyBorder="1"/>
    <xf numFmtId="0" fontId="0" fillId="0" borderId="41" xfId="0" applyBorder="1"/>
    <xf numFmtId="0" fontId="0" fillId="0" borderId="42" xfId="0" applyBorder="1"/>
    <xf numFmtId="164" fontId="0" fillId="0" borderId="19" xfId="1" applyNumberFormat="1" applyFont="1" applyBorder="1"/>
    <xf numFmtId="164" fontId="0" fillId="0" borderId="30" xfId="1" applyNumberFormat="1" applyFont="1" applyFill="1" applyBorder="1"/>
    <xf numFmtId="164" fontId="0" fillId="0" borderId="19" xfId="0" applyNumberFormat="1" applyBorder="1"/>
    <xf numFmtId="164" fontId="0" fillId="0" borderId="20" xfId="0" applyNumberFormat="1" applyBorder="1"/>
    <xf numFmtId="164" fontId="0" fillId="0" borderId="30" xfId="1" applyNumberFormat="1" applyFont="1" applyBorder="1"/>
    <xf numFmtId="164" fontId="0" fillId="0" borderId="29" xfId="1" applyNumberFormat="1" applyFont="1" applyBorder="1"/>
    <xf numFmtId="164" fontId="0" fillId="0" borderId="38" xfId="1" applyNumberFormat="1" applyFont="1" applyBorder="1"/>
    <xf numFmtId="164" fontId="0" fillId="0" borderId="43" xfId="1" applyNumberFormat="1" applyFont="1" applyBorder="1"/>
    <xf numFmtId="164" fontId="0" fillId="0" borderId="6" xfId="1" applyNumberFormat="1" applyFont="1" applyBorder="1"/>
    <xf numFmtId="164" fontId="27" fillId="0" borderId="0" xfId="0" applyNumberFormat="1" applyFont="1"/>
    <xf numFmtId="164" fontId="0" fillId="6" borderId="0" xfId="1" applyNumberFormat="1" applyFont="1" applyFill="1"/>
    <xf numFmtId="0" fontId="0" fillId="0" borderId="0" xfId="0" applyAlignment="1">
      <alignment horizontal="right" wrapText="1"/>
    </xf>
    <xf numFmtId="43" fontId="0" fillId="0" borderId="1" xfId="0" applyNumberFormat="1" applyBorder="1"/>
    <xf numFmtId="43" fontId="0" fillId="0" borderId="0" xfId="1" applyNumberFormat="1" applyFont="1"/>
    <xf numFmtId="0" fontId="17" fillId="0" borderId="0" xfId="0" applyFont="1"/>
    <xf numFmtId="164" fontId="17" fillId="0" borderId="0" xfId="0" applyNumberFormat="1" applyFont="1"/>
    <xf numFmtId="0" fontId="0" fillId="0" borderId="1" xfId="0" applyFill="1" applyBorder="1"/>
    <xf numFmtId="164" fontId="25" fillId="0" borderId="0" xfId="1" applyNumberFormat="1" applyFont="1"/>
    <xf numFmtId="164" fontId="0" fillId="0" borderId="0" xfId="1" applyNumberFormat="1" applyFont="1" applyFill="1"/>
    <xf numFmtId="0" fontId="2" fillId="0" borderId="0" xfId="0" applyFont="1" applyAlignment="1">
      <alignment horizontal="center" vertical="center" wrapText="1"/>
    </xf>
    <xf numFmtId="0" fontId="0" fillId="7" borderId="1" xfId="0" applyFill="1" applyBorder="1" applyAlignment="1">
      <alignment horizontal="center"/>
    </xf>
    <xf numFmtId="0" fontId="3" fillId="10" borderId="3" xfId="0" applyFont="1" applyFill="1" applyBorder="1" applyAlignment="1">
      <alignment horizontal="center" wrapText="1" readingOrder="2"/>
    </xf>
    <xf numFmtId="0" fontId="3" fillId="10" borderId="6" xfId="0" applyFont="1" applyFill="1" applyBorder="1" applyAlignment="1">
      <alignment horizontal="center" wrapText="1" readingOrder="2"/>
    </xf>
    <xf numFmtId="0" fontId="3" fillId="11" borderId="3" xfId="0" applyFont="1" applyFill="1" applyBorder="1" applyAlignment="1">
      <alignment horizontal="center" wrapText="1" readingOrder="2"/>
    </xf>
    <xf numFmtId="0" fontId="3" fillId="11" borderId="6" xfId="0" applyFont="1" applyFill="1" applyBorder="1" applyAlignment="1">
      <alignment horizontal="center" wrapText="1" readingOrder="2"/>
    </xf>
    <xf numFmtId="0" fontId="3" fillId="4" borderId="3" xfId="0" applyFont="1" applyFill="1" applyBorder="1" applyAlignment="1">
      <alignment wrapText="1" readingOrder="2"/>
    </xf>
    <xf numFmtId="0" fontId="3" fillId="4" borderId="6" xfId="0" applyFont="1" applyFill="1" applyBorder="1" applyAlignment="1">
      <alignment wrapText="1" readingOrder="2"/>
    </xf>
    <xf numFmtId="0" fontId="0" fillId="8" borderId="1" xfId="0" applyFill="1" applyBorder="1" applyAlignment="1">
      <alignment horizontal="center" wrapText="1"/>
    </xf>
    <xf numFmtId="0" fontId="19" fillId="0" borderId="3" xfId="0" applyFont="1" applyBorder="1" applyAlignment="1">
      <alignment horizontal="center" wrapText="1"/>
    </xf>
    <xf numFmtId="0" fontId="19" fillId="0" borderId="4" xfId="0" applyFont="1" applyBorder="1" applyAlignment="1">
      <alignment horizontal="center" wrapText="1"/>
    </xf>
    <xf numFmtId="0" fontId="19" fillId="0" borderId="5" xfId="0" applyFont="1" applyBorder="1" applyAlignment="1">
      <alignment horizontal="center" wrapText="1"/>
    </xf>
    <xf numFmtId="0" fontId="14" fillId="12" borderId="14" xfId="3" applyBorder="1" applyAlignment="1">
      <alignment horizontal="center"/>
    </xf>
    <xf numFmtId="0" fontId="14" fillId="12" borderId="0" xfId="3" applyBorder="1" applyAlignment="1">
      <alignment horizontal="center"/>
    </xf>
    <xf numFmtId="0" fontId="14" fillId="12" borderId="12" xfId="3" applyBorder="1" applyAlignment="1">
      <alignment horizontal="center"/>
    </xf>
    <xf numFmtId="0" fontId="0" fillId="0" borderId="0" xfId="0" applyAlignment="1">
      <alignment horizontal="center"/>
    </xf>
    <xf numFmtId="0" fontId="0" fillId="0" borderId="0" xfId="0" applyAlignment="1">
      <alignment horizontal="center" wrapText="1"/>
    </xf>
    <xf numFmtId="0" fontId="2" fillId="6" borderId="0" xfId="0" applyFont="1" applyFill="1" applyAlignment="1">
      <alignment horizontal="center" vertical="center" wrapText="1"/>
    </xf>
    <xf numFmtId="0" fontId="11" fillId="0" borderId="0" xfId="0" applyFont="1" applyAlignment="1">
      <alignment horizontal="center" vertical="center" wrapText="1"/>
    </xf>
    <xf numFmtId="0" fontId="11" fillId="6" borderId="0" xfId="0" applyFont="1" applyFill="1" applyAlignment="1">
      <alignment horizontal="center" vertical="center" wrapText="1"/>
    </xf>
    <xf numFmtId="0" fontId="0" fillId="0" borderId="1" xfId="0" applyBorder="1" applyAlignment="1">
      <alignment horizontal="center" vertical="center" wrapText="1"/>
    </xf>
    <xf numFmtId="0" fontId="0" fillId="0" borderId="29" xfId="0" applyBorder="1" applyAlignment="1">
      <alignment horizontal="center"/>
    </xf>
    <xf numFmtId="0" fontId="0" fillId="0" borderId="36" xfId="0" applyBorder="1" applyAlignment="1">
      <alignment horizontal="center"/>
    </xf>
    <xf numFmtId="0" fontId="0" fillId="0" borderId="30" xfId="0" applyBorder="1" applyAlignment="1">
      <alignment horizontal="center"/>
    </xf>
    <xf numFmtId="0" fontId="0" fillId="15" borderId="21" xfId="0" applyFill="1" applyBorder="1" applyAlignment="1">
      <alignment horizontal="center"/>
    </xf>
    <xf numFmtId="0" fontId="0" fillId="15" borderId="22" xfId="0" applyFill="1" applyBorder="1" applyAlignment="1">
      <alignment horizontal="center"/>
    </xf>
    <xf numFmtId="0" fontId="0" fillId="15" borderId="23" xfId="0" applyFill="1" applyBorder="1" applyAlignment="1">
      <alignment horizontal="center"/>
    </xf>
    <xf numFmtId="0" fontId="0" fillId="0" borderId="29" xfId="0" applyBorder="1" applyAlignment="1">
      <alignment horizontal="center" wrapText="1"/>
    </xf>
    <xf numFmtId="0" fontId="0" fillId="0" borderId="30" xfId="0" applyBorder="1" applyAlignment="1">
      <alignment horizontal="center" wrapText="1"/>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16" xfId="0" applyBorder="1" applyAlignment="1">
      <alignment horizontal="center"/>
    </xf>
    <xf numFmtId="0" fontId="0" fillId="0" borderId="18" xfId="0" applyBorder="1" applyAlignment="1">
      <alignment horizontal="center"/>
    </xf>
  </cellXfs>
  <cellStyles count="7">
    <cellStyle name="Comma" xfId="1" builtinId="3"/>
    <cellStyle name="Comma 2 2" xfId="6"/>
    <cellStyle name="Normal" xfId="0" builtinId="0"/>
    <cellStyle name="Normal 10 2" xfId="4"/>
    <cellStyle name="Normal 2" xfId="5"/>
    <cellStyle name="Percent" xfId="2" builtinId="5"/>
    <cellStyle name="פלט" xfId="3"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e-IL" sz="1800" b="1" i="0" baseline="0">
                <a:solidFill>
                  <a:srgbClr val="0070C0"/>
                </a:solidFill>
                <a:effectLst/>
              </a:rPr>
              <a:t>פחם בתקופה 2024-2030 בתרחישים שונים</a:t>
            </a:r>
            <a:endParaRPr lang="en-US">
              <a:solidFill>
                <a:srgbClr val="0070C0"/>
              </a:solidFill>
              <a:effectLst/>
            </a:endParaRPr>
          </a:p>
        </c:rich>
      </c:tx>
      <c:layout>
        <c:manualLayout>
          <c:xMode val="edge"/>
          <c:yMode val="edge"/>
          <c:x val="0.19310430763974606"/>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he-IL"/>
        </a:p>
      </c:txPr>
    </c:title>
    <c:autoTitleDeleted val="0"/>
    <c:plotArea>
      <c:layout>
        <c:manualLayout>
          <c:layoutTarget val="inner"/>
          <c:xMode val="edge"/>
          <c:yMode val="edge"/>
          <c:x val="4.7082925050997586E-2"/>
          <c:y val="0.13810991613853146"/>
          <c:w val="0.86942226002694012"/>
          <c:h val="0.75471416682670767"/>
        </c:manualLayout>
      </c:layout>
      <c:barChart>
        <c:barDir val="col"/>
        <c:grouping val="clustered"/>
        <c:varyColors val="0"/>
        <c:ser>
          <c:idx val="5"/>
          <c:order val="0"/>
          <c:tx>
            <c:v>תרחיש בסיס</c:v>
          </c:tx>
          <c:spPr>
            <a:solidFill>
              <a:schemeClr val="accent6"/>
            </a:solidFill>
            <a:ln>
              <a:noFill/>
            </a:ln>
            <a:effectLst/>
          </c:spPr>
          <c:invertIfNegative val="0"/>
          <c:cat>
            <c:numRef>
              <c:f>[1]Sheet1!$D$4:$D$10</c:f>
              <c:numCache>
                <c:formatCode>General</c:formatCode>
                <c:ptCount val="7"/>
                <c:pt idx="0">
                  <c:v>2024</c:v>
                </c:pt>
                <c:pt idx="1">
                  <c:v>2025</c:v>
                </c:pt>
                <c:pt idx="2">
                  <c:v>2026</c:v>
                </c:pt>
                <c:pt idx="3">
                  <c:v>2027</c:v>
                </c:pt>
                <c:pt idx="4">
                  <c:v>2028</c:v>
                </c:pt>
                <c:pt idx="5">
                  <c:v>2029</c:v>
                </c:pt>
                <c:pt idx="6">
                  <c:v>2030</c:v>
                </c:pt>
              </c:numCache>
            </c:numRef>
          </c:cat>
          <c:val>
            <c:numRef>
              <c:f>[1]Sheet1!$I$4:$I$10</c:f>
              <c:numCache>
                <c:formatCode>General</c:formatCode>
                <c:ptCount val="7"/>
                <c:pt idx="0">
                  <c:v>1788.89</c:v>
                </c:pt>
                <c:pt idx="1">
                  <c:v>1017.92</c:v>
                </c:pt>
                <c:pt idx="2">
                  <c:v>0</c:v>
                </c:pt>
                <c:pt idx="3">
                  <c:v>0</c:v>
                </c:pt>
                <c:pt idx="4">
                  <c:v>0</c:v>
                </c:pt>
                <c:pt idx="5">
                  <c:v>0</c:v>
                </c:pt>
                <c:pt idx="6">
                  <c:v>0</c:v>
                </c:pt>
              </c:numCache>
            </c:numRef>
          </c:val>
          <c:extLst>
            <c:ext xmlns:c16="http://schemas.microsoft.com/office/drawing/2014/chart" uri="{C3380CC4-5D6E-409C-BE32-E72D297353CC}">
              <c16:uniqueId val="{00000000-EB81-4CCD-8CDD-3CF92DCA44E7}"/>
            </c:ext>
          </c:extLst>
        </c:ser>
        <c:ser>
          <c:idx val="0"/>
          <c:order val="1"/>
          <c:tx>
            <c:v>תרחיש 1</c:v>
          </c:tx>
          <c:spPr>
            <a:solidFill>
              <a:schemeClr val="accent1"/>
            </a:solidFill>
            <a:ln>
              <a:noFill/>
            </a:ln>
            <a:effectLst/>
          </c:spPr>
          <c:invertIfNegative val="0"/>
          <c:val>
            <c:numRef>
              <c:f>[1]Sheet1!$I$19:$I$25</c:f>
              <c:numCache>
                <c:formatCode>General</c:formatCode>
                <c:ptCount val="7"/>
                <c:pt idx="0">
                  <c:v>4290.32</c:v>
                </c:pt>
                <c:pt idx="1">
                  <c:v>3453.8</c:v>
                </c:pt>
                <c:pt idx="2">
                  <c:v>3302.95</c:v>
                </c:pt>
                <c:pt idx="3">
                  <c:v>3373.68</c:v>
                </c:pt>
                <c:pt idx="4">
                  <c:v>3339.8</c:v>
                </c:pt>
                <c:pt idx="5">
                  <c:v>3461.29</c:v>
                </c:pt>
                <c:pt idx="6">
                  <c:v>3345.74</c:v>
                </c:pt>
              </c:numCache>
            </c:numRef>
          </c:val>
          <c:extLst>
            <c:ext xmlns:c16="http://schemas.microsoft.com/office/drawing/2014/chart" uri="{C3380CC4-5D6E-409C-BE32-E72D297353CC}">
              <c16:uniqueId val="{00000001-EB81-4CCD-8CDD-3CF92DCA44E7}"/>
            </c:ext>
          </c:extLst>
        </c:ser>
        <c:ser>
          <c:idx val="1"/>
          <c:order val="2"/>
          <c:tx>
            <c:v>תרחיש 2</c:v>
          </c:tx>
          <c:spPr>
            <a:solidFill>
              <a:schemeClr val="accent2"/>
            </a:solidFill>
            <a:ln>
              <a:noFill/>
            </a:ln>
            <a:effectLst/>
          </c:spPr>
          <c:invertIfNegative val="0"/>
          <c:val>
            <c:numRef>
              <c:f>[1]Sheet1!$I$34:$I$40</c:f>
              <c:numCache>
                <c:formatCode>General</c:formatCode>
                <c:ptCount val="7"/>
                <c:pt idx="0">
                  <c:v>1875.58</c:v>
                </c:pt>
                <c:pt idx="1">
                  <c:v>966.06</c:v>
                </c:pt>
                <c:pt idx="2">
                  <c:v>946.17</c:v>
                </c:pt>
                <c:pt idx="3">
                  <c:v>944.17</c:v>
                </c:pt>
                <c:pt idx="4">
                  <c:v>973.37</c:v>
                </c:pt>
                <c:pt idx="5">
                  <c:v>0</c:v>
                </c:pt>
                <c:pt idx="6">
                  <c:v>0</c:v>
                </c:pt>
              </c:numCache>
            </c:numRef>
          </c:val>
          <c:extLst>
            <c:ext xmlns:c16="http://schemas.microsoft.com/office/drawing/2014/chart" uri="{C3380CC4-5D6E-409C-BE32-E72D297353CC}">
              <c16:uniqueId val="{00000002-EB81-4CCD-8CDD-3CF92DCA44E7}"/>
            </c:ext>
          </c:extLst>
        </c:ser>
        <c:dLbls>
          <c:showLegendKey val="0"/>
          <c:showVal val="0"/>
          <c:showCatName val="0"/>
          <c:showSerName val="0"/>
          <c:showPercent val="0"/>
          <c:showBubbleSize val="0"/>
        </c:dLbls>
        <c:gapWidth val="139"/>
        <c:axId val="797296576"/>
        <c:axId val="797299072"/>
      </c:barChart>
      <c:catAx>
        <c:axId val="797296576"/>
        <c:scaling>
          <c:orientation val="maxMin"/>
        </c:scaling>
        <c:delete val="0"/>
        <c:axPos val="b"/>
        <c:majorGridlines>
          <c:spPr>
            <a:ln w="19050"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he-IL"/>
          </a:p>
        </c:txPr>
        <c:crossAx val="797299072"/>
        <c:crosses val="autoZero"/>
        <c:auto val="1"/>
        <c:lblAlgn val="ctr"/>
        <c:lblOffset val="100"/>
        <c:noMultiLvlLbl val="0"/>
      </c:catAx>
      <c:valAx>
        <c:axId val="797299072"/>
        <c:scaling>
          <c:orientation val="minMax"/>
        </c:scaling>
        <c:delete val="0"/>
        <c:axPos val="r"/>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he-IL"/>
          </a:p>
        </c:txPr>
        <c:crossAx val="797296576"/>
        <c:crosses val="autoZero"/>
        <c:crossBetween val="between"/>
      </c:valAx>
      <c:spPr>
        <a:noFill/>
        <a:ln w="15875">
          <a:solidFill>
            <a:schemeClr val="accent1"/>
          </a:solidFill>
        </a:ln>
        <a:effectLst/>
      </c:spPr>
    </c:plotArea>
    <c:legend>
      <c:legendPos val="b"/>
      <c:layout>
        <c:manualLayout>
          <c:xMode val="edge"/>
          <c:yMode val="edge"/>
          <c:x val="0.35769394595936221"/>
          <c:y val="0.23498911721400675"/>
          <c:w val="0.41803705178355821"/>
          <c:h val="7.3849625504129046E-2"/>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he-I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19050" cap="flat" cmpd="sng" algn="ctr">
      <a:solidFill>
        <a:schemeClr val="accent1"/>
      </a:solidFill>
      <a:round/>
    </a:ln>
    <a:effectLst/>
  </c:spPr>
  <c:txPr>
    <a:bodyPr/>
    <a:lstStyle/>
    <a:p>
      <a:pPr>
        <a:defRPr/>
      </a:pPr>
      <a:endParaRPr lang="he-IL"/>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rgbClr val="002060"/>
                </a:solidFill>
                <a:latin typeface="+mn-lt"/>
                <a:ea typeface="+mn-ea"/>
                <a:cs typeface="+mn-cs"/>
              </a:defRPr>
            </a:pPr>
            <a:r>
              <a:rPr lang="he-IL" b="1">
                <a:solidFill>
                  <a:srgbClr val="002060"/>
                </a:solidFill>
              </a:rPr>
              <a:t>עלויות דלקים בתקופה 2024-2030 בתרחישים שונים</a:t>
            </a:r>
            <a:endParaRPr lang="en-US" b="1">
              <a:solidFill>
                <a:srgbClr val="002060"/>
              </a:solidFill>
            </a:endParaRPr>
          </a:p>
        </c:rich>
      </c:tx>
      <c:layout>
        <c:manualLayout>
          <c:xMode val="edge"/>
          <c:yMode val="edge"/>
          <c:x val="6.2461344550723642E-2"/>
          <c:y val="2.61584485197613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rgbClr val="002060"/>
              </a:solidFill>
              <a:latin typeface="+mn-lt"/>
              <a:ea typeface="+mn-ea"/>
              <a:cs typeface="+mn-cs"/>
            </a:defRPr>
          </a:pPr>
          <a:endParaRPr lang="he-IL"/>
        </a:p>
      </c:txPr>
    </c:title>
    <c:autoTitleDeleted val="0"/>
    <c:plotArea>
      <c:layout>
        <c:manualLayout>
          <c:layoutTarget val="inner"/>
          <c:xMode val="edge"/>
          <c:yMode val="edge"/>
          <c:x val="2.823616347141902E-2"/>
          <c:y val="0.14453842392730221"/>
          <c:w val="0.85891094512118715"/>
          <c:h val="0.71708490352278964"/>
        </c:manualLayout>
      </c:layout>
      <c:barChart>
        <c:barDir val="col"/>
        <c:grouping val="clustered"/>
        <c:varyColors val="0"/>
        <c:ser>
          <c:idx val="5"/>
          <c:order val="0"/>
          <c:tx>
            <c:v>במחיר פחם גבוה</c:v>
          </c:tx>
          <c:spPr>
            <a:solidFill>
              <a:schemeClr val="accent6"/>
            </a:solidFill>
            <a:ln>
              <a:noFill/>
            </a:ln>
            <a:effectLst/>
          </c:spPr>
          <c:invertIfNegative val="0"/>
          <c:cat>
            <c:strRef>
              <c:f>[1]Sheet1!$B$12:$B$14</c:f>
              <c:strCache>
                <c:ptCount val="3"/>
                <c:pt idx="0">
                  <c:v>תרחיש בסיס</c:v>
                </c:pt>
                <c:pt idx="1">
                  <c:v>תרחיש 1</c:v>
                </c:pt>
                <c:pt idx="2">
                  <c:v>תרחיש 2</c:v>
                </c:pt>
              </c:strCache>
            </c:strRef>
          </c:cat>
          <c:val>
            <c:numRef>
              <c:f>[1]Sheet1!$J$12:$J$14</c:f>
              <c:numCache>
                <c:formatCode>General</c:formatCode>
                <c:ptCount val="3"/>
                <c:pt idx="0">
                  <c:v>80788.527184701248</c:v>
                </c:pt>
                <c:pt idx="1">
                  <c:v>80137.072703511163</c:v>
                </c:pt>
                <c:pt idx="2">
                  <c:v>85366.071075216678</c:v>
                </c:pt>
              </c:numCache>
            </c:numRef>
          </c:val>
          <c:extLst>
            <c:ext xmlns:c16="http://schemas.microsoft.com/office/drawing/2014/chart" uri="{C3380CC4-5D6E-409C-BE32-E72D297353CC}">
              <c16:uniqueId val="{00000000-0C43-40C0-ACBB-7AF2849A1FE2}"/>
            </c:ext>
          </c:extLst>
        </c:ser>
        <c:ser>
          <c:idx val="0"/>
          <c:order val="1"/>
          <c:tx>
            <c:v>במחיר פחם נמוך</c:v>
          </c:tx>
          <c:spPr>
            <a:solidFill>
              <a:schemeClr val="accent1"/>
            </a:solidFill>
            <a:ln>
              <a:noFill/>
            </a:ln>
            <a:effectLst/>
          </c:spPr>
          <c:invertIfNegative val="0"/>
          <c:cat>
            <c:strRef>
              <c:f>[1]Sheet1!$B$12:$B$14</c:f>
              <c:strCache>
                <c:ptCount val="3"/>
                <c:pt idx="0">
                  <c:v>תרחיש בסיס</c:v>
                </c:pt>
                <c:pt idx="1">
                  <c:v>תרחיש 1</c:v>
                </c:pt>
                <c:pt idx="2">
                  <c:v>תרחיש 2</c:v>
                </c:pt>
              </c:strCache>
            </c:strRef>
          </c:cat>
          <c:val>
            <c:numRef>
              <c:f>[1]Sheet1!$J$27:$J$29</c:f>
              <c:numCache>
                <c:formatCode>General</c:formatCode>
                <c:ptCount val="3"/>
                <c:pt idx="0">
                  <c:v>82796.443417660601</c:v>
                </c:pt>
                <c:pt idx="1">
                  <c:v>77094.361665423741</c:v>
                </c:pt>
                <c:pt idx="2">
                  <c:v>77093.063104173736</c:v>
                </c:pt>
              </c:numCache>
            </c:numRef>
          </c:val>
          <c:extLst>
            <c:ext xmlns:c16="http://schemas.microsoft.com/office/drawing/2014/chart" uri="{C3380CC4-5D6E-409C-BE32-E72D297353CC}">
              <c16:uniqueId val="{00000001-0C43-40C0-ACBB-7AF2849A1FE2}"/>
            </c:ext>
          </c:extLst>
        </c:ser>
        <c:ser>
          <c:idx val="1"/>
          <c:order val="2"/>
          <c:tx>
            <c:v>מחיר פחם נמוך וגז שולי</c:v>
          </c:tx>
          <c:spPr>
            <a:solidFill>
              <a:schemeClr val="accent2"/>
            </a:solidFill>
            <a:ln>
              <a:noFill/>
            </a:ln>
            <a:effectLst/>
          </c:spPr>
          <c:invertIfNegative val="0"/>
          <c:cat>
            <c:strRef>
              <c:f>[1]Sheet1!$B$12:$B$14</c:f>
              <c:strCache>
                <c:ptCount val="3"/>
                <c:pt idx="0">
                  <c:v>תרחיש בסיס</c:v>
                </c:pt>
                <c:pt idx="1">
                  <c:v>תרחיש 1</c:v>
                </c:pt>
                <c:pt idx="2">
                  <c:v>תרחיש 2</c:v>
                </c:pt>
              </c:strCache>
            </c:strRef>
          </c:cat>
          <c:val>
            <c:numRef>
              <c:f>[1]Sheet1!$J$42:$J$44</c:f>
              <c:numCache>
                <c:formatCode>General</c:formatCode>
                <c:ptCount val="3"/>
                <c:pt idx="0">
                  <c:v>79071.809326569084</c:v>
                </c:pt>
                <c:pt idx="1">
                  <c:v>77747.610031191813</c:v>
                </c:pt>
                <c:pt idx="2">
                  <c:v>81330.096546866524</c:v>
                </c:pt>
              </c:numCache>
            </c:numRef>
          </c:val>
          <c:extLst>
            <c:ext xmlns:c16="http://schemas.microsoft.com/office/drawing/2014/chart" uri="{C3380CC4-5D6E-409C-BE32-E72D297353CC}">
              <c16:uniqueId val="{00000002-0C43-40C0-ACBB-7AF2849A1FE2}"/>
            </c:ext>
          </c:extLst>
        </c:ser>
        <c:dLbls>
          <c:showLegendKey val="0"/>
          <c:showVal val="0"/>
          <c:showCatName val="0"/>
          <c:showSerName val="0"/>
          <c:showPercent val="0"/>
          <c:showBubbleSize val="0"/>
        </c:dLbls>
        <c:gapWidth val="150"/>
        <c:axId val="797296576"/>
        <c:axId val="797299072"/>
      </c:barChart>
      <c:dateAx>
        <c:axId val="7972965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he-IL"/>
          </a:p>
        </c:txPr>
        <c:crossAx val="797299072"/>
        <c:crosses val="autoZero"/>
        <c:auto val="0"/>
        <c:lblOffset val="100"/>
        <c:baseTimeUnit val="days"/>
      </c:dateAx>
      <c:valAx>
        <c:axId val="797299072"/>
        <c:scaling>
          <c:orientation val="minMax"/>
        </c:scaling>
        <c:delete val="0"/>
        <c:axPos val="r"/>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he-IL"/>
          </a:p>
        </c:txPr>
        <c:crossAx val="797296576"/>
        <c:crosses val="autoZero"/>
        <c:crossBetween val="between"/>
      </c:valAx>
      <c:spPr>
        <a:noFill/>
        <a:ln w="22225">
          <a:solidFill>
            <a:schemeClr val="accent1"/>
          </a:solidFill>
        </a:ln>
        <a:effectLst/>
      </c:spPr>
    </c:plotArea>
    <c:legend>
      <c:legendPos val="b"/>
      <c:layout>
        <c:manualLayout>
          <c:xMode val="edge"/>
          <c:yMode val="edge"/>
          <c:x val="0.29609036027073776"/>
          <c:y val="0.19751107579841151"/>
          <c:w val="0.31156676144747025"/>
          <c:h val="0.26298509503961659"/>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he-I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22225" cap="flat" cmpd="sng" algn="ctr">
      <a:solidFill>
        <a:schemeClr val="accent1"/>
      </a:solidFill>
      <a:round/>
    </a:ln>
    <a:effectLst/>
  </c:spPr>
  <c:txPr>
    <a:bodyPr/>
    <a:lstStyle/>
    <a:p>
      <a:pPr>
        <a:defRPr/>
      </a:pPr>
      <a:endParaRPr lang="he-IL"/>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e-IL" sz="1800" b="1" i="0" baseline="0">
                <a:solidFill>
                  <a:srgbClr val="0070C0"/>
                </a:solidFill>
                <a:effectLst/>
              </a:rPr>
              <a:t>פחם בתקופה 2024-2030 בתרחישים שונים</a:t>
            </a:r>
            <a:endParaRPr lang="en-US">
              <a:solidFill>
                <a:srgbClr val="0070C0"/>
              </a:solidFill>
              <a:effectLst/>
            </a:endParaRPr>
          </a:p>
        </c:rich>
      </c:tx>
      <c:layout>
        <c:manualLayout>
          <c:xMode val="edge"/>
          <c:yMode val="edge"/>
          <c:x val="0.1931042406207098"/>
          <c:y val="3.252032520325203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he-IL"/>
        </a:p>
      </c:txPr>
    </c:title>
    <c:autoTitleDeleted val="0"/>
    <c:plotArea>
      <c:layout>
        <c:manualLayout>
          <c:layoutTarget val="inner"/>
          <c:xMode val="edge"/>
          <c:yMode val="edge"/>
          <c:x val="4.7082925050997579E-2"/>
          <c:y val="0.13404487548812496"/>
          <c:w val="0.86942226002694012"/>
          <c:h val="0.75471416682670767"/>
        </c:manualLayout>
      </c:layout>
      <c:barChart>
        <c:barDir val="col"/>
        <c:grouping val="clustered"/>
        <c:varyColors val="0"/>
        <c:ser>
          <c:idx val="5"/>
          <c:order val="0"/>
          <c:tx>
            <c:v>תרחיש בסיס</c:v>
          </c:tx>
          <c:spPr>
            <a:solidFill>
              <a:schemeClr val="accent6"/>
            </a:solidFill>
            <a:ln>
              <a:noFill/>
            </a:ln>
            <a:effectLst/>
          </c:spPr>
          <c:invertIfNegative val="0"/>
          <c:cat>
            <c:numRef>
              <c:f>[1]Sheet2!$D$4:$D$10</c:f>
              <c:numCache>
                <c:formatCode>General</c:formatCode>
                <c:ptCount val="7"/>
                <c:pt idx="0">
                  <c:v>2024</c:v>
                </c:pt>
                <c:pt idx="1">
                  <c:v>2025</c:v>
                </c:pt>
                <c:pt idx="2">
                  <c:v>2026</c:v>
                </c:pt>
                <c:pt idx="3">
                  <c:v>2027</c:v>
                </c:pt>
                <c:pt idx="4">
                  <c:v>2028</c:v>
                </c:pt>
                <c:pt idx="5">
                  <c:v>2029</c:v>
                </c:pt>
                <c:pt idx="6">
                  <c:v>2030</c:v>
                </c:pt>
              </c:numCache>
            </c:numRef>
          </c:cat>
          <c:val>
            <c:numRef>
              <c:f>[1]Sheet2!$I$4:$I$10</c:f>
              <c:numCache>
                <c:formatCode>General</c:formatCode>
                <c:ptCount val="7"/>
                <c:pt idx="0">
                  <c:v>1821.4</c:v>
                </c:pt>
                <c:pt idx="1">
                  <c:v>1029.08</c:v>
                </c:pt>
                <c:pt idx="2">
                  <c:v>0</c:v>
                </c:pt>
                <c:pt idx="3">
                  <c:v>0</c:v>
                </c:pt>
                <c:pt idx="4">
                  <c:v>0</c:v>
                </c:pt>
                <c:pt idx="5">
                  <c:v>0</c:v>
                </c:pt>
                <c:pt idx="6">
                  <c:v>0</c:v>
                </c:pt>
              </c:numCache>
            </c:numRef>
          </c:val>
          <c:extLst>
            <c:ext xmlns:c16="http://schemas.microsoft.com/office/drawing/2014/chart" uri="{C3380CC4-5D6E-409C-BE32-E72D297353CC}">
              <c16:uniqueId val="{00000000-F3D4-49F0-A160-86C989E25651}"/>
            </c:ext>
          </c:extLst>
        </c:ser>
        <c:ser>
          <c:idx val="0"/>
          <c:order val="1"/>
          <c:tx>
            <c:v>תרחיש 1</c:v>
          </c:tx>
          <c:spPr>
            <a:solidFill>
              <a:schemeClr val="accent1"/>
            </a:solidFill>
            <a:ln>
              <a:noFill/>
            </a:ln>
            <a:effectLst/>
          </c:spPr>
          <c:invertIfNegative val="0"/>
          <c:cat>
            <c:numRef>
              <c:f>[1]Sheet2!$D$4:$D$10</c:f>
              <c:numCache>
                <c:formatCode>General</c:formatCode>
                <c:ptCount val="7"/>
                <c:pt idx="0">
                  <c:v>2024</c:v>
                </c:pt>
                <c:pt idx="1">
                  <c:v>2025</c:v>
                </c:pt>
                <c:pt idx="2">
                  <c:v>2026</c:v>
                </c:pt>
                <c:pt idx="3">
                  <c:v>2027</c:v>
                </c:pt>
                <c:pt idx="4">
                  <c:v>2028</c:v>
                </c:pt>
                <c:pt idx="5">
                  <c:v>2029</c:v>
                </c:pt>
                <c:pt idx="6">
                  <c:v>2030</c:v>
                </c:pt>
              </c:numCache>
            </c:numRef>
          </c:cat>
          <c:val>
            <c:numRef>
              <c:f>[1]Sheet2!$I$19:$I$25</c:f>
              <c:numCache>
                <c:formatCode>General</c:formatCode>
                <c:ptCount val="7"/>
                <c:pt idx="0">
                  <c:v>4363.41</c:v>
                </c:pt>
                <c:pt idx="1">
                  <c:v>3490.29</c:v>
                </c:pt>
                <c:pt idx="2">
                  <c:v>3393.17</c:v>
                </c:pt>
                <c:pt idx="3">
                  <c:v>3515.12</c:v>
                </c:pt>
                <c:pt idx="4">
                  <c:v>3465.86</c:v>
                </c:pt>
                <c:pt idx="5">
                  <c:v>3527.65</c:v>
                </c:pt>
                <c:pt idx="6">
                  <c:v>3398.84</c:v>
                </c:pt>
              </c:numCache>
            </c:numRef>
          </c:val>
          <c:extLst>
            <c:ext xmlns:c16="http://schemas.microsoft.com/office/drawing/2014/chart" uri="{C3380CC4-5D6E-409C-BE32-E72D297353CC}">
              <c16:uniqueId val="{00000001-F3D4-49F0-A160-86C989E25651}"/>
            </c:ext>
          </c:extLst>
        </c:ser>
        <c:ser>
          <c:idx val="1"/>
          <c:order val="2"/>
          <c:tx>
            <c:v>תרחיש 2</c:v>
          </c:tx>
          <c:spPr>
            <a:solidFill>
              <a:schemeClr val="accent2"/>
            </a:solidFill>
            <a:ln>
              <a:noFill/>
            </a:ln>
            <a:effectLst/>
          </c:spPr>
          <c:invertIfNegative val="0"/>
          <c:cat>
            <c:numRef>
              <c:f>[1]Sheet2!$D$4:$D$10</c:f>
              <c:numCache>
                <c:formatCode>General</c:formatCode>
                <c:ptCount val="7"/>
                <c:pt idx="0">
                  <c:v>2024</c:v>
                </c:pt>
                <c:pt idx="1">
                  <c:v>2025</c:v>
                </c:pt>
                <c:pt idx="2">
                  <c:v>2026</c:v>
                </c:pt>
                <c:pt idx="3">
                  <c:v>2027</c:v>
                </c:pt>
                <c:pt idx="4">
                  <c:v>2028</c:v>
                </c:pt>
                <c:pt idx="5">
                  <c:v>2029</c:v>
                </c:pt>
                <c:pt idx="6">
                  <c:v>2030</c:v>
                </c:pt>
              </c:numCache>
            </c:numRef>
          </c:cat>
          <c:val>
            <c:numRef>
              <c:f>[1]Sheet2!$I$34:$I$40</c:f>
              <c:numCache>
                <c:formatCode>General</c:formatCode>
                <c:ptCount val="7"/>
                <c:pt idx="0">
                  <c:v>2146.2199999999998</c:v>
                </c:pt>
                <c:pt idx="1">
                  <c:v>1234.93</c:v>
                </c:pt>
                <c:pt idx="2">
                  <c:v>1179.5899999999999</c:v>
                </c:pt>
                <c:pt idx="3">
                  <c:v>1179.3</c:v>
                </c:pt>
                <c:pt idx="4">
                  <c:v>1276.67</c:v>
                </c:pt>
                <c:pt idx="5">
                  <c:v>351.85</c:v>
                </c:pt>
                <c:pt idx="6">
                  <c:v>313.44</c:v>
                </c:pt>
              </c:numCache>
            </c:numRef>
          </c:val>
          <c:extLst>
            <c:ext xmlns:c16="http://schemas.microsoft.com/office/drawing/2014/chart" uri="{C3380CC4-5D6E-409C-BE32-E72D297353CC}">
              <c16:uniqueId val="{00000002-F3D4-49F0-A160-86C989E25651}"/>
            </c:ext>
          </c:extLst>
        </c:ser>
        <c:dLbls>
          <c:showLegendKey val="0"/>
          <c:showVal val="0"/>
          <c:showCatName val="0"/>
          <c:showSerName val="0"/>
          <c:showPercent val="0"/>
          <c:showBubbleSize val="0"/>
        </c:dLbls>
        <c:gapWidth val="139"/>
        <c:axId val="797296576"/>
        <c:axId val="797299072"/>
      </c:barChart>
      <c:catAx>
        <c:axId val="797296576"/>
        <c:scaling>
          <c:orientation val="maxMin"/>
        </c:scaling>
        <c:delete val="0"/>
        <c:axPos val="b"/>
        <c:majorGridlines>
          <c:spPr>
            <a:ln w="19050"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he-IL"/>
          </a:p>
        </c:txPr>
        <c:crossAx val="797299072"/>
        <c:crosses val="autoZero"/>
        <c:auto val="1"/>
        <c:lblAlgn val="ctr"/>
        <c:lblOffset val="100"/>
        <c:noMultiLvlLbl val="0"/>
      </c:catAx>
      <c:valAx>
        <c:axId val="797299072"/>
        <c:scaling>
          <c:orientation val="minMax"/>
        </c:scaling>
        <c:delete val="0"/>
        <c:axPos val="r"/>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he-IL"/>
          </a:p>
        </c:txPr>
        <c:crossAx val="797296576"/>
        <c:crosses val="autoZero"/>
        <c:crossBetween val="between"/>
      </c:valAx>
      <c:spPr>
        <a:noFill/>
        <a:ln w="15875">
          <a:solidFill>
            <a:schemeClr val="accent1"/>
          </a:solidFill>
        </a:ln>
        <a:effectLst/>
      </c:spPr>
    </c:plotArea>
    <c:legend>
      <c:legendPos val="b"/>
      <c:layout>
        <c:manualLayout>
          <c:xMode val="edge"/>
          <c:yMode val="edge"/>
          <c:x val="0.35974613025908586"/>
          <c:y val="0.22279399526278729"/>
          <c:w val="0.41803705178355821"/>
          <c:h val="7.3849625504129046E-2"/>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he-I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19050" cap="flat" cmpd="sng" algn="ctr">
      <a:solidFill>
        <a:schemeClr val="accent1"/>
      </a:solidFill>
      <a:round/>
    </a:ln>
    <a:effectLst/>
  </c:spPr>
  <c:txPr>
    <a:bodyPr/>
    <a:lstStyle/>
    <a:p>
      <a:pPr>
        <a:defRPr/>
      </a:pPr>
      <a:endParaRPr lang="he-IL"/>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rgbClr val="002060"/>
                </a:solidFill>
                <a:latin typeface="+mn-lt"/>
                <a:ea typeface="+mn-ea"/>
                <a:cs typeface="+mn-cs"/>
              </a:defRPr>
            </a:pPr>
            <a:r>
              <a:rPr lang="he-IL" b="1">
                <a:solidFill>
                  <a:srgbClr val="002060"/>
                </a:solidFill>
              </a:rPr>
              <a:t>עלויות דלקים בתקופה 2024-2030 בתרחישים שונים</a:t>
            </a:r>
            <a:endParaRPr lang="en-US" b="1">
              <a:solidFill>
                <a:srgbClr val="002060"/>
              </a:solidFill>
            </a:endParaRPr>
          </a:p>
        </c:rich>
      </c:tx>
      <c:layout>
        <c:manualLayout>
          <c:xMode val="edge"/>
          <c:yMode val="edge"/>
          <c:x val="6.2461344550723642E-2"/>
          <c:y val="2.61584485197613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rgbClr val="002060"/>
              </a:solidFill>
              <a:latin typeface="+mn-lt"/>
              <a:ea typeface="+mn-ea"/>
              <a:cs typeface="+mn-cs"/>
            </a:defRPr>
          </a:pPr>
          <a:endParaRPr lang="he-IL"/>
        </a:p>
      </c:txPr>
    </c:title>
    <c:autoTitleDeleted val="0"/>
    <c:plotArea>
      <c:layout>
        <c:manualLayout>
          <c:layoutTarget val="inner"/>
          <c:xMode val="edge"/>
          <c:yMode val="edge"/>
          <c:x val="2.823616347141902E-2"/>
          <c:y val="0.16820294342277739"/>
          <c:w val="0.85891094512118715"/>
          <c:h val="0.69342009973989849"/>
        </c:manualLayout>
      </c:layout>
      <c:barChart>
        <c:barDir val="col"/>
        <c:grouping val="clustered"/>
        <c:varyColors val="0"/>
        <c:ser>
          <c:idx val="5"/>
          <c:order val="0"/>
          <c:tx>
            <c:v>במחיר פחם גבוה</c:v>
          </c:tx>
          <c:spPr>
            <a:solidFill>
              <a:schemeClr val="accent6"/>
            </a:solidFill>
            <a:ln>
              <a:noFill/>
            </a:ln>
            <a:effectLst/>
          </c:spPr>
          <c:invertIfNegative val="0"/>
          <c:cat>
            <c:strRef>
              <c:f>[1]Sheet2!$B$12:$B$14</c:f>
              <c:strCache>
                <c:ptCount val="3"/>
                <c:pt idx="0">
                  <c:v>תרחיש בסיס</c:v>
                </c:pt>
                <c:pt idx="1">
                  <c:v>תרחיש 1</c:v>
                </c:pt>
                <c:pt idx="2">
                  <c:v>תרחיש 2</c:v>
                </c:pt>
              </c:strCache>
            </c:strRef>
          </c:cat>
          <c:val>
            <c:numRef>
              <c:f>[1]Sheet2!$J$12:$J$14</c:f>
              <c:numCache>
                <c:formatCode>General</c:formatCode>
                <c:ptCount val="3"/>
                <c:pt idx="0">
                  <c:v>102781.8461563552</c:v>
                </c:pt>
                <c:pt idx="1">
                  <c:v>102120.25596338071</c:v>
                </c:pt>
                <c:pt idx="2">
                  <c:v>107391.32479681203</c:v>
                </c:pt>
              </c:numCache>
            </c:numRef>
          </c:val>
          <c:extLst>
            <c:ext xmlns:c16="http://schemas.microsoft.com/office/drawing/2014/chart" uri="{C3380CC4-5D6E-409C-BE32-E72D297353CC}">
              <c16:uniqueId val="{00000000-C88D-4C47-A95A-9537D8484BB2}"/>
            </c:ext>
          </c:extLst>
        </c:ser>
        <c:ser>
          <c:idx val="0"/>
          <c:order val="1"/>
          <c:tx>
            <c:v>במחיר פחם נמוך</c:v>
          </c:tx>
          <c:spPr>
            <a:solidFill>
              <a:schemeClr val="accent1"/>
            </a:solidFill>
            <a:ln>
              <a:noFill/>
            </a:ln>
            <a:effectLst/>
          </c:spPr>
          <c:invertIfNegative val="0"/>
          <c:cat>
            <c:strRef>
              <c:f>[1]Sheet2!$B$12:$B$14</c:f>
              <c:strCache>
                <c:ptCount val="3"/>
                <c:pt idx="0">
                  <c:v>תרחיש בסיס</c:v>
                </c:pt>
                <c:pt idx="1">
                  <c:v>תרחיש 1</c:v>
                </c:pt>
                <c:pt idx="2">
                  <c:v>תרחיש 2</c:v>
                </c:pt>
              </c:strCache>
            </c:strRef>
          </c:cat>
          <c:val>
            <c:numRef>
              <c:f>[1]Sheet2!$J$27:$J$29</c:f>
              <c:numCache>
                <c:formatCode>General</c:formatCode>
                <c:ptCount val="3"/>
                <c:pt idx="0">
                  <c:v>104195.26983805877</c:v>
                </c:pt>
                <c:pt idx="1">
                  <c:v>98357.002369160269</c:v>
                </c:pt>
                <c:pt idx="2">
                  <c:v>98304.194211660273</c:v>
                </c:pt>
              </c:numCache>
            </c:numRef>
          </c:val>
          <c:extLst>
            <c:ext xmlns:c16="http://schemas.microsoft.com/office/drawing/2014/chart" uri="{C3380CC4-5D6E-409C-BE32-E72D297353CC}">
              <c16:uniqueId val="{00000001-C88D-4C47-A95A-9537D8484BB2}"/>
            </c:ext>
          </c:extLst>
        </c:ser>
        <c:ser>
          <c:idx val="1"/>
          <c:order val="2"/>
          <c:tx>
            <c:v>מחיר פחם נמוך וגז שולי</c:v>
          </c:tx>
          <c:spPr>
            <a:solidFill>
              <a:schemeClr val="accent2"/>
            </a:solidFill>
            <a:ln>
              <a:noFill/>
            </a:ln>
            <a:effectLst/>
          </c:spPr>
          <c:invertIfNegative val="0"/>
          <c:cat>
            <c:strRef>
              <c:f>[1]Sheet2!$B$12:$B$14</c:f>
              <c:strCache>
                <c:ptCount val="3"/>
                <c:pt idx="0">
                  <c:v>תרחיש בסיס</c:v>
                </c:pt>
                <c:pt idx="1">
                  <c:v>תרחיש 1</c:v>
                </c:pt>
                <c:pt idx="2">
                  <c:v>תרחיש 2</c:v>
                </c:pt>
              </c:strCache>
            </c:strRef>
          </c:cat>
          <c:val>
            <c:numRef>
              <c:f>[1]Sheet2!$J$42:$J$44</c:f>
              <c:numCache>
                <c:formatCode>General</c:formatCode>
                <c:ptCount val="3"/>
                <c:pt idx="0">
                  <c:v>103600.22411044627</c:v>
                </c:pt>
                <c:pt idx="1">
                  <c:v>101817.24865984496</c:v>
                </c:pt>
                <c:pt idx="2">
                  <c:v>105409.87178442704</c:v>
                </c:pt>
              </c:numCache>
            </c:numRef>
          </c:val>
          <c:extLst>
            <c:ext xmlns:c16="http://schemas.microsoft.com/office/drawing/2014/chart" uri="{C3380CC4-5D6E-409C-BE32-E72D297353CC}">
              <c16:uniqueId val="{00000002-C88D-4C47-A95A-9537D8484BB2}"/>
            </c:ext>
          </c:extLst>
        </c:ser>
        <c:dLbls>
          <c:showLegendKey val="0"/>
          <c:showVal val="0"/>
          <c:showCatName val="0"/>
          <c:showSerName val="0"/>
          <c:showPercent val="0"/>
          <c:showBubbleSize val="0"/>
        </c:dLbls>
        <c:gapWidth val="150"/>
        <c:axId val="797296576"/>
        <c:axId val="797299072"/>
      </c:barChart>
      <c:dateAx>
        <c:axId val="7972965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he-IL"/>
          </a:p>
        </c:txPr>
        <c:crossAx val="797299072"/>
        <c:crosses val="autoZero"/>
        <c:auto val="0"/>
        <c:lblOffset val="100"/>
        <c:baseTimeUnit val="days"/>
      </c:dateAx>
      <c:valAx>
        <c:axId val="797299072"/>
        <c:scaling>
          <c:orientation val="minMax"/>
        </c:scaling>
        <c:delete val="0"/>
        <c:axPos val="r"/>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he-IL"/>
          </a:p>
        </c:txPr>
        <c:crossAx val="797296576"/>
        <c:crosses val="autoZero"/>
        <c:crossBetween val="between"/>
      </c:valAx>
      <c:spPr>
        <a:noFill/>
        <a:ln w="22225">
          <a:solidFill>
            <a:schemeClr val="accent1"/>
          </a:solidFill>
        </a:ln>
        <a:effectLst/>
      </c:spPr>
    </c:plotArea>
    <c:legend>
      <c:legendPos val="b"/>
      <c:layout>
        <c:manualLayout>
          <c:xMode val="edge"/>
          <c:yMode val="edge"/>
          <c:x val="0.30051793962768936"/>
          <c:y val="0.2117098617835762"/>
          <c:w val="0.29385652446525212"/>
          <c:h val="0.23458742278245523"/>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he-I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22225" cap="flat" cmpd="sng" algn="ctr">
      <a:solidFill>
        <a:schemeClr val="accent1"/>
      </a:solidFill>
      <a:round/>
    </a:ln>
    <a:effectLst/>
  </c:spPr>
  <c:txPr>
    <a:bodyPr/>
    <a:lstStyle/>
    <a:p>
      <a:pPr>
        <a:defRPr/>
      </a:pPr>
      <a:endParaRPr lang="he-IL"/>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e-IL"/>
              <a:t>פערים בצריכת הגז בין העמסה כלכלית ל-</a:t>
            </a:r>
            <a:r>
              <a:rPr lang="en-US"/>
              <a:t>MUSTRUN</a:t>
            </a:r>
            <a:endParaRPr lang="he-IL"/>
          </a:p>
        </c:rich>
      </c:tx>
      <c:layout>
        <c:manualLayout>
          <c:xMode val="edge"/>
          <c:yMode val="edge"/>
          <c:x val="1.2604069652583682E-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he-IL"/>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'ריכוז תוצאות'!$E$52</c:f>
              <c:strCache>
                <c:ptCount val="1"/>
                <c:pt idx="0">
                  <c:v>העמסת לפי מדיניות רזרבה נדרשת</c:v>
                </c:pt>
              </c:strCache>
            </c:strRef>
          </c:tx>
          <c:spPr>
            <a:solidFill>
              <a:schemeClr val="accent1"/>
            </a:solidFill>
            <a:ln>
              <a:noFill/>
            </a:ln>
            <a:effectLst/>
            <a:sp3d/>
          </c:spPr>
          <c:invertIfNegative val="0"/>
          <c:cat>
            <c:numRef>
              <c:f>'ריכוז תוצאות'!$D$53:$D$59</c:f>
              <c:numCache>
                <c:formatCode>General</c:formatCode>
                <c:ptCount val="7"/>
                <c:pt idx="0">
                  <c:v>2024</c:v>
                </c:pt>
                <c:pt idx="1">
                  <c:v>2025</c:v>
                </c:pt>
                <c:pt idx="2">
                  <c:v>2026</c:v>
                </c:pt>
                <c:pt idx="3">
                  <c:v>2027</c:v>
                </c:pt>
                <c:pt idx="4">
                  <c:v>2028</c:v>
                </c:pt>
                <c:pt idx="5">
                  <c:v>2029</c:v>
                </c:pt>
                <c:pt idx="6">
                  <c:v>2030</c:v>
                </c:pt>
              </c:numCache>
            </c:numRef>
          </c:cat>
          <c:val>
            <c:numRef>
              <c:f>'ריכוז תוצאות'!$E$53:$E$59</c:f>
              <c:numCache>
                <c:formatCode>_ * #,##0.0_ ;_ * \-#,##0.0_ ;_ * "-"??_ ;_ @_ </c:formatCode>
                <c:ptCount val="7"/>
                <c:pt idx="0">
                  <c:v>13.148671026960001</c:v>
                </c:pt>
                <c:pt idx="1">
                  <c:v>14.041737190880001</c:v>
                </c:pt>
                <c:pt idx="2">
                  <c:v>14.662220265000002</c:v>
                </c:pt>
                <c:pt idx="3">
                  <c:v>14.894724059600001</c:v>
                </c:pt>
                <c:pt idx="4">
                  <c:v>15.1135511604</c:v>
                </c:pt>
                <c:pt idx="5">
                  <c:v>14.7281901998</c:v>
                </c:pt>
                <c:pt idx="6">
                  <c:v>14.59584076076</c:v>
                </c:pt>
              </c:numCache>
            </c:numRef>
          </c:val>
          <c:extLst>
            <c:ext xmlns:c16="http://schemas.microsoft.com/office/drawing/2014/chart" uri="{C3380CC4-5D6E-409C-BE32-E72D297353CC}">
              <c16:uniqueId val="{00000000-87F0-4418-A606-FE25C5136E78}"/>
            </c:ext>
          </c:extLst>
        </c:ser>
        <c:ser>
          <c:idx val="1"/>
          <c:order val="1"/>
          <c:tx>
            <c:strRef>
              <c:f>'ריכוז תוצאות'!$F$52</c:f>
              <c:strCache>
                <c:ptCount val="1"/>
                <c:pt idx="0">
                  <c:v>MUSTRUN</c:v>
                </c:pt>
              </c:strCache>
            </c:strRef>
          </c:tx>
          <c:spPr>
            <a:solidFill>
              <a:schemeClr val="accent2"/>
            </a:solidFill>
            <a:ln>
              <a:noFill/>
            </a:ln>
            <a:effectLst/>
            <a:sp3d/>
          </c:spPr>
          <c:invertIfNegative val="0"/>
          <c:cat>
            <c:numRef>
              <c:f>'ריכוז תוצאות'!$D$53:$D$59</c:f>
              <c:numCache>
                <c:formatCode>General</c:formatCode>
                <c:ptCount val="7"/>
                <c:pt idx="0">
                  <c:v>2024</c:v>
                </c:pt>
                <c:pt idx="1">
                  <c:v>2025</c:v>
                </c:pt>
                <c:pt idx="2">
                  <c:v>2026</c:v>
                </c:pt>
                <c:pt idx="3">
                  <c:v>2027</c:v>
                </c:pt>
                <c:pt idx="4">
                  <c:v>2028</c:v>
                </c:pt>
                <c:pt idx="5">
                  <c:v>2029</c:v>
                </c:pt>
                <c:pt idx="6">
                  <c:v>2030</c:v>
                </c:pt>
              </c:numCache>
            </c:numRef>
          </c:cat>
          <c:val>
            <c:numRef>
              <c:f>'ריכוז תוצאות'!$F$53:$F$59</c:f>
              <c:numCache>
                <c:formatCode>_ * #,##0.0_ ;_ * \-#,##0.0_ ;_ * "-"??_ ;_ @_ </c:formatCode>
                <c:ptCount val="7"/>
                <c:pt idx="0">
                  <c:v>13.426768676719998</c:v>
                </c:pt>
                <c:pt idx="1">
                  <c:v>14.095288395160001</c:v>
                </c:pt>
                <c:pt idx="2">
                  <c:v>15.124112200960001</c:v>
                </c:pt>
                <c:pt idx="3">
                  <c:v>15.286930680839998</c:v>
                </c:pt>
                <c:pt idx="4">
                  <c:v>15.54890884764</c:v>
                </c:pt>
                <c:pt idx="5">
                  <c:v>15.535085879039999</c:v>
                </c:pt>
                <c:pt idx="6">
                  <c:v>15.707734025480001</c:v>
                </c:pt>
              </c:numCache>
            </c:numRef>
          </c:val>
          <c:extLst>
            <c:ext xmlns:c16="http://schemas.microsoft.com/office/drawing/2014/chart" uri="{C3380CC4-5D6E-409C-BE32-E72D297353CC}">
              <c16:uniqueId val="{00000001-87F0-4418-A606-FE25C5136E78}"/>
            </c:ext>
          </c:extLst>
        </c:ser>
        <c:dLbls>
          <c:showLegendKey val="0"/>
          <c:showVal val="0"/>
          <c:showCatName val="0"/>
          <c:showSerName val="0"/>
          <c:showPercent val="0"/>
          <c:showBubbleSize val="0"/>
        </c:dLbls>
        <c:gapWidth val="150"/>
        <c:shape val="box"/>
        <c:axId val="922920399"/>
        <c:axId val="1587195551"/>
        <c:axId val="0"/>
      </c:bar3DChart>
      <c:catAx>
        <c:axId val="922920399"/>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e-IL"/>
          </a:p>
        </c:txPr>
        <c:crossAx val="1587195551"/>
        <c:crosses val="autoZero"/>
        <c:auto val="1"/>
        <c:lblAlgn val="ctr"/>
        <c:lblOffset val="100"/>
        <c:noMultiLvlLbl val="0"/>
      </c:catAx>
      <c:valAx>
        <c:axId val="1587195551"/>
        <c:scaling>
          <c:orientation val="minMax"/>
        </c:scaling>
        <c:delete val="0"/>
        <c:axPos val="r"/>
        <c:majorGridlines>
          <c:spPr>
            <a:ln w="9525" cap="flat" cmpd="sng" algn="ctr">
              <a:solidFill>
                <a:schemeClr val="tx1">
                  <a:lumMod val="15000"/>
                  <a:lumOff val="85000"/>
                </a:schemeClr>
              </a:solidFill>
              <a:round/>
            </a:ln>
            <a:effectLst/>
          </c:spPr>
        </c:majorGridlines>
        <c:numFmt formatCode="_ * #,##0.0_ ;_ * \-#,##0.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e-IL"/>
          </a:p>
        </c:txPr>
        <c:crossAx val="9229203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e-I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he-I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65314</xdr:colOff>
      <xdr:row>0</xdr:row>
      <xdr:rowOff>87085</xdr:rowOff>
    </xdr:from>
    <xdr:to>
      <xdr:col>10</xdr:col>
      <xdr:colOff>244929</xdr:colOff>
      <xdr:row>16</xdr:row>
      <xdr:rowOff>168728</xdr:rowOff>
    </xdr:to>
    <xdr:graphicFrame macro="">
      <xdr:nvGraphicFramePr>
        <xdr:cNvPr id="4" name="Chart 3">
          <a:extLst>
            <a:ext uri="{FF2B5EF4-FFF2-40B4-BE49-F238E27FC236}">
              <a16:creationId xmlns:a16="http://schemas.microsoft.com/office/drawing/2014/main" id="{3A67E629-DF0F-413D-8E0F-62793B398C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130628</xdr:colOff>
      <xdr:row>17</xdr:row>
      <xdr:rowOff>70757</xdr:rowOff>
    </xdr:from>
    <xdr:to>
      <xdr:col>10</xdr:col>
      <xdr:colOff>125186</xdr:colOff>
      <xdr:row>30</xdr:row>
      <xdr:rowOff>92528</xdr:rowOff>
    </xdr:to>
    <xdr:graphicFrame macro="">
      <xdr:nvGraphicFramePr>
        <xdr:cNvPr id="5" name="Chart 4">
          <a:extLst>
            <a:ext uri="{FF2B5EF4-FFF2-40B4-BE49-F238E27FC236}">
              <a16:creationId xmlns:a16="http://schemas.microsoft.com/office/drawing/2014/main" id="{57029E1A-8CD5-4C7C-918A-00E8362AA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370115</xdr:colOff>
      <xdr:row>0</xdr:row>
      <xdr:rowOff>81643</xdr:rowOff>
    </xdr:from>
    <xdr:to>
      <xdr:col>20</xdr:col>
      <xdr:colOff>27214</xdr:colOff>
      <xdr:row>16</xdr:row>
      <xdr:rowOff>163286</xdr:rowOff>
    </xdr:to>
    <xdr:graphicFrame macro="">
      <xdr:nvGraphicFramePr>
        <xdr:cNvPr id="9" name="Chart 8">
          <a:extLst>
            <a:ext uri="{FF2B5EF4-FFF2-40B4-BE49-F238E27FC236}">
              <a16:creationId xmlns:a16="http://schemas.microsoft.com/office/drawing/2014/main" id="{8AB91E55-8F8D-4763-A0B2-9C4F1BF827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607218</xdr:colOff>
      <xdr:row>17</xdr:row>
      <xdr:rowOff>119063</xdr:rowOff>
    </xdr:from>
    <xdr:to>
      <xdr:col>20</xdr:col>
      <xdr:colOff>151606</xdr:colOff>
      <xdr:row>31</xdr:row>
      <xdr:rowOff>29822</xdr:rowOff>
    </xdr:to>
    <xdr:graphicFrame macro="">
      <xdr:nvGraphicFramePr>
        <xdr:cNvPr id="2" name="Chart 10">
          <a:extLst>
            <a:ext uri="{FF2B5EF4-FFF2-40B4-BE49-F238E27FC236}">
              <a16:creationId xmlns:a16="http://schemas.microsoft.com/office/drawing/2014/main" id="{3087BF69-C787-46CD-A790-BE834AA11E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0.87423</cdr:x>
      <cdr:y>0.04011</cdr:y>
    </cdr:from>
    <cdr:to>
      <cdr:x>1</cdr:x>
      <cdr:y>0.12021</cdr:y>
    </cdr:to>
    <cdr:sp macro="" textlink="">
      <cdr:nvSpPr>
        <cdr:cNvPr id="2" name="TextBox 1">
          <a:extLst xmlns:a="http://schemas.openxmlformats.org/drawingml/2006/main">
            <a:ext uri="{FF2B5EF4-FFF2-40B4-BE49-F238E27FC236}">
              <a16:creationId xmlns:a16="http://schemas.microsoft.com/office/drawing/2014/main" id="{3A3CA119-05D6-47B8-BAF4-B30D9DC3D5C4}"/>
            </a:ext>
          </a:extLst>
        </cdr:cNvPr>
        <cdr:cNvSpPr txBox="1"/>
      </cdr:nvSpPr>
      <cdr:spPr>
        <a:xfrm xmlns:a="http://schemas.openxmlformats.org/drawingml/2006/main">
          <a:off x="5410199" y="125314"/>
          <a:ext cx="778329" cy="25024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he-IL" sz="1100" b="1"/>
            <a:t>אלפי טון</a:t>
          </a:r>
          <a:endParaRPr lang="en-US" sz="1100" b="1"/>
        </a:p>
      </cdr:txBody>
    </cdr:sp>
  </cdr:relSizeAnchor>
  <cdr:relSizeAnchor xmlns:cdr="http://schemas.openxmlformats.org/drawingml/2006/chartDrawing">
    <cdr:from>
      <cdr:x>0.06098</cdr:x>
      <cdr:y>0.15563</cdr:y>
    </cdr:from>
    <cdr:to>
      <cdr:x>0.32136</cdr:x>
      <cdr:y>0.30372</cdr:y>
    </cdr:to>
    <cdr:sp macro="" textlink="">
      <cdr:nvSpPr>
        <cdr:cNvPr id="3" name="TextBox 4">
          <a:extLst xmlns:a="http://schemas.openxmlformats.org/drawingml/2006/main">
            <a:ext uri="{FF2B5EF4-FFF2-40B4-BE49-F238E27FC236}">
              <a16:creationId xmlns:a16="http://schemas.microsoft.com/office/drawing/2014/main" id="{C0BAEF49-1E78-416E-A85B-94362E4EFA32}"/>
            </a:ext>
          </a:extLst>
        </cdr:cNvPr>
        <cdr:cNvSpPr txBox="1"/>
      </cdr:nvSpPr>
      <cdr:spPr>
        <a:xfrm xmlns:a="http://schemas.openxmlformats.org/drawingml/2006/main">
          <a:off x="369743" y="486219"/>
          <a:ext cx="1578800" cy="462663"/>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rtl="1"/>
          <a:r>
            <a:rPr lang="he-IL" sz="1200" b="1">
              <a:solidFill>
                <a:srgbClr val="FF0000"/>
              </a:solidFill>
            </a:rPr>
            <a:t>30%</a:t>
          </a:r>
          <a:r>
            <a:rPr lang="he-IL" sz="1200" b="1" baseline="0">
              <a:solidFill>
                <a:srgbClr val="FF0000"/>
              </a:solidFill>
            </a:rPr>
            <a:t> אנרגיה מתחדשת בשנת 2030</a:t>
          </a:r>
          <a:endParaRPr lang="en-US" sz="1200" b="1">
            <a:solidFill>
              <a:srgbClr val="FF0000"/>
            </a:solidFill>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0.88009</cdr:x>
      <cdr:y>0.03812</cdr:y>
    </cdr:from>
    <cdr:to>
      <cdr:x>0.9802</cdr:x>
      <cdr:y>0.12108</cdr:y>
    </cdr:to>
    <cdr:sp macro="" textlink="">
      <cdr:nvSpPr>
        <cdr:cNvPr id="2" name="TextBox 1">
          <a:extLst xmlns:a="http://schemas.openxmlformats.org/drawingml/2006/main">
            <a:ext uri="{FF2B5EF4-FFF2-40B4-BE49-F238E27FC236}">
              <a16:creationId xmlns:a16="http://schemas.microsoft.com/office/drawing/2014/main" id="{01A1C66F-7218-4C56-9D02-3DF8EA262CCB}"/>
            </a:ext>
          </a:extLst>
        </cdr:cNvPr>
        <cdr:cNvSpPr txBox="1"/>
      </cdr:nvSpPr>
      <cdr:spPr>
        <a:xfrm xmlns:a="http://schemas.openxmlformats.org/drawingml/2006/main">
          <a:off x="4354287" y="92529"/>
          <a:ext cx="495300" cy="2013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0.86359</cdr:x>
      <cdr:y>0.04709</cdr:y>
    </cdr:from>
    <cdr:to>
      <cdr:x>0.9846</cdr:x>
      <cdr:y>0.12556</cdr:y>
    </cdr:to>
    <cdr:sp macro="" textlink="">
      <cdr:nvSpPr>
        <cdr:cNvPr id="3" name="TextBox 2">
          <a:extLst xmlns:a="http://schemas.openxmlformats.org/drawingml/2006/main">
            <a:ext uri="{FF2B5EF4-FFF2-40B4-BE49-F238E27FC236}">
              <a16:creationId xmlns:a16="http://schemas.microsoft.com/office/drawing/2014/main" id="{0263F74D-CCB7-4848-9943-17EC7E7CE046}"/>
            </a:ext>
          </a:extLst>
        </cdr:cNvPr>
        <cdr:cNvSpPr txBox="1"/>
      </cdr:nvSpPr>
      <cdr:spPr>
        <a:xfrm xmlns:a="http://schemas.openxmlformats.org/drawingml/2006/main">
          <a:off x="4272643" y="114300"/>
          <a:ext cx="59871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he-IL" sz="1100" b="1"/>
            <a:t>מלש"ח</a:t>
          </a:r>
          <a:endParaRPr lang="en-US" sz="1100" b="1"/>
        </a:p>
      </cdr:txBody>
    </cdr:sp>
  </cdr:relSizeAnchor>
  <cdr:relSizeAnchor xmlns:cdr="http://schemas.openxmlformats.org/drawingml/2006/chartDrawing">
    <cdr:from>
      <cdr:x>0.59994</cdr:x>
      <cdr:y>0.14064</cdr:y>
    </cdr:from>
    <cdr:to>
      <cdr:x>0.87128</cdr:x>
      <cdr:y>0.3002</cdr:y>
    </cdr:to>
    <cdr:sp macro="" textlink="">
      <cdr:nvSpPr>
        <cdr:cNvPr id="5" name="TextBox 4">
          <a:extLst xmlns:a="http://schemas.openxmlformats.org/drawingml/2006/main">
            <a:ext uri="{FF2B5EF4-FFF2-40B4-BE49-F238E27FC236}">
              <a16:creationId xmlns:a16="http://schemas.microsoft.com/office/drawing/2014/main" id="{C0BAEF49-1E78-416E-A85B-94362E4EFA32}"/>
            </a:ext>
          </a:extLst>
        </cdr:cNvPr>
        <cdr:cNvSpPr txBox="1"/>
      </cdr:nvSpPr>
      <cdr:spPr>
        <a:xfrm xmlns:a="http://schemas.openxmlformats.org/drawingml/2006/main">
          <a:off x="3441699" y="377371"/>
          <a:ext cx="1556658" cy="428171"/>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rtl="1"/>
          <a:r>
            <a:rPr lang="he-IL" sz="1200" b="1">
              <a:solidFill>
                <a:srgbClr val="FF0000"/>
              </a:solidFill>
            </a:rPr>
            <a:t>30%</a:t>
          </a:r>
          <a:r>
            <a:rPr lang="he-IL" sz="1200" b="1" baseline="0">
              <a:solidFill>
                <a:srgbClr val="FF0000"/>
              </a:solidFill>
            </a:rPr>
            <a:t> אנרגיה מתחדשת בשנת 2030</a:t>
          </a:r>
          <a:endParaRPr lang="en-US" sz="1200" b="1">
            <a:solidFill>
              <a:srgbClr val="FF0000"/>
            </a:solidFill>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0.87423</cdr:x>
      <cdr:y>0.04011</cdr:y>
    </cdr:from>
    <cdr:to>
      <cdr:x>1</cdr:x>
      <cdr:y>0.12021</cdr:y>
    </cdr:to>
    <cdr:sp macro="" textlink="">
      <cdr:nvSpPr>
        <cdr:cNvPr id="2" name="TextBox 1">
          <a:extLst xmlns:a="http://schemas.openxmlformats.org/drawingml/2006/main">
            <a:ext uri="{FF2B5EF4-FFF2-40B4-BE49-F238E27FC236}">
              <a16:creationId xmlns:a16="http://schemas.microsoft.com/office/drawing/2014/main" id="{3A3CA119-05D6-47B8-BAF4-B30D9DC3D5C4}"/>
            </a:ext>
          </a:extLst>
        </cdr:cNvPr>
        <cdr:cNvSpPr txBox="1"/>
      </cdr:nvSpPr>
      <cdr:spPr>
        <a:xfrm xmlns:a="http://schemas.openxmlformats.org/drawingml/2006/main">
          <a:off x="5410199" y="125314"/>
          <a:ext cx="778329" cy="25024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he-IL" sz="1100" b="1"/>
            <a:t>אלפי טון</a:t>
          </a:r>
          <a:endParaRPr lang="en-US" sz="1100" b="1"/>
        </a:p>
      </cdr:txBody>
    </cdr:sp>
  </cdr:relSizeAnchor>
  <cdr:relSizeAnchor xmlns:cdr="http://schemas.openxmlformats.org/drawingml/2006/chartDrawing">
    <cdr:from>
      <cdr:x>0.06362</cdr:x>
      <cdr:y>0.15912</cdr:y>
    </cdr:from>
    <cdr:to>
      <cdr:x>0.31516</cdr:x>
      <cdr:y>0.3072</cdr:y>
    </cdr:to>
    <cdr:sp macro="" textlink="">
      <cdr:nvSpPr>
        <cdr:cNvPr id="4" name="TextBox 4">
          <a:extLst xmlns:a="http://schemas.openxmlformats.org/drawingml/2006/main">
            <a:ext uri="{FF2B5EF4-FFF2-40B4-BE49-F238E27FC236}">
              <a16:creationId xmlns:a16="http://schemas.microsoft.com/office/drawing/2014/main" id="{B2E8B345-CB97-4EF4-AA29-1248A2BE3E41}"/>
            </a:ext>
          </a:extLst>
        </cdr:cNvPr>
        <cdr:cNvSpPr txBox="1"/>
      </cdr:nvSpPr>
      <cdr:spPr>
        <a:xfrm xmlns:a="http://schemas.openxmlformats.org/drawingml/2006/main">
          <a:off x="393700" y="497115"/>
          <a:ext cx="1556658" cy="462643"/>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rtl="1"/>
          <a:r>
            <a:rPr lang="he-IL" sz="1200" b="1">
              <a:solidFill>
                <a:srgbClr val="FF0000"/>
              </a:solidFill>
            </a:rPr>
            <a:t>20%</a:t>
          </a:r>
          <a:r>
            <a:rPr lang="he-IL" sz="1200" b="1" baseline="0">
              <a:solidFill>
                <a:srgbClr val="FF0000"/>
              </a:solidFill>
            </a:rPr>
            <a:t> אנרגיה מתחדשת בשנת 2030</a:t>
          </a:r>
          <a:endParaRPr lang="en-US" sz="1200" b="1">
            <a:solidFill>
              <a:srgbClr val="FF0000"/>
            </a:solidFill>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0.88009</cdr:x>
      <cdr:y>0.03812</cdr:y>
    </cdr:from>
    <cdr:to>
      <cdr:x>0.9802</cdr:x>
      <cdr:y>0.12108</cdr:y>
    </cdr:to>
    <cdr:sp macro="" textlink="">
      <cdr:nvSpPr>
        <cdr:cNvPr id="2" name="TextBox 1">
          <a:extLst xmlns:a="http://schemas.openxmlformats.org/drawingml/2006/main">
            <a:ext uri="{FF2B5EF4-FFF2-40B4-BE49-F238E27FC236}">
              <a16:creationId xmlns:a16="http://schemas.microsoft.com/office/drawing/2014/main" id="{01A1C66F-7218-4C56-9D02-3DF8EA262CCB}"/>
            </a:ext>
          </a:extLst>
        </cdr:cNvPr>
        <cdr:cNvSpPr txBox="1"/>
      </cdr:nvSpPr>
      <cdr:spPr>
        <a:xfrm xmlns:a="http://schemas.openxmlformats.org/drawingml/2006/main">
          <a:off x="4354287" y="92529"/>
          <a:ext cx="495300" cy="2013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0.86359</cdr:x>
      <cdr:y>0.04709</cdr:y>
    </cdr:from>
    <cdr:to>
      <cdr:x>0.9846</cdr:x>
      <cdr:y>0.12556</cdr:y>
    </cdr:to>
    <cdr:sp macro="" textlink="">
      <cdr:nvSpPr>
        <cdr:cNvPr id="3" name="TextBox 2">
          <a:extLst xmlns:a="http://schemas.openxmlformats.org/drawingml/2006/main">
            <a:ext uri="{FF2B5EF4-FFF2-40B4-BE49-F238E27FC236}">
              <a16:creationId xmlns:a16="http://schemas.microsoft.com/office/drawing/2014/main" id="{0263F74D-CCB7-4848-9943-17EC7E7CE046}"/>
            </a:ext>
          </a:extLst>
        </cdr:cNvPr>
        <cdr:cNvSpPr txBox="1"/>
      </cdr:nvSpPr>
      <cdr:spPr>
        <a:xfrm xmlns:a="http://schemas.openxmlformats.org/drawingml/2006/main">
          <a:off x="4272643" y="114300"/>
          <a:ext cx="59871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he-IL" sz="1100" b="1"/>
            <a:t>מלש"ח</a:t>
          </a:r>
          <a:endParaRPr lang="en-US" sz="1100" b="1"/>
        </a:p>
      </cdr:txBody>
    </cdr:sp>
  </cdr:relSizeAnchor>
  <cdr:relSizeAnchor xmlns:cdr="http://schemas.openxmlformats.org/drawingml/2006/chartDrawing">
    <cdr:from>
      <cdr:x>0.60658</cdr:x>
      <cdr:y>0.18323</cdr:y>
    </cdr:from>
    <cdr:to>
      <cdr:x>0.87793</cdr:x>
      <cdr:y>0.35565</cdr:y>
    </cdr:to>
    <cdr:sp macro="" textlink="">
      <cdr:nvSpPr>
        <cdr:cNvPr id="4" name="TextBox 4">
          <a:extLst xmlns:a="http://schemas.openxmlformats.org/drawingml/2006/main">
            <a:ext uri="{FF2B5EF4-FFF2-40B4-BE49-F238E27FC236}">
              <a16:creationId xmlns:a16="http://schemas.microsoft.com/office/drawing/2014/main" id="{C0BAEF49-1E78-416E-A85B-94362E4EFA32}"/>
            </a:ext>
          </a:extLst>
        </cdr:cNvPr>
        <cdr:cNvSpPr txBox="1"/>
      </cdr:nvSpPr>
      <cdr:spPr>
        <a:xfrm xmlns:a="http://schemas.openxmlformats.org/drawingml/2006/main">
          <a:off x="3479800" y="491671"/>
          <a:ext cx="1556658" cy="462643"/>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rtl="1"/>
          <a:r>
            <a:rPr lang="he-IL" sz="1200" b="1">
              <a:solidFill>
                <a:srgbClr val="FF0000"/>
              </a:solidFill>
            </a:rPr>
            <a:t>20%</a:t>
          </a:r>
          <a:r>
            <a:rPr lang="he-IL" sz="1200" b="1" baseline="0">
              <a:solidFill>
                <a:srgbClr val="FF0000"/>
              </a:solidFill>
            </a:rPr>
            <a:t> אנרגיה מתחדשת בשנת 2030</a:t>
          </a:r>
          <a:endParaRPr lang="en-US" sz="1200" b="1">
            <a:solidFill>
              <a:srgbClr val="FF0000"/>
            </a:solidFill>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11</xdr:col>
      <xdr:colOff>566738</xdr:colOff>
      <xdr:row>41</xdr:row>
      <xdr:rowOff>109537</xdr:rowOff>
    </xdr:from>
    <xdr:to>
      <xdr:col>19</xdr:col>
      <xdr:colOff>395288</xdr:colOff>
      <xdr:row>56</xdr:row>
      <xdr:rowOff>128587</xdr:rowOff>
    </xdr:to>
    <xdr:graphicFrame macro="">
      <xdr:nvGraphicFramePr>
        <xdr:cNvPr id="2" name="תרשים 1">
          <a:extLst>
            <a:ext uri="{FF2B5EF4-FFF2-40B4-BE49-F238E27FC236}">
              <a16:creationId xmlns:a16="http://schemas.microsoft.com/office/drawing/2014/main" id="{1A69AC10-76BF-FD8B-6511-92C310986AE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533401</xdr:colOff>
      <xdr:row>17</xdr:row>
      <xdr:rowOff>161925</xdr:rowOff>
    </xdr:from>
    <xdr:to>
      <xdr:col>26</xdr:col>
      <xdr:colOff>676276</xdr:colOff>
      <xdr:row>42</xdr:row>
      <xdr:rowOff>142876</xdr:rowOff>
    </xdr:to>
    <xdr:pic>
      <xdr:nvPicPr>
        <xdr:cNvPr id="2" name="תמונה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srcRect l="33489" t="8181" r="20418" b="5108"/>
        <a:stretch/>
      </xdr:blipFill>
      <xdr:spPr>
        <a:xfrm>
          <a:off x="11217640124" y="4629150"/>
          <a:ext cx="4257675" cy="4505326"/>
        </a:xfrm>
        <a:prstGeom prst="rect">
          <a:avLst/>
        </a:prstGeom>
      </xdr:spPr>
    </xdr:pic>
    <xdr:clientData/>
  </xdr:twoCellAnchor>
  <xdr:twoCellAnchor editAs="oneCell">
    <xdr:from>
      <xdr:col>16</xdr:col>
      <xdr:colOff>238124</xdr:colOff>
      <xdr:row>16</xdr:row>
      <xdr:rowOff>9525</xdr:rowOff>
    </xdr:from>
    <xdr:to>
      <xdr:col>20</xdr:col>
      <xdr:colOff>438150</xdr:colOff>
      <xdr:row>39</xdr:row>
      <xdr:rowOff>38100</xdr:rowOff>
    </xdr:to>
    <xdr:pic>
      <xdr:nvPicPr>
        <xdr:cNvPr id="3" name="תמונה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srcRect l="40351" t="5448" r="28880" b="32997"/>
        <a:stretch/>
      </xdr:blipFill>
      <xdr:spPr>
        <a:xfrm>
          <a:off x="11221993050" y="4286250"/>
          <a:ext cx="3724276" cy="4191000"/>
        </a:xfrm>
        <a:prstGeom prst="rect">
          <a:avLst/>
        </a:prstGeom>
      </xdr:spPr>
    </xdr:pic>
    <xdr:clientData/>
  </xdr:twoCellAnchor>
  <xdr:twoCellAnchor>
    <xdr:from>
      <xdr:col>17</xdr:col>
      <xdr:colOff>104774</xdr:colOff>
      <xdr:row>37</xdr:row>
      <xdr:rowOff>114300</xdr:rowOff>
    </xdr:from>
    <xdr:to>
      <xdr:col>17</xdr:col>
      <xdr:colOff>866775</xdr:colOff>
      <xdr:row>39</xdr:row>
      <xdr:rowOff>76200</xdr:rowOff>
    </xdr:to>
    <xdr:sp macro="" textlink="">
      <xdr:nvSpPr>
        <xdr:cNvPr id="4" name="אליפסה 3">
          <a:extLst>
            <a:ext uri="{FF2B5EF4-FFF2-40B4-BE49-F238E27FC236}">
              <a16:creationId xmlns:a16="http://schemas.microsoft.com/office/drawing/2014/main" id="{00000000-0008-0000-0800-000004000000}"/>
            </a:ext>
          </a:extLst>
        </xdr:cNvPr>
        <xdr:cNvSpPr/>
      </xdr:nvSpPr>
      <xdr:spPr>
        <a:xfrm>
          <a:off x="11224402875" y="8201025"/>
          <a:ext cx="762001" cy="323850"/>
        </a:xfrm>
        <a:prstGeom prst="ellipse">
          <a:avLst/>
        </a:prstGeom>
        <a:noFill/>
        <a:ln w="762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12</xdr:col>
      <xdr:colOff>542925</xdr:colOff>
      <xdr:row>19</xdr:row>
      <xdr:rowOff>0</xdr:rowOff>
    </xdr:from>
    <xdr:to>
      <xdr:col>17</xdr:col>
      <xdr:colOff>216366</xdr:colOff>
      <xdr:row>37</xdr:row>
      <xdr:rowOff>161727</xdr:rowOff>
    </xdr:to>
    <xdr:cxnSp macro="">
      <xdr:nvCxnSpPr>
        <xdr:cNvPr id="6" name="מחבר חץ ישר 5">
          <a:extLst>
            <a:ext uri="{FF2B5EF4-FFF2-40B4-BE49-F238E27FC236}">
              <a16:creationId xmlns:a16="http://schemas.microsoft.com/office/drawing/2014/main" id="{00000000-0008-0000-0800-000006000000}"/>
            </a:ext>
          </a:extLst>
        </xdr:cNvPr>
        <xdr:cNvCxnSpPr>
          <a:stCxn id="4" idx="7"/>
        </xdr:cNvCxnSpPr>
      </xdr:nvCxnSpPr>
      <xdr:spPr>
        <a:xfrm flipV="1">
          <a:off x="11225053284" y="4829175"/>
          <a:ext cx="3102441" cy="341927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447675</xdr:colOff>
      <xdr:row>38</xdr:row>
      <xdr:rowOff>28575</xdr:rowOff>
    </xdr:from>
    <xdr:to>
      <xdr:col>14</xdr:col>
      <xdr:colOff>628650</xdr:colOff>
      <xdr:row>74</xdr:row>
      <xdr:rowOff>66675</xdr:rowOff>
    </xdr:to>
    <xdr:pic>
      <xdr:nvPicPr>
        <xdr:cNvPr id="5" name="תמונה 4">
          <a:extLst>
            <a:ext uri="{FF2B5EF4-FFF2-40B4-BE49-F238E27FC236}">
              <a16:creationId xmlns:a16="http://schemas.microsoft.com/office/drawing/2014/main" id="{00000000-0008-0000-0600-000005000000}"/>
            </a:ext>
          </a:extLst>
        </xdr:cNvPr>
        <xdr:cNvPicPr>
          <a:picLocks noChangeAspect="1"/>
        </xdr:cNvPicPr>
      </xdr:nvPicPr>
      <xdr:blipFill rotWithShape="1">
        <a:blip xmlns:r="http://schemas.openxmlformats.org/officeDocument/2006/relationships" r:embed="rId3"/>
        <a:srcRect l="34263" t="23336" r="41828" b="12952"/>
        <a:stretch/>
      </xdr:blipFill>
      <xdr:spPr>
        <a:xfrm>
          <a:off x="11227069875" y="8477250"/>
          <a:ext cx="4371975" cy="6553200"/>
        </a:xfrm>
        <a:prstGeom prst="rect">
          <a:avLst/>
        </a:prstGeom>
      </xdr:spPr>
    </xdr:pic>
    <xdr:clientData/>
  </xdr:twoCellAnchor>
  <xdr:twoCellAnchor>
    <xdr:from>
      <xdr:col>12</xdr:col>
      <xdr:colOff>323850</xdr:colOff>
      <xdr:row>21</xdr:row>
      <xdr:rowOff>123825</xdr:rowOff>
    </xdr:from>
    <xdr:to>
      <xdr:col>13</xdr:col>
      <xdr:colOff>723900</xdr:colOff>
      <xdr:row>37</xdr:row>
      <xdr:rowOff>133350</xdr:rowOff>
    </xdr:to>
    <xdr:cxnSp macro="">
      <xdr:nvCxnSpPr>
        <xdr:cNvPr id="8" name="מחבר חץ ישר 7">
          <a:extLst>
            <a:ext uri="{FF2B5EF4-FFF2-40B4-BE49-F238E27FC236}">
              <a16:creationId xmlns:a16="http://schemas.microsoft.com/office/drawing/2014/main" id="{00000000-0008-0000-0600-000008000000}"/>
            </a:ext>
          </a:extLst>
        </xdr:cNvPr>
        <xdr:cNvCxnSpPr/>
      </xdr:nvCxnSpPr>
      <xdr:spPr>
        <a:xfrm flipV="1">
          <a:off x="11228212875" y="5495925"/>
          <a:ext cx="1495425" cy="29051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15</xdr:col>
      <xdr:colOff>0</xdr:colOff>
      <xdr:row>40</xdr:row>
      <xdr:rowOff>0</xdr:rowOff>
    </xdr:from>
    <xdr:to>
      <xdr:col>21</xdr:col>
      <xdr:colOff>647701</xdr:colOff>
      <xdr:row>64</xdr:row>
      <xdr:rowOff>0</xdr:rowOff>
    </xdr:to>
    <xdr:pic>
      <xdr:nvPicPr>
        <xdr:cNvPr id="11" name="תמונה 10">
          <a:extLst>
            <a:ext uri="{FF2B5EF4-FFF2-40B4-BE49-F238E27FC236}">
              <a16:creationId xmlns:a16="http://schemas.microsoft.com/office/drawing/2014/main" id="{00000000-0008-0000-0600-00000B000000}"/>
            </a:ext>
          </a:extLst>
        </xdr:cNvPr>
        <xdr:cNvPicPr>
          <a:picLocks noChangeAspect="1"/>
        </xdr:cNvPicPr>
      </xdr:nvPicPr>
      <xdr:blipFill rotWithShape="1">
        <a:blip xmlns:r="http://schemas.openxmlformats.org/officeDocument/2006/relationships" r:embed="rId4"/>
        <a:srcRect l="37076" t="25837" r="32608" b="31936"/>
        <a:stretch/>
      </xdr:blipFill>
      <xdr:spPr>
        <a:xfrm>
          <a:off x="11221097699" y="8810625"/>
          <a:ext cx="5543551" cy="4343400"/>
        </a:xfrm>
        <a:prstGeom prst="rect">
          <a:avLst/>
        </a:prstGeom>
      </xdr:spPr>
    </xdr:pic>
    <xdr:clientData/>
  </xdr:twoCellAnchor>
  <xdr:twoCellAnchor editAs="oneCell">
    <xdr:from>
      <xdr:col>15</xdr:col>
      <xdr:colOff>0</xdr:colOff>
      <xdr:row>69</xdr:row>
      <xdr:rowOff>0</xdr:rowOff>
    </xdr:from>
    <xdr:to>
      <xdr:col>24</xdr:col>
      <xdr:colOff>539870</xdr:colOff>
      <xdr:row>103</xdr:row>
      <xdr:rowOff>149501</xdr:rowOff>
    </xdr:to>
    <xdr:pic>
      <xdr:nvPicPr>
        <xdr:cNvPr id="7" name="תמונה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5"/>
        <a:stretch>
          <a:fillRect/>
        </a:stretch>
      </xdr:blipFill>
      <xdr:spPr>
        <a:xfrm>
          <a:off x="11253776797" y="13991167"/>
          <a:ext cx="7514286" cy="62666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Feliks/FDG_201216/IEC/UCED_PLAN/2023/DOCUMENT2023/PUA_23/GRAP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ehuda.DABSAL/Documents/&#1506;&#1493;&#1514;&#1511;%20&#1513;&#1500;%20&#1496;&#1493;&#1504;&#1493;&#1514;%20&#1494;&#1497;&#1492;&#1493;&#1501;%20&#1514;&#1512;&#1495;&#1497;&#1513;&#1497;%20&#1508;&#1495;&#15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1512;&#1513;&#1493;&#1514;%20&#1492;&#1495;&#1513;&#1502;&#1500;\&#1514;&#1495;&#1494;&#1497;&#1493;&#1514;%20&#1510;&#1512;&#1497;&#1499;&#1492;\&#1505;&#1493;&#1507;%20&#1506;&#1497;&#1491;&#1503;%20&#1508;&#1495;&#1501;-%20&#1492;&#1512;&#1510;&#1493;&#1514;%202024-2030%2025.6.2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1512;&#1513;&#1493;&#1514;%20&#1492;&#1495;&#1513;&#1502;&#1500;\&#1514;&#1495;&#1494;&#1497;&#1493;&#1514;%20&#1510;&#1512;&#1497;&#1499;&#1492;\&#1496;&#1493;&#1504;&#1493;&#1514;%20&#1494;&#1497;&#1492;&#1493;&#1501;%20&#1514;&#1512;&#1495;&#1497;&#1513;&#1497;%20&#1508;&#1495;&#1501;%201.8.2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c_Users/menachem/TariffUpdate/&#1505;&#1500;%20&#1492;&#1491;&#1500;&#1511;/2024-2030/&#1492;&#1495;&#1500;&#1496;&#1492;%20&#1506;&#1500;%20&#1502;&#1493;&#1505;&#1489;&#1493;&#1514;/&#1488;&#1511;&#1505;&#1500;%20&#1502;&#1500;&#1493;&#1493;&#1492;%20&#1506;&#1514;&#1497;&#1491;%20&#1497;&#1495;&#1497;&#1491;&#1493;&#1514;%201-4%2011.5.2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owner\AppData\Local\Microsoft\Olk\Attachments\ooa-0f795398-b8c1-46ea-8da8-10810ed6fdbf\7848cbc74d98be12a416bbce2607d055e311994c664ffb8ce658188830826590\&#1488;&#1511;&#1505;&#1500;%20&#1502;&#1500;&#1493;&#1493;&#1492;%20&#1506;&#1514;&#1497;&#1491;%20&#1497;&#1495;&#1497;&#1491;&#1493;&#1514;%201-4%2011.5.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row r="4">
          <cell r="D4">
            <v>2024</v>
          </cell>
          <cell r="I4">
            <v>1788.89</v>
          </cell>
        </row>
        <row r="5">
          <cell r="D5">
            <v>2025</v>
          </cell>
          <cell r="I5">
            <v>1017.92</v>
          </cell>
        </row>
        <row r="6">
          <cell r="D6">
            <v>2026</v>
          </cell>
          <cell r="I6">
            <v>0</v>
          </cell>
        </row>
        <row r="7">
          <cell r="D7">
            <v>2027</v>
          </cell>
          <cell r="I7">
            <v>0</v>
          </cell>
        </row>
        <row r="8">
          <cell r="D8">
            <v>2028</v>
          </cell>
          <cell r="I8">
            <v>0</v>
          </cell>
        </row>
        <row r="9">
          <cell r="D9">
            <v>2029</v>
          </cell>
          <cell r="I9">
            <v>0</v>
          </cell>
        </row>
        <row r="10">
          <cell r="D10">
            <v>2030</v>
          </cell>
          <cell r="I10">
            <v>0</v>
          </cell>
        </row>
        <row r="12">
          <cell r="B12" t="str">
            <v>תרחיש בסיס</v>
          </cell>
          <cell r="J12">
            <v>80788.527184701248</v>
          </cell>
        </row>
        <row r="13">
          <cell r="B13" t="str">
            <v>תרחיש 1</v>
          </cell>
          <cell r="J13">
            <v>80137.072703511163</v>
          </cell>
        </row>
        <row r="14">
          <cell r="B14" t="str">
            <v>תרחיש 2</v>
          </cell>
          <cell r="J14">
            <v>85366.071075216678</v>
          </cell>
        </row>
        <row r="19">
          <cell r="I19">
            <v>4290.32</v>
          </cell>
        </row>
        <row r="20">
          <cell r="I20">
            <v>3453.8</v>
          </cell>
        </row>
        <row r="21">
          <cell r="I21">
            <v>3302.95</v>
          </cell>
        </row>
        <row r="22">
          <cell r="I22">
            <v>3373.68</v>
          </cell>
        </row>
        <row r="23">
          <cell r="I23">
            <v>3339.8</v>
          </cell>
        </row>
        <row r="24">
          <cell r="I24">
            <v>3461.29</v>
          </cell>
        </row>
        <row r="25">
          <cell r="I25">
            <v>3345.74</v>
          </cell>
        </row>
        <row r="27">
          <cell r="J27">
            <v>82796.443417660601</v>
          </cell>
        </row>
        <row r="28">
          <cell r="J28">
            <v>77094.361665423741</v>
          </cell>
        </row>
        <row r="29">
          <cell r="J29">
            <v>77093.063104173736</v>
          </cell>
        </row>
        <row r="34">
          <cell r="I34">
            <v>1875.58</v>
          </cell>
        </row>
        <row r="35">
          <cell r="I35">
            <v>966.06</v>
          </cell>
        </row>
        <row r="36">
          <cell r="I36">
            <v>946.17</v>
          </cell>
        </row>
        <row r="37">
          <cell r="I37">
            <v>944.17</v>
          </cell>
        </row>
        <row r="38">
          <cell r="I38">
            <v>973.37</v>
          </cell>
        </row>
        <row r="39">
          <cell r="I39">
            <v>0</v>
          </cell>
        </row>
        <row r="40">
          <cell r="I40">
            <v>0</v>
          </cell>
        </row>
        <row r="42">
          <cell r="J42">
            <v>79071.809326569084</v>
          </cell>
        </row>
        <row r="43">
          <cell r="J43">
            <v>77747.610031191813</v>
          </cell>
        </row>
        <row r="44">
          <cell r="J44">
            <v>81330.096546866524</v>
          </cell>
        </row>
      </sheetData>
      <sheetData sheetId="1">
        <row r="4">
          <cell r="D4">
            <v>2024</v>
          </cell>
          <cell r="I4">
            <v>1821.4</v>
          </cell>
        </row>
        <row r="5">
          <cell r="D5">
            <v>2025</v>
          </cell>
          <cell r="I5">
            <v>1029.08</v>
          </cell>
        </row>
        <row r="6">
          <cell r="D6">
            <v>2026</v>
          </cell>
          <cell r="I6">
            <v>0</v>
          </cell>
        </row>
        <row r="7">
          <cell r="D7">
            <v>2027</v>
          </cell>
          <cell r="I7">
            <v>0</v>
          </cell>
        </row>
        <row r="8">
          <cell r="D8">
            <v>2028</v>
          </cell>
          <cell r="I8">
            <v>0</v>
          </cell>
        </row>
        <row r="9">
          <cell r="D9">
            <v>2029</v>
          </cell>
          <cell r="I9">
            <v>0</v>
          </cell>
        </row>
        <row r="10">
          <cell r="D10">
            <v>2030</v>
          </cell>
          <cell r="I10">
            <v>0</v>
          </cell>
        </row>
        <row r="12">
          <cell r="B12" t="str">
            <v>תרחיש בסיס</v>
          </cell>
          <cell r="J12">
            <v>102781.8461563552</v>
          </cell>
        </row>
        <row r="13">
          <cell r="B13" t="str">
            <v>תרחיש 1</v>
          </cell>
          <cell r="J13">
            <v>102120.25596338071</v>
          </cell>
        </row>
        <row r="14">
          <cell r="B14" t="str">
            <v>תרחיש 2</v>
          </cell>
          <cell r="J14">
            <v>107391.32479681203</v>
          </cell>
        </row>
        <row r="19">
          <cell r="I19">
            <v>4363.41</v>
          </cell>
        </row>
        <row r="20">
          <cell r="I20">
            <v>3490.29</v>
          </cell>
        </row>
        <row r="21">
          <cell r="I21">
            <v>3393.17</v>
          </cell>
        </row>
        <row r="22">
          <cell r="I22">
            <v>3515.12</v>
          </cell>
        </row>
        <row r="23">
          <cell r="I23">
            <v>3465.86</v>
          </cell>
        </row>
        <row r="24">
          <cell r="I24">
            <v>3527.65</v>
          </cell>
        </row>
        <row r="25">
          <cell r="I25">
            <v>3398.84</v>
          </cell>
        </row>
        <row r="27">
          <cell r="J27">
            <v>104195.26983805877</v>
          </cell>
        </row>
        <row r="28">
          <cell r="J28">
            <v>98357.002369160269</v>
          </cell>
        </row>
        <row r="29">
          <cell r="J29">
            <v>98304.194211660273</v>
          </cell>
        </row>
        <row r="34">
          <cell r="I34">
            <v>2146.2199999999998</v>
          </cell>
        </row>
        <row r="35">
          <cell r="I35">
            <v>1234.93</v>
          </cell>
        </row>
        <row r="36">
          <cell r="I36">
            <v>1179.5899999999999</v>
          </cell>
        </row>
        <row r="37">
          <cell r="I37">
            <v>1179.3</v>
          </cell>
        </row>
        <row r="38">
          <cell r="I38">
            <v>1276.67</v>
          </cell>
        </row>
        <row r="39">
          <cell r="I39">
            <v>351.85</v>
          </cell>
        </row>
        <row r="40">
          <cell r="I40">
            <v>313.44</v>
          </cell>
        </row>
        <row r="42">
          <cell r="J42">
            <v>103600.22411044627</v>
          </cell>
        </row>
        <row r="43">
          <cell r="J43">
            <v>101817.24865984496</v>
          </cell>
        </row>
        <row r="44">
          <cell r="J44">
            <v>105409.87178442704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תרחיש 0 3 תמג - חלופה 1"/>
      <sheetName val="תרחיש 1 תמג 3 חלופה 1"/>
      <sheetName val="תרחיש 0 תמג 3 חלופה 2"/>
      <sheetName val="תרחיש 1 תמג 3 חלופה 2"/>
      <sheetName val="גיליון1"/>
      <sheetName val="מזהמים לאחר תיקון אגירה "/>
    </sheetNames>
    <sheetDataSet>
      <sheetData sheetId="0"/>
      <sheetData sheetId="1"/>
      <sheetData sheetId="2"/>
      <sheetData sheetId="3"/>
      <sheetData sheetId="4">
        <row r="15">
          <cell r="M15">
            <v>9208.8553588808718</v>
          </cell>
          <cell r="N15">
            <v>9520.7204054164704</v>
          </cell>
          <cell r="O15">
            <v>9212.7534169269074</v>
          </cell>
          <cell r="P15">
            <v>9488.233889767107</v>
          </cell>
          <cell r="R15">
            <v>32263.465620086681</v>
          </cell>
          <cell r="S15">
            <v>32744.270176854261</v>
          </cell>
          <cell r="T15">
            <v>32147.982305865418</v>
          </cell>
          <cell r="U15">
            <v>32261.11598071854</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גרפים חדש"/>
      <sheetName val="גרפים ישן"/>
      <sheetName val="סיכום תרחישים חלופה 30% מתחדש"/>
      <sheetName val="שעות הפעלה והתנעות 30% 3.5%"/>
      <sheetName val="תרחישים חלופה 30% 3.5 תמג"/>
      <sheetName val="ריכוז תוצאות"/>
      <sheetName val="סיכום תרחישים חלופה 20% מתחדש"/>
      <sheetName val="מספר שעות הפעלה 30% -3%"/>
      <sheetName val="מחירי דלקים "/>
      <sheetName val="פלט"/>
    </sheetNames>
    <sheetDataSet>
      <sheetData sheetId="0"/>
      <sheetData sheetId="1"/>
      <sheetData sheetId="2"/>
      <sheetData sheetId="3"/>
      <sheetData sheetId="4"/>
      <sheetData sheetId="5"/>
      <sheetData sheetId="6">
        <row r="8">
          <cell r="F8">
            <v>9179.14</v>
          </cell>
        </row>
        <row r="9">
          <cell r="F9">
            <v>9636.17</v>
          </cell>
        </row>
        <row r="10">
          <cell r="F10">
            <v>10339.52</v>
          </cell>
        </row>
        <row r="11">
          <cell r="F11">
            <v>10450.83</v>
          </cell>
        </row>
        <row r="12">
          <cell r="F12">
            <v>10629.93</v>
          </cell>
        </row>
        <row r="13">
          <cell r="F13">
            <v>10620.48</v>
          </cell>
        </row>
        <row r="14">
          <cell r="F14">
            <v>10738.51</v>
          </cell>
        </row>
      </sheetData>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תרחיש 0 3 תמג - חלופה 1"/>
      <sheetName val="תרחיש 1 תמג 3 חלופה 1"/>
      <sheetName val="תרחיש 0 תמג 3 חלופה 2"/>
      <sheetName val="תרחיש 1 תמג 3 חלופה 2"/>
      <sheetName val="ריכוז תוצאות וגרפים"/>
      <sheetName val="מזהמים לאחר תיקון אגירה "/>
    </sheetNames>
    <sheetDataSet>
      <sheetData sheetId="0"/>
      <sheetData sheetId="1"/>
      <sheetData sheetId="2"/>
      <sheetData sheetId="3"/>
      <sheetData sheetId="4">
        <row r="15">
          <cell r="M15">
            <v>9208.8553588808718</v>
          </cell>
          <cell r="N15">
            <v>9520.7204054164704</v>
          </cell>
          <cell r="R15">
            <v>32263.465620086681</v>
          </cell>
          <cell r="S15">
            <v>32744.270176854261</v>
          </cell>
        </row>
      </sheetData>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רכז"/>
      <sheetName val="הון"/>
      <sheetName val="סולר"/>
      <sheetName val="תפעול"/>
      <sheetName val="דלקים"/>
      <sheetName val="צריכת דלק לבדיקות"/>
      <sheetName val="זיהום ופליטות"/>
      <sheetName val="חירום"/>
    </sheetNames>
    <sheetDataSet>
      <sheetData sheetId="0"/>
      <sheetData sheetId="1">
        <row r="13">
          <cell r="D13">
            <v>296.3</v>
          </cell>
        </row>
      </sheetData>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רכז"/>
      <sheetName val="הון"/>
      <sheetName val="סולר"/>
      <sheetName val="תפעול"/>
      <sheetName val="דלקים"/>
      <sheetName val="צריכת דלק לבדיקות"/>
      <sheetName val="זיהום ופליטות"/>
      <sheetName val="חירום"/>
      <sheetName val="חלופת מחזמ"/>
    </sheetNames>
    <sheetDataSet>
      <sheetData sheetId="0">
        <row r="25">
          <cell r="D25" t="str">
            <v>רק משק החשמל</v>
          </cell>
        </row>
        <row r="50">
          <cell r="C50" t="str">
            <v>ראיה משקית</v>
          </cell>
        </row>
      </sheetData>
      <sheetData sheetId="1"/>
      <sheetData sheetId="2"/>
      <sheetData sheetId="3"/>
      <sheetData sheetId="4">
        <row r="5">
          <cell r="Q5">
            <v>2</v>
          </cell>
          <cell r="R5">
            <v>4</v>
          </cell>
        </row>
        <row r="16">
          <cell r="M16">
            <v>0.12102815841133598</v>
          </cell>
        </row>
        <row r="20">
          <cell r="K20">
            <v>14</v>
          </cell>
        </row>
        <row r="22">
          <cell r="O22">
            <v>869.00013000000013</v>
          </cell>
          <cell r="P22">
            <v>888.24013000000014</v>
          </cell>
        </row>
      </sheetData>
      <sheetData sheetId="5">
        <row r="6">
          <cell r="D6">
            <v>3324</v>
          </cell>
        </row>
        <row r="7">
          <cell r="D7">
            <v>264</v>
          </cell>
        </row>
        <row r="11">
          <cell r="E11">
            <v>37404</v>
          </cell>
        </row>
      </sheetData>
      <sheetData sheetId="6"/>
      <sheetData sheetId="7"/>
      <sheetData sheetId="8"/>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18"/>
  <sheetViews>
    <sheetView rightToLeft="1" zoomScale="80" zoomScaleNormal="80" workbookViewId="0">
      <selection activeCell="L35" sqref="L35"/>
    </sheetView>
  </sheetViews>
  <sheetFormatPr defaultRowHeight="14.25"/>
  <cols>
    <col min="1" max="1" width="3" customWidth="1"/>
    <col min="2" max="2" width="11.25" customWidth="1"/>
    <col min="3" max="3" width="7.875" customWidth="1"/>
    <col min="4" max="4" width="8.625" customWidth="1"/>
  </cols>
  <sheetData>
    <row r="3" ht="21" customHeight="1"/>
    <row r="18" ht="34.35" customHeight="1"/>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5"/>
  <sheetViews>
    <sheetView rightToLeft="1" workbookViewId="0">
      <selection activeCell="I10" sqref="I10"/>
    </sheetView>
  </sheetViews>
  <sheetFormatPr defaultRowHeight="14.25"/>
  <cols>
    <col min="3" max="3" width="20.75" bestFit="1" customWidth="1"/>
    <col min="4" max="4" width="19" customWidth="1"/>
    <col min="5" max="5" width="13.375" customWidth="1"/>
    <col min="6" max="6" width="13.625" customWidth="1"/>
    <col min="8" max="8" width="21.625" customWidth="1"/>
    <col min="9" max="10" width="19.375" customWidth="1"/>
  </cols>
  <sheetData>
    <row r="2" spans="3:10" ht="15">
      <c r="C2" s="4" t="s">
        <v>339</v>
      </c>
      <c r="D2" s="4" t="s">
        <v>40</v>
      </c>
      <c r="E2" s="4" t="s">
        <v>41</v>
      </c>
      <c r="F2" s="4" t="s">
        <v>50</v>
      </c>
    </row>
    <row r="3" spans="3:10">
      <c r="C3" t="s">
        <v>25</v>
      </c>
      <c r="D3" t="s">
        <v>29</v>
      </c>
      <c r="E3" t="s">
        <v>29</v>
      </c>
    </row>
    <row r="4" spans="3:10">
      <c r="C4" t="s">
        <v>23</v>
      </c>
      <c r="D4" s="6">
        <f>AVERAGE(I9:I10)</f>
        <v>639.0978196565087</v>
      </c>
      <c r="E4" s="6">
        <f>110*3.7</f>
        <v>407</v>
      </c>
    </row>
    <row r="5" spans="3:10">
      <c r="C5" t="s">
        <v>39</v>
      </c>
      <c r="D5" s="6">
        <f>AVERAGE(I11,I13:I18)*F5/4</f>
        <v>1160.6440793202694</v>
      </c>
      <c r="E5" s="6">
        <f>D5</f>
        <v>1160.6440793202694</v>
      </c>
      <c r="F5">
        <v>4.5</v>
      </c>
    </row>
    <row r="6" spans="3:10">
      <c r="C6" t="s">
        <v>24</v>
      </c>
      <c r="D6" s="8">
        <f>I20</f>
        <v>8657.0750000000007</v>
      </c>
      <c r="E6" s="6">
        <f>D6</f>
        <v>8657.0750000000007</v>
      </c>
    </row>
    <row r="7" spans="3:10">
      <c r="C7" t="s">
        <v>49</v>
      </c>
      <c r="D7" s="10">
        <f>$F$7/$F$5*D5</f>
        <v>1676.4858923515003</v>
      </c>
      <c r="E7" s="10">
        <f>$F$7/$F$5*E5</f>
        <v>1676.4858923515003</v>
      </c>
      <c r="F7">
        <v>6.5</v>
      </c>
      <c r="H7" t="s">
        <v>338</v>
      </c>
    </row>
    <row r="8" spans="3:10" ht="15">
      <c r="H8" s="124" t="s">
        <v>25</v>
      </c>
      <c r="I8" s="125" t="s">
        <v>30</v>
      </c>
      <c r="J8" s="126" t="s">
        <v>26</v>
      </c>
    </row>
    <row r="9" spans="3:10" ht="15">
      <c r="C9" t="s">
        <v>194</v>
      </c>
      <c r="D9" s="6">
        <f>0.05*D7+D5*0.95</f>
        <v>1186.4361699718311</v>
      </c>
      <c r="H9" s="126" t="s">
        <v>27</v>
      </c>
      <c r="I9" s="127">
        <v>608.31923591023963</v>
      </c>
      <c r="J9" s="128">
        <v>25.548896930291459</v>
      </c>
    </row>
    <row r="10" spans="3:10" ht="15">
      <c r="H10" s="126" t="s">
        <v>28</v>
      </c>
      <c r="I10" s="129">
        <v>669.87640340277778</v>
      </c>
      <c r="J10" s="128">
        <v>28.13424625799151</v>
      </c>
    </row>
    <row r="11" spans="3:10" ht="15">
      <c r="H11" s="130" t="s">
        <v>31</v>
      </c>
      <c r="I11" s="131">
        <v>1056.6438230319595</v>
      </c>
      <c r="J11" s="132">
        <v>22.3945875216065</v>
      </c>
    </row>
    <row r="12" spans="3:10" ht="15">
      <c r="H12" s="130" t="s">
        <v>32</v>
      </c>
      <c r="I12" s="131">
        <v>0</v>
      </c>
      <c r="J12" s="132">
        <v>0</v>
      </c>
    </row>
    <row r="13" spans="3:10" ht="15">
      <c r="H13" s="130" t="s">
        <v>33</v>
      </c>
      <c r="I13" s="131">
        <v>1020.7627987481025</v>
      </c>
      <c r="J13" s="132">
        <v>21.634122432827553</v>
      </c>
    </row>
    <row r="14" spans="3:10" ht="15">
      <c r="H14" s="133" t="s">
        <v>16</v>
      </c>
      <c r="I14" s="131">
        <v>1021.6948918268971</v>
      </c>
      <c r="J14" s="132">
        <v>21.653877282641993</v>
      </c>
    </row>
    <row r="15" spans="3:10" ht="15">
      <c r="H15" s="133" t="s">
        <v>34</v>
      </c>
      <c r="I15" s="131">
        <v>1061.8458203722798</v>
      </c>
      <c r="J15" s="132">
        <v>22.504839038897057</v>
      </c>
    </row>
    <row r="16" spans="3:10" ht="15">
      <c r="H16" s="133" t="s">
        <v>35</v>
      </c>
      <c r="I16" s="131">
        <v>1005.031729395806</v>
      </c>
      <c r="J16" s="132">
        <v>21.300716982722719</v>
      </c>
    </row>
    <row r="17" spans="2:10" ht="15">
      <c r="H17" s="130" t="s">
        <v>36</v>
      </c>
      <c r="I17" s="131">
        <v>1047.044329580491</v>
      </c>
      <c r="J17" s="132">
        <v>22.191135145719667</v>
      </c>
    </row>
    <row r="18" spans="2:10" ht="15">
      <c r="H18" s="130" t="s">
        <v>37</v>
      </c>
      <c r="I18" s="131">
        <v>1008.7619894816954</v>
      </c>
      <c r="J18" s="132">
        <v>21.379776391532872</v>
      </c>
    </row>
    <row r="19" spans="2:10" ht="15">
      <c r="H19" s="134" t="s">
        <v>38</v>
      </c>
      <c r="I19" s="129">
        <v>2144.0259999999998</v>
      </c>
      <c r="J19" s="128">
        <v>55.69911412464603</v>
      </c>
    </row>
    <row r="20" spans="2:10" ht="15">
      <c r="C20" t="s">
        <v>339</v>
      </c>
      <c r="H20" s="126" t="s">
        <v>24</v>
      </c>
      <c r="I20" s="129">
        <v>8657.0750000000007</v>
      </c>
      <c r="J20" s="128">
        <v>213.87639894260943</v>
      </c>
    </row>
    <row r="21" spans="2:10" ht="15">
      <c r="B21" s="141"/>
      <c r="C21" s="141"/>
      <c r="D21" s="140" t="s">
        <v>200</v>
      </c>
      <c r="E21" s="140" t="s">
        <v>287</v>
      </c>
      <c r="F21" s="140" t="s">
        <v>343</v>
      </c>
    </row>
    <row r="22" spans="2:10">
      <c r="B22" s="141" t="s">
        <v>344</v>
      </c>
      <c r="C22" s="142" t="s">
        <v>50</v>
      </c>
      <c r="D22" s="143">
        <f>+F7</f>
        <v>6.5</v>
      </c>
      <c r="E22" s="143">
        <f>+F5</f>
        <v>4.5</v>
      </c>
      <c r="F22" s="143">
        <f>+E22</f>
        <v>4.5</v>
      </c>
    </row>
    <row r="23" spans="2:10">
      <c r="B23" s="141" t="s">
        <v>345</v>
      </c>
      <c r="C23" s="141" t="s">
        <v>347</v>
      </c>
      <c r="D23" s="144">
        <f>+E4</f>
        <v>407</v>
      </c>
      <c r="E23" s="144">
        <f>+D23</f>
        <v>407</v>
      </c>
      <c r="F23" s="144">
        <f>+D4</f>
        <v>639.0978196565087</v>
      </c>
    </row>
    <row r="24" spans="2:10">
      <c r="B24" s="267" t="s">
        <v>346</v>
      </c>
      <c r="C24" s="141" t="s">
        <v>348</v>
      </c>
      <c r="D24" s="141" t="s">
        <v>352</v>
      </c>
      <c r="E24" s="141" t="s">
        <v>350</v>
      </c>
      <c r="F24" s="141" t="s">
        <v>350</v>
      </c>
    </row>
    <row r="25" spans="2:10" ht="28.5">
      <c r="B25" s="267"/>
      <c r="C25" s="141" t="s">
        <v>345</v>
      </c>
      <c r="D25" s="141" t="s">
        <v>349</v>
      </c>
      <c r="E25" s="141" t="s">
        <v>349</v>
      </c>
      <c r="F25" s="141" t="s">
        <v>351</v>
      </c>
    </row>
  </sheetData>
  <mergeCells count="1">
    <mergeCell ref="B24:B2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rightToLeft="1" workbookViewId="0">
      <selection activeCell="G19" sqref="G19"/>
    </sheetView>
  </sheetViews>
  <sheetFormatPr defaultRowHeight="14.25"/>
  <cols>
    <col min="4" max="4" width="8.875" bestFit="1" customWidth="1"/>
    <col min="5" max="5" width="11.375" customWidth="1"/>
    <col min="6" max="6" width="8.875" bestFit="1" customWidth="1"/>
    <col min="7" max="7" width="13.5" bestFit="1" customWidth="1"/>
    <col min="8" max="8" width="10.875" bestFit="1" customWidth="1"/>
    <col min="12" max="12" width="26.75" customWidth="1"/>
    <col min="13" max="14" width="18.5" customWidth="1"/>
    <col min="16" max="16" width="14.125" bestFit="1" customWidth="1"/>
    <col min="17" max="17" width="13.625" bestFit="1" customWidth="1"/>
    <col min="18" max="18" width="20" customWidth="1"/>
  </cols>
  <sheetData>
    <row r="1" spans="1:16" ht="15">
      <c r="A1" s="4" t="s">
        <v>375</v>
      </c>
      <c r="M1" t="s">
        <v>448</v>
      </c>
    </row>
    <row r="2" spans="1:16" ht="42.75">
      <c r="B2" s="120" t="s">
        <v>431</v>
      </c>
      <c r="C2" s="120" t="s">
        <v>432</v>
      </c>
      <c r="D2" s="120" t="s">
        <v>441</v>
      </c>
      <c r="E2" s="120" t="s">
        <v>433</v>
      </c>
      <c r="F2" s="120" t="s">
        <v>439</v>
      </c>
      <c r="G2" s="120" t="s">
        <v>435</v>
      </c>
      <c r="H2" s="120" t="s">
        <v>443</v>
      </c>
      <c r="L2" s="239" t="s">
        <v>442</v>
      </c>
      <c r="M2" s="61">
        <v>15.5</v>
      </c>
    </row>
    <row r="3" spans="1:16">
      <c r="A3" t="s">
        <v>23</v>
      </c>
      <c r="B3">
        <v>4</v>
      </c>
      <c r="C3">
        <v>4</v>
      </c>
      <c r="D3" s="6">
        <f>'נייר עבודה לשימור חם'!H3*575/360</f>
        <v>5309.166666666667</v>
      </c>
      <c r="E3" s="241">
        <f>D3*C3*B3</f>
        <v>84946.666666666672</v>
      </c>
      <c r="F3" s="6">
        <f>P8</f>
        <v>1035</v>
      </c>
      <c r="G3" s="6">
        <f>F3*E3/1000</f>
        <v>87919.8</v>
      </c>
      <c r="L3" s="239" t="s">
        <v>447</v>
      </c>
      <c r="M3" s="61">
        <v>36.700000000000003</v>
      </c>
    </row>
    <row r="4" spans="1:16">
      <c r="A4" t="s">
        <v>24</v>
      </c>
      <c r="B4">
        <v>4</v>
      </c>
      <c r="C4">
        <v>4</v>
      </c>
      <c r="D4" s="6">
        <f>'נייר עבודה לשימור חם'!H4</f>
        <v>264</v>
      </c>
      <c r="E4" s="6">
        <f>D4*C4*B4</f>
        <v>4224</v>
      </c>
      <c r="F4" s="6">
        <f>'נייר עבודה לשימור חם'!J4</f>
        <v>6723.6686390532541</v>
      </c>
      <c r="G4" s="6">
        <f>F4*E4/1000</f>
        <v>28400.776331360943</v>
      </c>
      <c r="M4" s="5">
        <f>M3-M2</f>
        <v>21.200000000000003</v>
      </c>
    </row>
    <row r="5" spans="1:16">
      <c r="A5" t="s">
        <v>261</v>
      </c>
      <c r="G5" s="5">
        <f>SUM(G3:G4)</f>
        <v>116320.57633136095</v>
      </c>
      <c r="H5" s="6">
        <f>'נייר עבודה לשימור חם'!M5*575/360</f>
        <v>238970</v>
      </c>
      <c r="M5" s="10"/>
      <c r="N5" s="10"/>
    </row>
    <row r="6" spans="1:16" ht="42.75">
      <c r="D6" s="120" t="s">
        <v>449</v>
      </c>
      <c r="E6" s="120" t="s">
        <v>440</v>
      </c>
      <c r="F6" s="120"/>
      <c r="G6" s="120" t="s">
        <v>435</v>
      </c>
    </row>
    <row r="7" spans="1:16">
      <c r="A7" t="s">
        <v>434</v>
      </c>
      <c r="D7" s="6">
        <f>H5</f>
        <v>238970</v>
      </c>
      <c r="E7" s="10">
        <f>M2/100</f>
        <v>0.155</v>
      </c>
      <c r="G7" s="6">
        <f>E7*D7</f>
        <v>37040.35</v>
      </c>
      <c r="L7" s="240"/>
      <c r="M7" s="18" t="s">
        <v>319</v>
      </c>
      <c r="N7" s="18" t="s">
        <v>445</v>
      </c>
      <c r="O7" s="18" t="s">
        <v>446</v>
      </c>
      <c r="P7" s="18" t="s">
        <v>444</v>
      </c>
    </row>
    <row r="8" spans="1:16">
      <c r="L8" s="195" t="s">
        <v>23</v>
      </c>
      <c r="M8" s="18">
        <v>2030</v>
      </c>
      <c r="N8" s="18">
        <f>'נייר עבודה לשימור חם'!Q28</f>
        <v>515</v>
      </c>
      <c r="O8" s="18">
        <f>'נייר עבודה לשימור חם'!R28</f>
        <v>520</v>
      </c>
      <c r="P8" s="18">
        <f>O8+N8</f>
        <v>1035</v>
      </c>
    </row>
    <row r="9" spans="1:16">
      <c r="L9" s="240" t="s">
        <v>39</v>
      </c>
      <c r="M9" s="18">
        <v>2030</v>
      </c>
      <c r="N9" s="18">
        <f>'נייר עבודה לשימור חם'!N28</f>
        <v>192</v>
      </c>
      <c r="O9" s="206">
        <f>'נייר עבודה לשימור חם'!O29</f>
        <v>869.00013000000013</v>
      </c>
      <c r="P9" s="206">
        <f>O9+N9</f>
        <v>1061.0001300000001</v>
      </c>
    </row>
    <row r="10" spans="1:16">
      <c r="A10" t="s">
        <v>436</v>
      </c>
      <c r="G10" s="238">
        <f>G5-G7</f>
        <v>79280.226331360958</v>
      </c>
    </row>
    <row r="16" spans="1:16">
      <c r="E16" t="s">
        <v>438</v>
      </c>
    </row>
    <row r="17" spans="1:7">
      <c r="A17" t="s">
        <v>437</v>
      </c>
      <c r="D17">
        <v>2029</v>
      </c>
      <c r="E17">
        <f>' חלופה 1 20% מתחדש -תמג 3 '!A37</f>
        <v>0.8041322160624701</v>
      </c>
      <c r="G17" s="10">
        <f>E17*$G$10</f>
        <v>63751.784089771478</v>
      </c>
    </row>
    <row r="18" spans="1:7" ht="16.5">
      <c r="D18">
        <v>2030</v>
      </c>
      <c r="E18">
        <f>' חלופה 1 20% מתחדש -תמג 3 '!A38</f>
        <v>0.77544090266390553</v>
      </c>
      <c r="G18" s="237">
        <f>E18*$G$10</f>
        <v>61477.130269789275</v>
      </c>
    </row>
    <row r="19" spans="1:7">
      <c r="D19" t="s">
        <v>261</v>
      </c>
      <c r="G19" s="5">
        <f>SUM(G17:G18)</f>
        <v>125228.91435956076</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W53"/>
  <sheetViews>
    <sheetView rightToLeft="1" workbookViewId="0">
      <selection activeCell="Q10" sqref="Q10"/>
    </sheetView>
  </sheetViews>
  <sheetFormatPr defaultRowHeight="14.25"/>
  <cols>
    <col min="1" max="1" width="1.25" customWidth="1"/>
    <col min="2" max="2" width="4.875" bestFit="1" customWidth="1"/>
    <col min="3" max="3" width="8.25" bestFit="1" customWidth="1"/>
    <col min="4" max="4" width="8.125" bestFit="1" customWidth="1"/>
    <col min="5" max="5" width="5.375" bestFit="1" customWidth="1"/>
    <col min="6" max="6" width="4.5" customWidth="1"/>
    <col min="7" max="7" width="11.875" customWidth="1"/>
    <col min="8" max="8" width="19.125" bestFit="1" customWidth="1"/>
    <col min="9" max="9" width="10.875" bestFit="1" customWidth="1"/>
    <col min="10" max="10" width="13.125" bestFit="1" customWidth="1"/>
    <col min="11" max="11" width="13.875" customWidth="1"/>
    <col min="12" max="12" width="13.375" customWidth="1"/>
    <col min="13" max="13" width="14.875" bestFit="1" customWidth="1"/>
    <col min="14" max="14" width="12.375" bestFit="1" customWidth="1"/>
    <col min="15" max="15" width="11.75" customWidth="1"/>
    <col min="16" max="16" width="16.75" bestFit="1" customWidth="1"/>
    <col min="17" max="17" width="11.25" customWidth="1"/>
    <col min="18" max="18" width="13.875" bestFit="1" customWidth="1"/>
    <col min="19" max="19" width="14.875" bestFit="1" customWidth="1"/>
    <col min="20" max="20" width="12.625" customWidth="1"/>
    <col min="21" max="21" width="10.875" bestFit="1" customWidth="1"/>
    <col min="22" max="22" width="11" bestFit="1" customWidth="1"/>
    <col min="23" max="23" width="10.875" bestFit="1" customWidth="1"/>
    <col min="24" max="24" width="11" bestFit="1" customWidth="1"/>
    <col min="25" max="25" width="10.875" bestFit="1" customWidth="1"/>
    <col min="26" max="26" width="12.375" bestFit="1" customWidth="1"/>
    <col min="27" max="27" width="10" customWidth="1"/>
    <col min="28" max="28" width="13.5" bestFit="1" customWidth="1"/>
    <col min="29" max="29" width="12.375" bestFit="1" customWidth="1"/>
  </cols>
  <sheetData>
    <row r="1" spans="2:22" ht="15" thickBot="1">
      <c r="I1" s="10"/>
      <c r="P1" s="18" t="s">
        <v>271</v>
      </c>
      <c r="Q1" s="18">
        <v>1440</v>
      </c>
      <c r="R1" s="18"/>
    </row>
    <row r="2" spans="2:22" ht="15.75" thickBot="1">
      <c r="B2" s="271" t="s">
        <v>374</v>
      </c>
      <c r="C2" s="272"/>
      <c r="D2" s="272"/>
      <c r="E2" s="273"/>
      <c r="G2" s="162" t="s">
        <v>375</v>
      </c>
      <c r="H2" s="163" t="s">
        <v>376</v>
      </c>
      <c r="I2" s="163" t="s">
        <v>377</v>
      </c>
      <c r="J2" s="163" t="s">
        <v>378</v>
      </c>
      <c r="K2" s="163" t="s">
        <v>45</v>
      </c>
      <c r="L2" s="163" t="s">
        <v>379</v>
      </c>
      <c r="M2" s="164" t="s">
        <v>380</v>
      </c>
      <c r="P2" s="18"/>
      <c r="Q2" s="18" t="s">
        <v>246</v>
      </c>
      <c r="R2" s="18" t="s">
        <v>381</v>
      </c>
    </row>
    <row r="3" spans="2:22" ht="15.75" thickBot="1">
      <c r="B3" s="165" t="s">
        <v>382</v>
      </c>
      <c r="C3" s="166" t="s">
        <v>375</v>
      </c>
      <c r="D3" s="167" t="s">
        <v>383</v>
      </c>
      <c r="E3" s="167" t="s">
        <v>384</v>
      </c>
      <c r="G3" s="168" t="s">
        <v>385</v>
      </c>
      <c r="H3" s="25">
        <f>+H9</f>
        <v>3324</v>
      </c>
      <c r="I3" s="25">
        <f>H3*4*4</f>
        <v>53184</v>
      </c>
      <c r="J3" s="169">
        <f>+S25</f>
        <v>775</v>
      </c>
      <c r="K3" s="25">
        <f>+J3*I3</f>
        <v>41217600</v>
      </c>
      <c r="L3" s="25">
        <f>I3*Q9</f>
        <v>27655680</v>
      </c>
      <c r="M3" s="170"/>
      <c r="P3" s="18" t="s">
        <v>386</v>
      </c>
      <c r="Q3" s="171">
        <v>0.7</v>
      </c>
      <c r="R3" s="171">
        <v>0.7</v>
      </c>
    </row>
    <row r="4" spans="2:22">
      <c r="B4" s="172">
        <v>2026</v>
      </c>
      <c r="C4" s="173">
        <f t="shared" ref="C4:D13" si="0">(T44+P44+L44)/10^6</f>
        <v>66.439902804403573</v>
      </c>
      <c r="D4" s="174">
        <f t="shared" si="0"/>
        <v>44.755864078933158</v>
      </c>
      <c r="E4" s="175">
        <f t="shared" ref="E4:E13" si="1">I44/10^6</f>
        <v>23.071825353462739</v>
      </c>
      <c r="G4" s="168" t="s">
        <v>387</v>
      </c>
      <c r="H4" s="25">
        <v>264</v>
      </c>
      <c r="I4" s="25">
        <f>H4*4*4</f>
        <v>4224</v>
      </c>
      <c r="J4" s="169">
        <f>+S10</f>
        <v>6723.6686390532541</v>
      </c>
      <c r="K4" s="25">
        <f>+J4*I4</f>
        <v>28400776.331360944</v>
      </c>
      <c r="L4" s="25">
        <f>I4*Q10</f>
        <v>11404800</v>
      </c>
      <c r="M4" s="170"/>
      <c r="N4" s="5"/>
      <c r="P4" s="18" t="s">
        <v>168</v>
      </c>
      <c r="Q4" s="274" t="s">
        <v>388</v>
      </c>
      <c r="R4" s="275"/>
    </row>
    <row r="5" spans="2:22" ht="15" thickBot="1">
      <c r="B5" s="176">
        <v>2027</v>
      </c>
      <c r="C5" s="177">
        <f t="shared" si="0"/>
        <v>69.630942804403574</v>
      </c>
      <c r="D5" s="178">
        <f t="shared" si="0"/>
        <v>46.586784815268473</v>
      </c>
      <c r="E5" s="179">
        <f t="shared" si="1"/>
        <v>23.542626826133368</v>
      </c>
      <c r="G5" s="180"/>
      <c r="H5" s="181"/>
      <c r="I5" s="181" t="s">
        <v>261</v>
      </c>
      <c r="J5" s="181"/>
      <c r="K5" s="182">
        <f>SUM(K3:K4)</f>
        <v>69618376.331360936</v>
      </c>
      <c r="L5" s="183">
        <f>SUM(L3:L4)</f>
        <v>39060480</v>
      </c>
      <c r="M5" s="184">
        <f>+R6</f>
        <v>149616</v>
      </c>
      <c r="P5" s="18" t="s">
        <v>389</v>
      </c>
      <c r="Q5" s="18">
        <v>2</v>
      </c>
      <c r="R5" s="18">
        <v>4</v>
      </c>
    </row>
    <row r="6" spans="2:22">
      <c r="B6" s="176">
        <v>2028</v>
      </c>
      <c r="C6" s="177">
        <f t="shared" si="0"/>
        <v>73.88566280440358</v>
      </c>
      <c r="D6" s="178">
        <f t="shared" si="0"/>
        <v>49.021976547399269</v>
      </c>
      <c r="E6" s="179">
        <f t="shared" si="1"/>
        <v>24.158290290394962</v>
      </c>
      <c r="G6" t="s">
        <v>429</v>
      </c>
      <c r="J6" s="10">
        <f>K20/100</f>
        <v>0.14000000000000001</v>
      </c>
      <c r="K6" s="5">
        <f>J6*M5*1000</f>
        <v>20946240</v>
      </c>
      <c r="P6" s="18" t="s">
        <v>390</v>
      </c>
      <c r="Q6" s="185">
        <f>'[6]צריכת דלק לבדיקות'!E11*[6]דלקים!Q5</f>
        <v>74808</v>
      </c>
      <c r="R6" s="25">
        <f>'[6]צריכת דלק לבדיקות'!E11*[6]דלקים!R5</f>
        <v>149616</v>
      </c>
    </row>
    <row r="7" spans="2:22" ht="15" thickBot="1">
      <c r="B7" s="176">
        <v>2029</v>
      </c>
      <c r="C7" s="177">
        <f t="shared" si="0"/>
        <v>78.140382804403572</v>
      </c>
      <c r="D7" s="178">
        <f t="shared" si="0"/>
        <v>51.466222154004498</v>
      </c>
      <c r="E7" s="179">
        <f t="shared" si="1"/>
        <v>24.792061503605428</v>
      </c>
      <c r="F7" s="10"/>
      <c r="G7" s="10" t="s">
        <v>430</v>
      </c>
      <c r="K7" s="5">
        <f>K5-K6</f>
        <v>48672136.331360936</v>
      </c>
    </row>
    <row r="8" spans="2:22" ht="15">
      <c r="B8" s="176">
        <v>2030</v>
      </c>
      <c r="C8" s="177">
        <f t="shared" si="0"/>
        <v>83.458782804403569</v>
      </c>
      <c r="D8" s="178">
        <f t="shared" si="0"/>
        <v>54.514738756405222</v>
      </c>
      <c r="E8" s="179">
        <f t="shared" si="1"/>
        <v>25.570694708406858</v>
      </c>
      <c r="G8" s="162" t="s">
        <v>383</v>
      </c>
      <c r="H8" s="163" t="str">
        <f>+H2</f>
        <v>טון למחזור בדיקה ליחידה</v>
      </c>
      <c r="I8" s="163" t="s">
        <v>391</v>
      </c>
      <c r="J8" s="163" t="s">
        <v>378</v>
      </c>
      <c r="K8" s="163" t="s">
        <v>45</v>
      </c>
      <c r="L8" s="163" t="s">
        <v>379</v>
      </c>
      <c r="M8" s="164" t="s">
        <v>380</v>
      </c>
      <c r="P8" s="18"/>
      <c r="Q8" s="18" t="s">
        <v>311</v>
      </c>
      <c r="R8" s="18" t="s">
        <v>392</v>
      </c>
      <c r="S8" s="18" t="s">
        <v>261</v>
      </c>
    </row>
    <row r="9" spans="2:22">
      <c r="B9" s="176">
        <v>2031</v>
      </c>
      <c r="C9" s="177">
        <f t="shared" si="0"/>
        <v>83.458782804403569</v>
      </c>
      <c r="D9" s="178">
        <f t="shared" si="0"/>
        <v>54.514738756405222</v>
      </c>
      <c r="E9" s="179">
        <f t="shared" si="1"/>
        <v>25.570694708406858</v>
      </c>
      <c r="F9" s="10"/>
      <c r="G9" s="93" t="s">
        <v>385</v>
      </c>
      <c r="H9" s="25">
        <f>'[6]צריכת דלק לבדיקות'!D6</f>
        <v>3324</v>
      </c>
      <c r="I9" s="25">
        <f>H9*4*2</f>
        <v>26592</v>
      </c>
      <c r="J9" s="169">
        <f>+J3</f>
        <v>775</v>
      </c>
      <c r="K9" s="25">
        <f>+J9*I9</f>
        <v>20608800</v>
      </c>
      <c r="L9" s="25">
        <f>I9*Q9</f>
        <v>13827840</v>
      </c>
      <c r="M9" s="170"/>
      <c r="N9" s="6"/>
      <c r="P9" s="18" t="s">
        <v>393</v>
      </c>
      <c r="Q9" s="186">
        <v>520</v>
      </c>
      <c r="R9" s="169">
        <f>+Q25</f>
        <v>255</v>
      </c>
      <c r="S9" s="25">
        <f>+R9+Q9</f>
        <v>775</v>
      </c>
    </row>
    <row r="10" spans="2:22">
      <c r="B10" s="176">
        <v>2032</v>
      </c>
      <c r="C10" s="177">
        <f t="shared" si="0"/>
        <v>83.458782804403569</v>
      </c>
      <c r="D10" s="178">
        <f t="shared" si="0"/>
        <v>54.514738756405222</v>
      </c>
      <c r="E10" s="179">
        <f t="shared" si="1"/>
        <v>25.570694708406858</v>
      </c>
      <c r="F10" s="10"/>
      <c r="G10" s="93" t="s">
        <v>387</v>
      </c>
      <c r="H10" s="25">
        <f>'[6]צריכת דלק לבדיקות'!D7</f>
        <v>264</v>
      </c>
      <c r="I10" s="25">
        <f>H10*4*2</f>
        <v>2112</v>
      </c>
      <c r="J10" s="169">
        <f>+J4</f>
        <v>6723.6686390532541</v>
      </c>
      <c r="K10" s="25">
        <f>+J10*I10</f>
        <v>14200388.165680472</v>
      </c>
      <c r="L10" s="25">
        <f>I10*Q10</f>
        <v>5702400</v>
      </c>
      <c r="M10" s="187"/>
      <c r="N10" s="6"/>
      <c r="P10" s="18" t="s">
        <v>394</v>
      </c>
      <c r="Q10" s="186">
        <v>2700</v>
      </c>
      <c r="R10" s="25">
        <f>3400/0.845</f>
        <v>4023.6686390532545</v>
      </c>
      <c r="S10" s="25">
        <f>+R10+Q10</f>
        <v>6723.6686390532541</v>
      </c>
    </row>
    <row r="11" spans="2:22" ht="15" thickBot="1">
      <c r="B11" s="176">
        <v>2033</v>
      </c>
      <c r="C11" s="177">
        <f t="shared" si="0"/>
        <v>83.458782804403569</v>
      </c>
      <c r="D11" s="178">
        <f t="shared" si="0"/>
        <v>54.514738756405222</v>
      </c>
      <c r="E11" s="179">
        <f t="shared" si="1"/>
        <v>25.570694708406858</v>
      </c>
      <c r="G11" s="180"/>
      <c r="H11" s="181"/>
      <c r="I11" s="181"/>
      <c r="J11" s="181"/>
      <c r="K11" s="183">
        <f>SUM(K9:K10)</f>
        <v>34809188.165680468</v>
      </c>
      <c r="L11" s="183">
        <f>SUM(L9:L10)</f>
        <v>19530240</v>
      </c>
      <c r="M11" s="188">
        <f>Q6</f>
        <v>74808</v>
      </c>
      <c r="N11" s="6"/>
    </row>
    <row r="12" spans="2:22">
      <c r="B12" s="176">
        <v>2034</v>
      </c>
      <c r="C12" s="177">
        <f t="shared" si="0"/>
        <v>83.458782804403569</v>
      </c>
      <c r="D12" s="178">
        <f t="shared" si="0"/>
        <v>54.514738756405222</v>
      </c>
      <c r="E12" s="179">
        <f t="shared" si="1"/>
        <v>25.570694708406858</v>
      </c>
      <c r="V12" s="6"/>
    </row>
    <row r="13" spans="2:22" ht="15" thickBot="1">
      <c r="B13" s="189">
        <v>2035</v>
      </c>
      <c r="C13" s="190">
        <f t="shared" si="0"/>
        <v>83.458782804403569</v>
      </c>
      <c r="D13" s="191">
        <f t="shared" si="0"/>
        <v>54.514738756405222</v>
      </c>
      <c r="E13" s="192">
        <f t="shared" si="1"/>
        <v>25.570694708406858</v>
      </c>
    </row>
    <row r="14" spans="2:22" ht="15" thickBot="1">
      <c r="B14" s="271" t="s">
        <v>395</v>
      </c>
      <c r="C14" s="272"/>
      <c r="D14" s="272"/>
      <c r="E14" s="273"/>
      <c r="K14" s="6">
        <f>32256*165</f>
        <v>5322240</v>
      </c>
    </row>
    <row r="15" spans="2:22" ht="15.75" thickBot="1">
      <c r="B15" s="165" t="s">
        <v>382</v>
      </c>
      <c r="C15" s="166" t="s">
        <v>375</v>
      </c>
      <c r="D15" s="167" t="s">
        <v>383</v>
      </c>
      <c r="E15" s="167" t="s">
        <v>384</v>
      </c>
      <c r="G15" s="193" t="s">
        <v>396</v>
      </c>
      <c r="H15" s="193" t="s">
        <v>397</v>
      </c>
      <c r="I15" s="12"/>
      <c r="J15" s="18"/>
      <c r="K15" s="193" t="s">
        <v>398</v>
      </c>
      <c r="L15" s="193" t="s">
        <v>399</v>
      </c>
      <c r="M15" s="193" t="s">
        <v>400</v>
      </c>
      <c r="O15" s="193" t="s">
        <v>401</v>
      </c>
      <c r="P15" s="193" t="s">
        <v>402</v>
      </c>
      <c r="Q15" s="193" t="s">
        <v>403</v>
      </c>
      <c r="S15" s="194" t="s">
        <v>404</v>
      </c>
      <c r="T15" s="194" t="s">
        <v>405</v>
      </c>
    </row>
    <row r="16" spans="2:22">
      <c r="B16" s="172">
        <v>2026</v>
      </c>
      <c r="C16" s="173">
        <f t="shared" ref="C16:D25" si="2">(R44+N44+J44)/10^6</f>
        <v>39.073046473042623</v>
      </c>
      <c r="D16" s="174">
        <f t="shared" si="2"/>
        <v>30.757723236521311</v>
      </c>
      <c r="E16" s="175">
        <f t="shared" ref="E16:E25" si="3">H44/10^6</f>
        <v>22.442399999999999</v>
      </c>
      <c r="G16" s="18" t="s">
        <v>375</v>
      </c>
      <c r="H16" s="149">
        <f>+M5</f>
        <v>149616</v>
      </c>
      <c r="I16" s="10"/>
      <c r="J16" s="18" t="s">
        <v>39</v>
      </c>
      <c r="K16" s="171">
        <v>0.54</v>
      </c>
      <c r="L16" s="195">
        <v>15.301</v>
      </c>
      <c r="M16" s="195">
        <f>(1/L16)/K16</f>
        <v>0.12102815841133598</v>
      </c>
      <c r="O16" s="18">
        <f>47.02*1.11</f>
        <v>52.192200000000007</v>
      </c>
      <c r="P16" s="186">
        <v>4.5</v>
      </c>
      <c r="Q16" s="186">
        <v>3.7</v>
      </c>
      <c r="S16" t="s">
        <v>406</v>
      </c>
      <c r="T16" s="196">
        <v>1</v>
      </c>
    </row>
    <row r="17" spans="2:21">
      <c r="B17" s="176">
        <v>2027</v>
      </c>
      <c r="C17" s="177">
        <f t="shared" si="2"/>
        <v>39.073046473042623</v>
      </c>
      <c r="D17" s="178">
        <f t="shared" si="2"/>
        <v>30.757723236521311</v>
      </c>
      <c r="E17" s="179">
        <f t="shared" si="3"/>
        <v>22.442399999999999</v>
      </c>
      <c r="G17" s="18" t="s">
        <v>383</v>
      </c>
      <c r="H17" s="149">
        <f>+M11</f>
        <v>74808</v>
      </c>
      <c r="I17" s="10"/>
      <c r="J17" s="18" t="s">
        <v>23</v>
      </c>
      <c r="K17" s="171">
        <v>0.38</v>
      </c>
      <c r="L17" s="18">
        <v>7.1539999999999999</v>
      </c>
      <c r="M17" s="195">
        <f>(1/L17)/K17</f>
        <v>0.36784721098244627</v>
      </c>
      <c r="O17" t="s">
        <v>407</v>
      </c>
      <c r="S17" t="s">
        <v>408</v>
      </c>
      <c r="T17">
        <v>1.8</v>
      </c>
    </row>
    <row r="18" spans="2:21">
      <c r="B18" s="176">
        <v>2028</v>
      </c>
      <c r="C18" s="177">
        <f t="shared" si="2"/>
        <v>39.073046473042623</v>
      </c>
      <c r="D18" s="178">
        <f t="shared" si="2"/>
        <v>30.757723236521311</v>
      </c>
      <c r="E18" s="179">
        <f t="shared" si="3"/>
        <v>22.442399999999999</v>
      </c>
      <c r="G18" t="s">
        <v>384</v>
      </c>
      <c r="J18" s="18" t="s">
        <v>24</v>
      </c>
      <c r="K18" s="197">
        <v>0.51</v>
      </c>
      <c r="L18" s="18">
        <v>11.8635</v>
      </c>
      <c r="M18" s="195">
        <f t="shared" ref="M18" si="4">(1/L18)/K18</f>
        <v>0.16527873846044508</v>
      </c>
    </row>
    <row r="19" spans="2:21" ht="15" thickBot="1">
      <c r="B19" s="176">
        <v>2029</v>
      </c>
      <c r="C19" s="177">
        <f t="shared" si="2"/>
        <v>39.073046473042623</v>
      </c>
      <c r="D19" s="178">
        <f t="shared" si="2"/>
        <v>30.757723236521311</v>
      </c>
      <c r="E19" s="179">
        <f t="shared" si="3"/>
        <v>22.442399999999999</v>
      </c>
    </row>
    <row r="20" spans="2:21" ht="15" thickBot="1">
      <c r="B20" s="176">
        <v>2030</v>
      </c>
      <c r="C20" s="177">
        <f t="shared" si="2"/>
        <v>39.073046473042623</v>
      </c>
      <c r="D20" s="178">
        <f t="shared" si="2"/>
        <v>30.757723236521311</v>
      </c>
      <c r="E20" s="179">
        <f t="shared" si="3"/>
        <v>22.442399999999999</v>
      </c>
      <c r="G20" s="198" t="s">
        <v>409</v>
      </c>
      <c r="H20" s="198"/>
      <c r="I20" s="198"/>
      <c r="J20" s="198"/>
      <c r="K20" s="185">
        <v>14</v>
      </c>
      <c r="N20" s="276" t="s">
        <v>410</v>
      </c>
      <c r="O20" s="277"/>
      <c r="P20" s="278"/>
      <c r="Q20" s="276" t="s">
        <v>411</v>
      </c>
      <c r="R20" s="277"/>
      <c r="S20" s="278"/>
      <c r="T20" s="199" t="s">
        <v>412</v>
      </c>
      <c r="U20" s="200"/>
    </row>
    <row r="21" spans="2:21">
      <c r="B21" s="176">
        <v>2031</v>
      </c>
      <c r="C21" s="177">
        <f t="shared" si="2"/>
        <v>39.073046473042623</v>
      </c>
      <c r="D21" s="178">
        <f t="shared" si="2"/>
        <v>30.757723236521311</v>
      </c>
      <c r="E21" s="179">
        <f t="shared" si="3"/>
        <v>22.442399999999999</v>
      </c>
      <c r="G21" s="268" t="s">
        <v>413</v>
      </c>
      <c r="H21" s="269"/>
      <c r="I21" s="269"/>
      <c r="J21" s="270"/>
      <c r="K21" s="18">
        <v>19.100000000000001</v>
      </c>
      <c r="M21" s="201"/>
      <c r="N21" s="202" t="s">
        <v>414</v>
      </c>
      <c r="O21" s="163" t="s">
        <v>415</v>
      </c>
      <c r="P21" s="164" t="s">
        <v>416</v>
      </c>
      <c r="Q21" s="203" t="s">
        <v>417</v>
      </c>
      <c r="R21" s="163" t="s">
        <v>418</v>
      </c>
      <c r="S21" s="164" t="s">
        <v>419</v>
      </c>
      <c r="T21" s="202" t="s">
        <v>395</v>
      </c>
      <c r="U21" s="164" t="s">
        <v>374</v>
      </c>
    </row>
    <row r="22" spans="2:21">
      <c r="B22" s="176">
        <v>2032</v>
      </c>
      <c r="C22" s="177">
        <f t="shared" si="2"/>
        <v>39.073046473042623</v>
      </c>
      <c r="D22" s="178">
        <f t="shared" si="2"/>
        <v>30.757723236521311</v>
      </c>
      <c r="E22" s="179">
        <f t="shared" si="3"/>
        <v>22.442399999999999</v>
      </c>
      <c r="G22" s="268" t="s">
        <v>420</v>
      </c>
      <c r="H22" s="269"/>
      <c r="I22" s="269"/>
      <c r="J22" s="270"/>
      <c r="K22" s="18">
        <v>44.6</v>
      </c>
      <c r="M22" s="204">
        <v>2024</v>
      </c>
      <c r="N22" s="205">
        <v>19.239999999999998</v>
      </c>
      <c r="O22" s="206">
        <f>$O$16*$P$16*$Q$16</f>
        <v>869.00013000000013</v>
      </c>
      <c r="P22" s="207">
        <f>N22+O22</f>
        <v>888.24013000000014</v>
      </c>
      <c r="Q22" s="208">
        <v>114.67</v>
      </c>
      <c r="R22" s="18">
        <f>$Q$9</f>
        <v>520</v>
      </c>
      <c r="S22" s="207">
        <f>Q22+R22</f>
        <v>634.66999999999996</v>
      </c>
      <c r="T22" s="205">
        <f>$M$16*O22+$T$16*10+IF([6]מרכז!$D$25=[6]מרכז!$C$50,0,[6]דלקים!$K$20*10-[6]דלקים!$O$22*[6]דלקים!$M$16)</f>
        <v>150</v>
      </c>
      <c r="U22" s="209">
        <f>P22*$M$16+$T$16*10+IF([6]מרכז!$D$25=[6]מרכז!$C$50,0,[6]דלקים!$K$20*10-[6]דלקים!$P$22*[6]דלקים!$M$16)</f>
        <v>150</v>
      </c>
    </row>
    <row r="23" spans="2:21">
      <c r="B23" s="176">
        <v>2033</v>
      </c>
      <c r="C23" s="177">
        <f t="shared" si="2"/>
        <v>39.073046473042623</v>
      </c>
      <c r="D23" s="178">
        <f t="shared" si="2"/>
        <v>30.757723236521311</v>
      </c>
      <c r="E23" s="179">
        <f t="shared" si="3"/>
        <v>22.442399999999999</v>
      </c>
      <c r="M23" s="204">
        <v>2025</v>
      </c>
      <c r="N23" s="93">
        <v>33</v>
      </c>
      <c r="O23" s="206">
        <f t="shared" ref="O23:O33" si="5">$O$16*$P$16*$Q$16</f>
        <v>869.00013000000013</v>
      </c>
      <c r="P23" s="207">
        <f t="shared" ref="P23:P33" si="6">N23+O23</f>
        <v>902.00013000000013</v>
      </c>
      <c r="Q23" s="210">
        <v>147</v>
      </c>
      <c r="R23" s="18">
        <f>$Q$9</f>
        <v>520</v>
      </c>
      <c r="S23" s="207">
        <f t="shared" ref="S23:S33" si="7">Q23+R23</f>
        <v>667</v>
      </c>
      <c r="T23" s="205">
        <f>$M$16*O23+$T$16*10+IF([6]מרכז!$D$25=[6]מרכז!$C$50,0,[6]דלקים!$K$20*10-[6]דלקים!$O$22*[6]דלקים!$M$16)</f>
        <v>150</v>
      </c>
      <c r="U23" s="209">
        <f>P23*$M$16+$T$16*10+IF([6]מרכז!$D$25=[6]מרכז!$C$50,0,[6]דלקים!$K$20*10-[6]דלקים!$P$22*[6]דלקים!$M$16)</f>
        <v>151.66534745973999</v>
      </c>
    </row>
    <row r="24" spans="2:21">
      <c r="B24" s="176">
        <v>2034</v>
      </c>
      <c r="C24" s="177">
        <f t="shared" si="2"/>
        <v>39.073046473042623</v>
      </c>
      <c r="D24" s="178">
        <f t="shared" si="2"/>
        <v>30.757723236521311</v>
      </c>
      <c r="E24" s="179">
        <f t="shared" si="3"/>
        <v>22.442399999999999</v>
      </c>
      <c r="K24">
        <f>P28*M16</f>
        <v>128.41089180808808</v>
      </c>
      <c r="M24" s="204">
        <v>2026</v>
      </c>
      <c r="N24" s="93">
        <v>54</v>
      </c>
      <c r="O24" s="206">
        <f t="shared" si="5"/>
        <v>869.00013000000013</v>
      </c>
      <c r="P24" s="207">
        <f t="shared" si="6"/>
        <v>923.00013000000013</v>
      </c>
      <c r="Q24" s="210">
        <v>195</v>
      </c>
      <c r="R24" s="18">
        <f t="shared" ref="R24:R33" si="8">$Q$9</f>
        <v>520</v>
      </c>
      <c r="S24" s="207">
        <f t="shared" si="7"/>
        <v>715</v>
      </c>
      <c r="T24" s="205">
        <f>$M$16*O24+$T$16*10+IF([6]מרכז!$D$25=[6]מרכז!$C$50,0,[6]דלקים!$K$20*10-[6]דלקים!$O$22*[6]דלקים!$M$16)</f>
        <v>150</v>
      </c>
      <c r="U24" s="209">
        <f>P24*$M$16+$T$16*10+IF([6]מרכז!$D$25=[6]מרכז!$C$50,0,[6]דלקים!$K$20*10-[6]דלקים!$P$22*[6]דלקים!$M$16)</f>
        <v>154.20693878637803</v>
      </c>
    </row>
    <row r="25" spans="2:21" ht="15" thickBot="1">
      <c r="B25" s="189">
        <v>2035</v>
      </c>
      <c r="C25" s="190">
        <f t="shared" si="2"/>
        <v>39.073046473042623</v>
      </c>
      <c r="D25" s="191">
        <f t="shared" si="2"/>
        <v>30.757723236521311</v>
      </c>
      <c r="E25" s="192">
        <f t="shared" si="3"/>
        <v>22.442399999999999</v>
      </c>
      <c r="M25" s="204">
        <v>2027</v>
      </c>
      <c r="N25" s="93">
        <v>80</v>
      </c>
      <c r="O25" s="206">
        <f t="shared" si="5"/>
        <v>869.00013000000013</v>
      </c>
      <c r="P25" s="207">
        <f t="shared" si="6"/>
        <v>949.00013000000013</v>
      </c>
      <c r="Q25" s="210">
        <v>255</v>
      </c>
      <c r="R25" s="18">
        <f t="shared" si="8"/>
        <v>520</v>
      </c>
      <c r="S25" s="207">
        <f t="shared" si="7"/>
        <v>775</v>
      </c>
      <c r="T25" s="205">
        <f>$M$16*O25+$T$16*10+IF([6]מרכז!$D$25=[6]מרכז!$C$50,0,[6]דלקים!$K$20*10-[6]דלקים!$O$22*[6]דלקים!$M$16)</f>
        <v>150</v>
      </c>
      <c r="U25" s="209">
        <f>P25*$M$16+$T$16*10+IF([6]מרכז!$D$25=[6]מרכז!$C$50,0,[6]דלקים!$K$20*10-[6]דלקים!$P$22*[6]דלקים!$M$16)</f>
        <v>157.35367090507276</v>
      </c>
    </row>
    <row r="26" spans="2:21">
      <c r="M26" s="204">
        <v>2028</v>
      </c>
      <c r="N26" s="93">
        <v>114</v>
      </c>
      <c r="O26" s="206">
        <f t="shared" si="5"/>
        <v>869.00013000000013</v>
      </c>
      <c r="P26" s="207">
        <f t="shared" si="6"/>
        <v>983.00013000000013</v>
      </c>
      <c r="Q26" s="210">
        <v>335</v>
      </c>
      <c r="R26" s="18">
        <f t="shared" si="8"/>
        <v>520</v>
      </c>
      <c r="S26" s="207">
        <f t="shared" si="7"/>
        <v>855</v>
      </c>
      <c r="T26" s="205">
        <f>$M$16*O26+$T$16*10+IF([6]מרכז!$D$25=[6]מרכז!$C$50,0,[6]דלקים!$K$20*10-[6]דלקים!$O$22*[6]דלקים!$M$16)</f>
        <v>150</v>
      </c>
      <c r="U26" s="209">
        <f>P26*$M$16+$T$16*10+IF([6]מרכז!$D$25=[6]מרכז!$C$50,0,[6]דלקים!$K$20*10-[6]דלקים!$P$22*[6]דלקים!$M$16)</f>
        <v>161.4686282910582</v>
      </c>
    </row>
    <row r="27" spans="2:21">
      <c r="M27" s="204">
        <v>2029</v>
      </c>
      <c r="N27" s="93">
        <v>149</v>
      </c>
      <c r="O27" s="206">
        <f t="shared" si="5"/>
        <v>869.00013000000013</v>
      </c>
      <c r="P27" s="207">
        <f t="shared" si="6"/>
        <v>1018.0001300000001</v>
      </c>
      <c r="Q27" s="210">
        <v>415</v>
      </c>
      <c r="R27" s="18">
        <f t="shared" si="8"/>
        <v>520</v>
      </c>
      <c r="S27" s="207">
        <f t="shared" si="7"/>
        <v>935</v>
      </c>
      <c r="T27" s="205">
        <f>$M$16*O27+$T$16*10+IF([6]מרכז!$D$25=[6]מרכז!$C$50,0,[6]דלקים!$K$20*10-[6]דלקים!$O$22*[6]דלקים!$M$16)</f>
        <v>150</v>
      </c>
      <c r="U27" s="209">
        <f>P27*$M$16+$T$16*10+IF([6]מרכז!$D$25=[6]מרכז!$C$50,0,[6]דלקים!$K$20*10-[6]דלקים!$P$22*[6]דלקים!$M$16)</f>
        <v>165.70461383545495</v>
      </c>
    </row>
    <row r="28" spans="2:21">
      <c r="K28">
        <v>21.39</v>
      </c>
      <c r="L28">
        <v>1009</v>
      </c>
      <c r="M28" s="204">
        <v>2030</v>
      </c>
      <c r="N28" s="93">
        <v>192</v>
      </c>
      <c r="O28" s="206">
        <f t="shared" si="5"/>
        <v>869.00013000000013</v>
      </c>
      <c r="P28" s="207">
        <f t="shared" si="6"/>
        <v>1061.0001300000001</v>
      </c>
      <c r="Q28" s="210">
        <v>515</v>
      </c>
      <c r="R28" s="18">
        <f t="shared" si="8"/>
        <v>520</v>
      </c>
      <c r="S28" s="207">
        <f t="shared" si="7"/>
        <v>1035</v>
      </c>
      <c r="T28" s="205">
        <f>$M$16*O28+$T$16*10+IF([6]מרכז!$D$25=[6]מרכז!$C$50,0,[6]דלקים!$K$20*10-[6]דלקים!$O$22*[6]דלקים!$M$16)</f>
        <v>150</v>
      </c>
      <c r="U28" s="209">
        <f>P28*$M$16+$T$16*10+IF([6]מרכז!$D$25=[6]מרכז!$C$50,0,[6]דלקים!$K$20*10-[6]דלקים!$P$22*[6]דלקים!$M$16)</f>
        <v>170.90882464714241</v>
      </c>
    </row>
    <row r="29" spans="2:21">
      <c r="K29">
        <f>L29*K28/L28</f>
        <v>22.492358771060456</v>
      </c>
      <c r="L29">
        <v>1061</v>
      </c>
      <c r="M29" s="204">
        <v>2031</v>
      </c>
      <c r="N29" s="93">
        <f>N28</f>
        <v>192</v>
      </c>
      <c r="O29" s="206">
        <f t="shared" si="5"/>
        <v>869.00013000000013</v>
      </c>
      <c r="P29" s="207">
        <f t="shared" si="6"/>
        <v>1061.0001300000001</v>
      </c>
      <c r="Q29" s="210">
        <f>Q28</f>
        <v>515</v>
      </c>
      <c r="R29" s="18">
        <f t="shared" si="8"/>
        <v>520</v>
      </c>
      <c r="S29" s="207">
        <f t="shared" si="7"/>
        <v>1035</v>
      </c>
      <c r="T29" s="205">
        <f>$M$16*O29+$T$16*10+IF([6]מרכז!$D$25=[6]מרכז!$C$50,0,[6]דלקים!$K$20*10-[6]דלקים!$O$22*[6]דלקים!$M$16)</f>
        <v>150</v>
      </c>
      <c r="U29" s="209">
        <f>P29*$M$16+$T$16*10+IF([6]מרכז!$D$25=[6]מרכז!$C$50,0,[6]דלקים!$K$20*10-[6]דלקים!$P$22*[6]דלקים!$M$16)</f>
        <v>170.90882464714241</v>
      </c>
    </row>
    <row r="30" spans="2:21">
      <c r="M30" s="204">
        <v>2032</v>
      </c>
      <c r="N30" s="93">
        <f t="shared" ref="N30:N33" si="9">N29</f>
        <v>192</v>
      </c>
      <c r="O30" s="206">
        <f t="shared" si="5"/>
        <v>869.00013000000013</v>
      </c>
      <c r="P30" s="207">
        <f t="shared" si="6"/>
        <v>1061.0001300000001</v>
      </c>
      <c r="Q30" s="210">
        <f t="shared" ref="Q30:Q33" si="10">Q29</f>
        <v>515</v>
      </c>
      <c r="R30" s="18">
        <f t="shared" si="8"/>
        <v>520</v>
      </c>
      <c r="S30" s="207">
        <f t="shared" si="7"/>
        <v>1035</v>
      </c>
      <c r="T30" s="205">
        <f>$M$16*O30+$T$16*10+IF([6]מרכז!$D$25=[6]מרכז!$C$50,0,[6]דלקים!$K$20*10-[6]דלקים!$O$22*[6]דלקים!$M$16)</f>
        <v>150</v>
      </c>
      <c r="U30" s="209">
        <f>P30*$M$16+$T$16*10+IF([6]מרכז!$D$25=[6]מרכז!$C$50,0,[6]דלקים!$K$20*10-[6]דלקים!$P$22*[6]דלקים!$M$16)</f>
        <v>170.90882464714241</v>
      </c>
    </row>
    <row r="31" spans="2:21">
      <c r="M31" s="204">
        <v>2033</v>
      </c>
      <c r="N31" s="93">
        <f t="shared" si="9"/>
        <v>192</v>
      </c>
      <c r="O31" s="206">
        <f t="shared" si="5"/>
        <v>869.00013000000013</v>
      </c>
      <c r="P31" s="207">
        <f t="shared" si="6"/>
        <v>1061.0001300000001</v>
      </c>
      <c r="Q31" s="210">
        <f t="shared" si="10"/>
        <v>515</v>
      </c>
      <c r="R31" s="18">
        <f t="shared" si="8"/>
        <v>520</v>
      </c>
      <c r="S31" s="207">
        <f t="shared" si="7"/>
        <v>1035</v>
      </c>
      <c r="T31" s="205">
        <f>$M$16*O31+$T$16*10+IF([6]מרכז!$D$25=[6]מרכז!$C$50,0,[6]דלקים!$K$20*10-[6]דלקים!$O$22*[6]דלקים!$M$16)</f>
        <v>150</v>
      </c>
      <c r="U31" s="209">
        <f>P31*$M$16+$T$16*10+IF([6]מרכז!$D$25=[6]מרכז!$C$50,0,[6]דלקים!$K$20*10-[6]דלקים!$P$22*[6]דלקים!$M$16)</f>
        <v>170.90882464714241</v>
      </c>
    </row>
    <row r="32" spans="2:21">
      <c r="M32" s="204">
        <v>2034</v>
      </c>
      <c r="N32" s="93">
        <f t="shared" si="9"/>
        <v>192</v>
      </c>
      <c r="O32" s="206">
        <f t="shared" si="5"/>
        <v>869.00013000000013</v>
      </c>
      <c r="P32" s="207">
        <f t="shared" si="6"/>
        <v>1061.0001300000001</v>
      </c>
      <c r="Q32" s="210">
        <f t="shared" si="10"/>
        <v>515</v>
      </c>
      <c r="R32" s="18">
        <f t="shared" si="8"/>
        <v>520</v>
      </c>
      <c r="S32" s="207">
        <f t="shared" si="7"/>
        <v>1035</v>
      </c>
      <c r="T32" s="205">
        <f>$M$16*O32+$T$16*10+IF([6]מרכז!$D$25=[6]מרכז!$C$50,0,[6]דלקים!$K$20*10-[6]דלקים!$O$22*[6]דלקים!$M$16)</f>
        <v>150</v>
      </c>
      <c r="U32" s="209">
        <f>P32*$M$16+$T$16*10+IF([6]מרכז!$D$25=[6]מרכז!$C$50,0,[6]דלקים!$K$20*10-[6]דלקים!$P$22*[6]דלקים!$M$16)</f>
        <v>170.90882464714241</v>
      </c>
    </row>
    <row r="33" spans="7:23" ht="15" thickBot="1">
      <c r="M33" s="211">
        <v>2035</v>
      </c>
      <c r="N33" s="180">
        <f t="shared" si="9"/>
        <v>192</v>
      </c>
      <c r="O33" s="212">
        <f t="shared" si="5"/>
        <v>869.00013000000013</v>
      </c>
      <c r="P33" s="213">
        <f t="shared" si="6"/>
        <v>1061.0001300000001</v>
      </c>
      <c r="Q33" s="214">
        <f t="shared" si="10"/>
        <v>515</v>
      </c>
      <c r="R33" s="181">
        <f t="shared" si="8"/>
        <v>520</v>
      </c>
      <c r="S33" s="213">
        <f t="shared" si="7"/>
        <v>1035</v>
      </c>
      <c r="T33" s="215">
        <f>$M$16*O33+$T$16*10+IF([6]מרכז!$D$25=[6]מרכז!$C$50,0,[6]דלקים!$K$20*10-[6]דלקים!$O$22*[6]דלקים!$M$16)</f>
        <v>150</v>
      </c>
      <c r="U33" s="216">
        <f>P33*$M$16+$T$16*10+IF([6]מרכז!$D$25=[6]מרכז!$C$50,0,[6]דלקים!$K$20*10-[6]דלקים!$P$22*[6]דלקים!$M$16)</f>
        <v>170.90882464714241</v>
      </c>
    </row>
    <row r="35" spans="7:23">
      <c r="O35" s="6"/>
      <c r="P35" s="6"/>
      <c r="Q35" s="6"/>
    </row>
    <row r="36" spans="7:23">
      <c r="U36" s="217"/>
      <c r="V36" s="218"/>
      <c r="W36" s="219"/>
    </row>
    <row r="37" spans="7:23">
      <c r="O37" s="220"/>
      <c r="P37" s="220"/>
      <c r="Q37" s="220"/>
      <c r="U37" s="221"/>
      <c r="V37" s="221"/>
      <c r="W37" s="221"/>
    </row>
    <row r="38" spans="7:23">
      <c r="P38" s="5"/>
      <c r="U38" s="221"/>
      <c r="V38" s="222"/>
      <c r="W38" s="222"/>
    </row>
    <row r="39" spans="7:23" ht="15" thickBot="1">
      <c r="K39" s="5"/>
      <c r="U39" s="221"/>
      <c r="V39" s="223"/>
      <c r="W39" s="223"/>
    </row>
    <row r="40" spans="7:23" ht="15" thickBot="1">
      <c r="H40" s="279" t="s">
        <v>421</v>
      </c>
      <c r="I40" s="280"/>
      <c r="J40" s="276" t="s">
        <v>422</v>
      </c>
      <c r="K40" s="278"/>
      <c r="L40" s="276" t="s">
        <v>423</v>
      </c>
      <c r="M40" s="278"/>
      <c r="N40" s="276" t="s">
        <v>424</v>
      </c>
      <c r="O40" s="278"/>
      <c r="P40" s="276" t="s">
        <v>425</v>
      </c>
      <c r="Q40" s="278"/>
      <c r="R40" s="276" t="s">
        <v>426</v>
      </c>
      <c r="S40" s="278"/>
      <c r="T40" s="276" t="s">
        <v>427</v>
      </c>
      <c r="U40" s="278"/>
    </row>
    <row r="41" spans="7:23">
      <c r="H41" s="224" t="s">
        <v>395</v>
      </c>
      <c r="I41" s="225" t="s">
        <v>374</v>
      </c>
      <c r="J41" s="226" t="s">
        <v>375</v>
      </c>
      <c r="K41" s="225" t="s">
        <v>383</v>
      </c>
      <c r="L41" s="224" t="s">
        <v>375</v>
      </c>
      <c r="M41" s="225" t="s">
        <v>383</v>
      </c>
      <c r="N41" s="226" t="s">
        <v>375</v>
      </c>
      <c r="O41" s="227" t="s">
        <v>383</v>
      </c>
      <c r="P41" s="224" t="s">
        <v>375</v>
      </c>
      <c r="Q41" s="225" t="s">
        <v>383</v>
      </c>
      <c r="R41" s="202" t="s">
        <v>428</v>
      </c>
      <c r="S41" s="164" t="s">
        <v>383</v>
      </c>
      <c r="T41" s="202" t="s">
        <v>375</v>
      </c>
      <c r="U41" s="164" t="s">
        <v>383</v>
      </c>
    </row>
    <row r="42" spans="7:23">
      <c r="G42" s="93">
        <v>2024</v>
      </c>
      <c r="H42" s="228">
        <f t="shared" ref="H42:I53" si="11">$H$16*T22</f>
        <v>22442400</v>
      </c>
      <c r="I42" s="209">
        <f t="shared" si="11"/>
        <v>22442400</v>
      </c>
      <c r="J42" s="229">
        <f t="shared" ref="J42:J53" si="12">($H$16-$H$16)*T22</f>
        <v>0</v>
      </c>
      <c r="K42" s="209">
        <f t="shared" ref="K42:K53" si="13">($H$16-$H$17)*T22</f>
        <v>11221200</v>
      </c>
      <c r="L42" s="230">
        <f t="shared" ref="L42:L53" si="14">($H$16-$H$16)*U22</f>
        <v>0</v>
      </c>
      <c r="M42" s="231">
        <f t="shared" ref="M42:M53" si="15">($H$16-$H$17)*U22</f>
        <v>11221200</v>
      </c>
      <c r="N42" s="232">
        <f t="shared" ref="N42:N53" si="16">$I$3*R22</f>
        <v>27655680</v>
      </c>
      <c r="O42" s="233">
        <f t="shared" ref="O42:O53" si="17">$I$9*R22</f>
        <v>13827840</v>
      </c>
      <c r="P42" s="228">
        <f t="shared" ref="P42:P53" si="18">$I$3*S22</f>
        <v>33754289.280000001</v>
      </c>
      <c r="Q42" s="209">
        <f t="shared" ref="Q42:Q53" si="19">$I$9*S22</f>
        <v>16877144.640000001</v>
      </c>
      <c r="R42" s="228">
        <f t="shared" ref="R42:R53" si="20">($Q$10+10*$T$17*$M$18)*$I$4</f>
        <v>11417366.473042626</v>
      </c>
      <c r="S42" s="233">
        <f t="shared" ref="S42:S53" si="21">($Q$10+10*$T$17*$M$18)*$I$10</f>
        <v>5708683.236521313</v>
      </c>
      <c r="T42" s="228">
        <f t="shared" ref="T42:T53" si="22">($S$10+10*$T$17*$M$18)*$I$4</f>
        <v>28413342.80440357</v>
      </c>
      <c r="U42" s="209">
        <f t="shared" ref="U42:U53" si="23">($S$10+10*$T$17*$M$18)*$I$10</f>
        <v>14206671.402201785</v>
      </c>
    </row>
    <row r="43" spans="7:23">
      <c r="G43" s="93">
        <v>2025</v>
      </c>
      <c r="H43" s="228">
        <f t="shared" si="11"/>
        <v>22442400</v>
      </c>
      <c r="I43" s="209">
        <f t="shared" si="11"/>
        <v>22691562.625536457</v>
      </c>
      <c r="J43" s="229">
        <f t="shared" si="12"/>
        <v>0</v>
      </c>
      <c r="K43" s="209">
        <f t="shared" si="13"/>
        <v>11221200</v>
      </c>
      <c r="L43" s="230">
        <f t="shared" si="14"/>
        <v>0</v>
      </c>
      <c r="M43" s="231">
        <f t="shared" si="15"/>
        <v>11345781.312768228</v>
      </c>
      <c r="N43" s="232">
        <f t="shared" si="16"/>
        <v>27655680</v>
      </c>
      <c r="O43" s="233">
        <f t="shared" si="17"/>
        <v>13827840</v>
      </c>
      <c r="P43" s="228">
        <f t="shared" si="18"/>
        <v>35473728</v>
      </c>
      <c r="Q43" s="209">
        <f t="shared" si="19"/>
        <v>17736864</v>
      </c>
      <c r="R43" s="228">
        <f t="shared" si="20"/>
        <v>11417366.473042626</v>
      </c>
      <c r="S43" s="233">
        <f t="shared" si="21"/>
        <v>5708683.236521313</v>
      </c>
      <c r="T43" s="228">
        <f t="shared" si="22"/>
        <v>28413342.80440357</v>
      </c>
      <c r="U43" s="209">
        <f t="shared" si="23"/>
        <v>14206671.402201785</v>
      </c>
    </row>
    <row r="44" spans="7:23">
      <c r="G44" s="93">
        <v>2026</v>
      </c>
      <c r="H44" s="228">
        <f t="shared" si="11"/>
        <v>22442400</v>
      </c>
      <c r="I44" s="209">
        <f t="shared" si="11"/>
        <v>23071825.353462737</v>
      </c>
      <c r="J44" s="229">
        <f t="shared" si="12"/>
        <v>0</v>
      </c>
      <c r="K44" s="209">
        <f t="shared" si="13"/>
        <v>11221200</v>
      </c>
      <c r="L44" s="230">
        <f t="shared" si="14"/>
        <v>0</v>
      </c>
      <c r="M44" s="231">
        <f t="shared" si="15"/>
        <v>11535912.676731369</v>
      </c>
      <c r="N44" s="232">
        <f t="shared" si="16"/>
        <v>27655680</v>
      </c>
      <c r="O44" s="233">
        <f t="shared" si="17"/>
        <v>13827840</v>
      </c>
      <c r="P44" s="228">
        <f t="shared" si="18"/>
        <v>38026560</v>
      </c>
      <c r="Q44" s="209">
        <f t="shared" si="19"/>
        <v>19013280</v>
      </c>
      <c r="R44" s="228">
        <f t="shared" si="20"/>
        <v>11417366.473042626</v>
      </c>
      <c r="S44" s="233">
        <f t="shared" si="21"/>
        <v>5708683.236521313</v>
      </c>
      <c r="T44" s="228">
        <f t="shared" si="22"/>
        <v>28413342.80440357</v>
      </c>
      <c r="U44" s="209">
        <f t="shared" si="23"/>
        <v>14206671.402201785</v>
      </c>
    </row>
    <row r="45" spans="7:23">
      <c r="G45" s="93">
        <v>2027</v>
      </c>
      <c r="H45" s="228">
        <f t="shared" si="11"/>
        <v>22442400</v>
      </c>
      <c r="I45" s="209">
        <f t="shared" si="11"/>
        <v>23542626.826133367</v>
      </c>
      <c r="J45" s="229">
        <f t="shared" si="12"/>
        <v>0</v>
      </c>
      <c r="K45" s="209">
        <f t="shared" si="13"/>
        <v>11221200</v>
      </c>
      <c r="L45" s="230">
        <f t="shared" si="14"/>
        <v>0</v>
      </c>
      <c r="M45" s="231">
        <f t="shared" si="15"/>
        <v>11771313.413066683</v>
      </c>
      <c r="N45" s="232">
        <f t="shared" si="16"/>
        <v>27655680</v>
      </c>
      <c r="O45" s="233">
        <f t="shared" si="17"/>
        <v>13827840</v>
      </c>
      <c r="P45" s="228">
        <f t="shared" si="18"/>
        <v>41217600</v>
      </c>
      <c r="Q45" s="209">
        <f t="shared" si="19"/>
        <v>20608800</v>
      </c>
      <c r="R45" s="228">
        <f t="shared" si="20"/>
        <v>11417366.473042626</v>
      </c>
      <c r="S45" s="233">
        <f t="shared" si="21"/>
        <v>5708683.236521313</v>
      </c>
      <c r="T45" s="228">
        <f t="shared" si="22"/>
        <v>28413342.80440357</v>
      </c>
      <c r="U45" s="209">
        <f t="shared" si="23"/>
        <v>14206671.402201785</v>
      </c>
    </row>
    <row r="46" spans="7:23">
      <c r="G46" s="93">
        <v>2028</v>
      </c>
      <c r="H46" s="228">
        <f t="shared" si="11"/>
        <v>22442400</v>
      </c>
      <c r="I46" s="209">
        <f t="shared" si="11"/>
        <v>24158290.290394962</v>
      </c>
      <c r="J46" s="229">
        <f t="shared" si="12"/>
        <v>0</v>
      </c>
      <c r="K46" s="209">
        <f t="shared" si="13"/>
        <v>11221200</v>
      </c>
      <c r="L46" s="230">
        <f t="shared" si="14"/>
        <v>0</v>
      </c>
      <c r="M46" s="231">
        <f t="shared" si="15"/>
        <v>12079145.145197481</v>
      </c>
      <c r="N46" s="232">
        <f t="shared" si="16"/>
        <v>27655680</v>
      </c>
      <c r="O46" s="233">
        <f t="shared" si="17"/>
        <v>13827840</v>
      </c>
      <c r="P46" s="228">
        <f t="shared" si="18"/>
        <v>45472320</v>
      </c>
      <c r="Q46" s="209">
        <f t="shared" si="19"/>
        <v>22736160</v>
      </c>
      <c r="R46" s="228">
        <f t="shared" si="20"/>
        <v>11417366.473042626</v>
      </c>
      <c r="S46" s="233">
        <f t="shared" si="21"/>
        <v>5708683.236521313</v>
      </c>
      <c r="T46" s="228">
        <f t="shared" si="22"/>
        <v>28413342.80440357</v>
      </c>
      <c r="U46" s="209">
        <f t="shared" si="23"/>
        <v>14206671.402201785</v>
      </c>
    </row>
    <row r="47" spans="7:23">
      <c r="G47" s="93">
        <v>2029</v>
      </c>
      <c r="H47" s="228">
        <f t="shared" si="11"/>
        <v>22442400</v>
      </c>
      <c r="I47" s="209">
        <f t="shared" si="11"/>
        <v>24792061.503605429</v>
      </c>
      <c r="J47" s="229">
        <f t="shared" si="12"/>
        <v>0</v>
      </c>
      <c r="K47" s="209">
        <f t="shared" si="13"/>
        <v>11221200</v>
      </c>
      <c r="L47" s="230">
        <f t="shared" si="14"/>
        <v>0</v>
      </c>
      <c r="M47" s="231">
        <f t="shared" si="15"/>
        <v>12396030.751802715</v>
      </c>
      <c r="N47" s="232">
        <f t="shared" si="16"/>
        <v>27655680</v>
      </c>
      <c r="O47" s="233">
        <f t="shared" si="17"/>
        <v>13827840</v>
      </c>
      <c r="P47" s="228">
        <f t="shared" si="18"/>
        <v>49727040</v>
      </c>
      <c r="Q47" s="209">
        <f t="shared" si="19"/>
        <v>24863520</v>
      </c>
      <c r="R47" s="228">
        <f t="shared" si="20"/>
        <v>11417366.473042626</v>
      </c>
      <c r="S47" s="233">
        <f t="shared" si="21"/>
        <v>5708683.236521313</v>
      </c>
      <c r="T47" s="228">
        <f t="shared" si="22"/>
        <v>28413342.80440357</v>
      </c>
      <c r="U47" s="209">
        <f t="shared" si="23"/>
        <v>14206671.402201785</v>
      </c>
    </row>
    <row r="48" spans="7:23">
      <c r="G48" s="93">
        <v>2030</v>
      </c>
      <c r="H48" s="228">
        <f t="shared" si="11"/>
        <v>22442400</v>
      </c>
      <c r="I48" s="209">
        <f t="shared" si="11"/>
        <v>25570694.708406858</v>
      </c>
      <c r="J48" s="229">
        <f t="shared" si="12"/>
        <v>0</v>
      </c>
      <c r="K48" s="209">
        <f t="shared" si="13"/>
        <v>11221200</v>
      </c>
      <c r="L48" s="230">
        <f t="shared" si="14"/>
        <v>0</v>
      </c>
      <c r="M48" s="231">
        <f t="shared" si="15"/>
        <v>12785347.354203429</v>
      </c>
      <c r="N48" s="232">
        <f t="shared" si="16"/>
        <v>27655680</v>
      </c>
      <c r="O48" s="233">
        <f t="shared" si="17"/>
        <v>13827840</v>
      </c>
      <c r="P48" s="228">
        <f t="shared" si="18"/>
        <v>55045440</v>
      </c>
      <c r="Q48" s="209">
        <f t="shared" si="19"/>
        <v>27522720</v>
      </c>
      <c r="R48" s="228">
        <f t="shared" si="20"/>
        <v>11417366.473042626</v>
      </c>
      <c r="S48" s="233">
        <f t="shared" si="21"/>
        <v>5708683.236521313</v>
      </c>
      <c r="T48" s="228">
        <f t="shared" si="22"/>
        <v>28413342.80440357</v>
      </c>
      <c r="U48" s="209">
        <f t="shared" si="23"/>
        <v>14206671.402201785</v>
      </c>
    </row>
    <row r="49" spans="7:21">
      <c r="G49" s="93">
        <v>2031</v>
      </c>
      <c r="H49" s="228">
        <f t="shared" si="11"/>
        <v>22442400</v>
      </c>
      <c r="I49" s="209">
        <f t="shared" si="11"/>
        <v>25570694.708406858</v>
      </c>
      <c r="J49" s="229">
        <f t="shared" si="12"/>
        <v>0</v>
      </c>
      <c r="K49" s="209">
        <f t="shared" si="13"/>
        <v>11221200</v>
      </c>
      <c r="L49" s="230">
        <f t="shared" si="14"/>
        <v>0</v>
      </c>
      <c r="M49" s="231">
        <f t="shared" si="15"/>
        <v>12785347.354203429</v>
      </c>
      <c r="N49" s="232">
        <f t="shared" si="16"/>
        <v>27655680</v>
      </c>
      <c r="O49" s="233">
        <f t="shared" si="17"/>
        <v>13827840</v>
      </c>
      <c r="P49" s="228">
        <f t="shared" si="18"/>
        <v>55045440</v>
      </c>
      <c r="Q49" s="209">
        <f t="shared" si="19"/>
        <v>27522720</v>
      </c>
      <c r="R49" s="228">
        <f t="shared" si="20"/>
        <v>11417366.473042626</v>
      </c>
      <c r="S49" s="233">
        <f t="shared" si="21"/>
        <v>5708683.236521313</v>
      </c>
      <c r="T49" s="228">
        <f t="shared" si="22"/>
        <v>28413342.80440357</v>
      </c>
      <c r="U49" s="209">
        <f t="shared" si="23"/>
        <v>14206671.402201785</v>
      </c>
    </row>
    <row r="50" spans="7:21">
      <c r="G50" s="93">
        <v>2032</v>
      </c>
      <c r="H50" s="228">
        <f t="shared" si="11"/>
        <v>22442400</v>
      </c>
      <c r="I50" s="209">
        <f t="shared" si="11"/>
        <v>25570694.708406858</v>
      </c>
      <c r="J50" s="229">
        <f t="shared" si="12"/>
        <v>0</v>
      </c>
      <c r="K50" s="209">
        <f t="shared" si="13"/>
        <v>11221200</v>
      </c>
      <c r="L50" s="230">
        <f t="shared" si="14"/>
        <v>0</v>
      </c>
      <c r="M50" s="231">
        <f t="shared" si="15"/>
        <v>12785347.354203429</v>
      </c>
      <c r="N50" s="232">
        <f t="shared" si="16"/>
        <v>27655680</v>
      </c>
      <c r="O50" s="233">
        <f t="shared" si="17"/>
        <v>13827840</v>
      </c>
      <c r="P50" s="228">
        <f t="shared" si="18"/>
        <v>55045440</v>
      </c>
      <c r="Q50" s="209">
        <f t="shared" si="19"/>
        <v>27522720</v>
      </c>
      <c r="R50" s="228">
        <f t="shared" si="20"/>
        <v>11417366.473042626</v>
      </c>
      <c r="S50" s="233">
        <f t="shared" si="21"/>
        <v>5708683.236521313</v>
      </c>
      <c r="T50" s="228">
        <f t="shared" si="22"/>
        <v>28413342.80440357</v>
      </c>
      <c r="U50" s="209">
        <f t="shared" si="23"/>
        <v>14206671.402201785</v>
      </c>
    </row>
    <row r="51" spans="7:21">
      <c r="G51" s="93">
        <v>2033</v>
      </c>
      <c r="H51" s="228">
        <f t="shared" si="11"/>
        <v>22442400</v>
      </c>
      <c r="I51" s="209">
        <f t="shared" si="11"/>
        <v>25570694.708406858</v>
      </c>
      <c r="J51" s="229">
        <f t="shared" si="12"/>
        <v>0</v>
      </c>
      <c r="K51" s="209">
        <f t="shared" si="13"/>
        <v>11221200</v>
      </c>
      <c r="L51" s="230">
        <f t="shared" si="14"/>
        <v>0</v>
      </c>
      <c r="M51" s="231">
        <f t="shared" si="15"/>
        <v>12785347.354203429</v>
      </c>
      <c r="N51" s="232">
        <f t="shared" si="16"/>
        <v>27655680</v>
      </c>
      <c r="O51" s="233">
        <f t="shared" si="17"/>
        <v>13827840</v>
      </c>
      <c r="P51" s="228">
        <f t="shared" si="18"/>
        <v>55045440</v>
      </c>
      <c r="Q51" s="209">
        <f t="shared" si="19"/>
        <v>27522720</v>
      </c>
      <c r="R51" s="228">
        <f t="shared" si="20"/>
        <v>11417366.473042626</v>
      </c>
      <c r="S51" s="233">
        <f t="shared" si="21"/>
        <v>5708683.236521313</v>
      </c>
      <c r="T51" s="228">
        <f t="shared" si="22"/>
        <v>28413342.80440357</v>
      </c>
      <c r="U51" s="209">
        <f t="shared" si="23"/>
        <v>14206671.402201785</v>
      </c>
    </row>
    <row r="52" spans="7:21">
      <c r="G52" s="93">
        <v>2034</v>
      </c>
      <c r="H52" s="228">
        <f t="shared" si="11"/>
        <v>22442400</v>
      </c>
      <c r="I52" s="209">
        <f t="shared" si="11"/>
        <v>25570694.708406858</v>
      </c>
      <c r="J52" s="229">
        <f t="shared" si="12"/>
        <v>0</v>
      </c>
      <c r="K52" s="209">
        <f t="shared" si="13"/>
        <v>11221200</v>
      </c>
      <c r="L52" s="230">
        <f t="shared" si="14"/>
        <v>0</v>
      </c>
      <c r="M52" s="231">
        <f t="shared" si="15"/>
        <v>12785347.354203429</v>
      </c>
      <c r="N52" s="232">
        <f t="shared" si="16"/>
        <v>27655680</v>
      </c>
      <c r="O52" s="233">
        <f t="shared" si="17"/>
        <v>13827840</v>
      </c>
      <c r="P52" s="228">
        <f t="shared" si="18"/>
        <v>55045440</v>
      </c>
      <c r="Q52" s="209">
        <f t="shared" si="19"/>
        <v>27522720</v>
      </c>
      <c r="R52" s="228">
        <f t="shared" si="20"/>
        <v>11417366.473042626</v>
      </c>
      <c r="S52" s="233">
        <f t="shared" si="21"/>
        <v>5708683.236521313</v>
      </c>
      <c r="T52" s="228">
        <f t="shared" si="22"/>
        <v>28413342.80440357</v>
      </c>
      <c r="U52" s="209">
        <f t="shared" si="23"/>
        <v>14206671.402201785</v>
      </c>
    </row>
    <row r="53" spans="7:21" ht="15" thickBot="1">
      <c r="G53" s="180">
        <v>2035</v>
      </c>
      <c r="H53" s="228">
        <f t="shared" si="11"/>
        <v>22442400</v>
      </c>
      <c r="I53" s="209">
        <f t="shared" si="11"/>
        <v>25570694.708406858</v>
      </c>
      <c r="J53" s="229">
        <f t="shared" si="12"/>
        <v>0</v>
      </c>
      <c r="K53" s="209">
        <f t="shared" si="13"/>
        <v>11221200</v>
      </c>
      <c r="L53" s="230">
        <f t="shared" si="14"/>
        <v>0</v>
      </c>
      <c r="M53" s="231">
        <f t="shared" si="15"/>
        <v>12785347.354203429</v>
      </c>
      <c r="N53" s="234">
        <f t="shared" si="16"/>
        <v>27655680</v>
      </c>
      <c r="O53" s="235">
        <f t="shared" si="17"/>
        <v>13827840</v>
      </c>
      <c r="P53" s="236">
        <f t="shared" si="18"/>
        <v>55045440</v>
      </c>
      <c r="Q53" s="216">
        <f t="shared" si="19"/>
        <v>27522720</v>
      </c>
      <c r="R53" s="236">
        <f t="shared" si="20"/>
        <v>11417366.473042626</v>
      </c>
      <c r="S53" s="235">
        <f t="shared" si="21"/>
        <v>5708683.236521313</v>
      </c>
      <c r="T53" s="236">
        <f t="shared" si="22"/>
        <v>28413342.80440357</v>
      </c>
      <c r="U53" s="216">
        <f t="shared" si="23"/>
        <v>14206671.402201785</v>
      </c>
    </row>
  </sheetData>
  <mergeCells count="14">
    <mergeCell ref="R40:S40"/>
    <mergeCell ref="T40:U40"/>
    <mergeCell ref="G22:J22"/>
    <mergeCell ref="H40:I40"/>
    <mergeCell ref="J40:K40"/>
    <mergeCell ref="L40:M40"/>
    <mergeCell ref="N40:O40"/>
    <mergeCell ref="P40:Q40"/>
    <mergeCell ref="G21:J21"/>
    <mergeCell ref="B2:E2"/>
    <mergeCell ref="Q4:R4"/>
    <mergeCell ref="B14:E14"/>
    <mergeCell ref="N20:P20"/>
    <mergeCell ref="Q20:S20"/>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1"/>
  <sheetViews>
    <sheetView rightToLeft="1" topLeftCell="A26" zoomScale="90" zoomScaleNormal="90" workbookViewId="0">
      <selection activeCell="B43" sqref="B43"/>
    </sheetView>
  </sheetViews>
  <sheetFormatPr defaultRowHeight="14.25"/>
  <cols>
    <col min="1" max="1" width="9.25" customWidth="1"/>
    <col min="2" max="2" width="60.25" customWidth="1"/>
    <col min="3" max="3" width="8.25" bestFit="1" customWidth="1"/>
    <col min="4" max="4" width="9.125" bestFit="1" customWidth="1"/>
    <col min="5" max="5" width="7.5" bestFit="1" customWidth="1"/>
    <col min="6" max="6" width="11.875" customWidth="1"/>
    <col min="7" max="7" width="10.75" bestFit="1" customWidth="1"/>
    <col min="8" max="8" width="13" customWidth="1"/>
    <col min="9" max="9" width="20.875" bestFit="1" customWidth="1"/>
    <col min="10" max="11" width="20.875" customWidth="1"/>
    <col min="12" max="12" width="9.125" bestFit="1" customWidth="1"/>
    <col min="13" max="13" width="9.25" customWidth="1"/>
    <col min="14" max="14" width="9.25" bestFit="1" customWidth="1"/>
    <col min="15" max="15" width="10" bestFit="1" customWidth="1"/>
    <col min="16" max="16" width="9.75" bestFit="1" customWidth="1"/>
    <col min="17" max="17" width="10" bestFit="1" customWidth="1"/>
    <col min="18" max="18" width="9.75" bestFit="1" customWidth="1"/>
    <col min="19" max="19" width="9.125" bestFit="1" customWidth="1"/>
    <col min="20" max="20" width="13.625" bestFit="1" customWidth="1"/>
    <col min="21" max="21" width="11.75" bestFit="1" customWidth="1"/>
    <col min="22" max="24" width="9.125" bestFit="1" customWidth="1"/>
    <col min="25" max="25" width="10" bestFit="1" customWidth="1"/>
    <col min="26" max="26" width="9.125" bestFit="1" customWidth="1"/>
    <col min="27" max="27" width="10" bestFit="1" customWidth="1"/>
  </cols>
  <sheetData>
    <row r="1" spans="1:33" ht="15">
      <c r="B1" s="32" t="s">
        <v>191</v>
      </c>
      <c r="H1" t="s">
        <v>278</v>
      </c>
      <c r="I1" s="80">
        <v>3.6999999999999998E-2</v>
      </c>
      <c r="J1" s="80"/>
      <c r="K1" s="80"/>
    </row>
    <row r="2" spans="1:33" ht="15">
      <c r="B2" s="4" t="s">
        <v>195</v>
      </c>
    </row>
    <row r="4" spans="1:33">
      <c r="B4" t="str">
        <f>'פלט שנתי לאחר תיקון אגירה'!B2</f>
        <v>D:\sal-delek\‏‏2024-2030-Ren20\‏‏Sen0-‏‏Ren-20\Base.ucp</v>
      </c>
    </row>
    <row r="5" spans="1:33" ht="30">
      <c r="B5" s="247" t="s">
        <v>18</v>
      </c>
      <c r="C5" s="1" t="s">
        <v>14</v>
      </c>
      <c r="D5" s="1" t="s">
        <v>15</v>
      </c>
      <c r="E5" s="1" t="s">
        <v>5</v>
      </c>
      <c r="F5" s="1" t="s">
        <v>2</v>
      </c>
      <c r="G5" s="1" t="s">
        <v>0</v>
      </c>
      <c r="H5" s="1" t="s">
        <v>215</v>
      </c>
      <c r="I5" s="1" t="s">
        <v>48</v>
      </c>
      <c r="J5" s="1" t="s">
        <v>47</v>
      </c>
      <c r="L5" s="1" t="s">
        <v>213</v>
      </c>
      <c r="M5" s="1" t="s">
        <v>214</v>
      </c>
      <c r="N5" s="1" t="s">
        <v>210</v>
      </c>
      <c r="Q5" s="1" t="s">
        <v>14</v>
      </c>
      <c r="R5" s="1" t="s">
        <v>15</v>
      </c>
      <c r="S5" s="1" t="s">
        <v>5</v>
      </c>
      <c r="T5" s="1" t="s">
        <v>2</v>
      </c>
      <c r="U5" s="1" t="s">
        <v>0</v>
      </c>
      <c r="W5" s="1" t="s">
        <v>14</v>
      </c>
      <c r="X5" s="1" t="s">
        <v>15</v>
      </c>
      <c r="Y5" s="1" t="s">
        <v>5</v>
      </c>
      <c r="Z5" s="1" t="s">
        <v>2</v>
      </c>
      <c r="AA5" s="1" t="s">
        <v>0</v>
      </c>
      <c r="AC5" s="1" t="s">
        <v>14</v>
      </c>
      <c r="AD5" s="1" t="s">
        <v>15</v>
      </c>
      <c r="AE5" s="1" t="s">
        <v>5</v>
      </c>
      <c r="AF5" s="1" t="s">
        <v>2</v>
      </c>
      <c r="AG5" s="1" t="s">
        <v>0</v>
      </c>
    </row>
    <row r="6" spans="1:33" ht="15">
      <c r="B6" s="247"/>
      <c r="C6" s="1" t="s">
        <v>1</v>
      </c>
      <c r="D6" s="1" t="s">
        <v>1</v>
      </c>
      <c r="E6" s="1" t="s">
        <v>1</v>
      </c>
      <c r="F6" s="1" t="s">
        <v>3</v>
      </c>
      <c r="G6" s="1" t="s">
        <v>1</v>
      </c>
    </row>
    <row r="7" spans="1:33" ht="15">
      <c r="A7" t="s">
        <v>280</v>
      </c>
      <c r="B7" s="247"/>
      <c r="C7" s="247" t="s">
        <v>1</v>
      </c>
      <c r="D7" s="247"/>
      <c r="E7" s="247"/>
      <c r="F7" s="1" t="s">
        <v>1</v>
      </c>
      <c r="G7" s="1" t="s">
        <v>1</v>
      </c>
    </row>
    <row r="8" spans="1:33" ht="15">
      <c r="A8">
        <f>1/(1+$I$1)^(B8-2023)</f>
        <v>0.96432015429122475</v>
      </c>
      <c r="B8" s="1">
        <v>2024</v>
      </c>
      <c r="C8" s="3">
        <f>'פלט שנתי לאחר תיקון אגירה'!C21</f>
        <v>4.55</v>
      </c>
      <c r="D8" s="3">
        <f>'פלט שנתי לאחר תיקון אגירה'!D21</f>
        <v>0</v>
      </c>
      <c r="E8" s="3">
        <v>0</v>
      </c>
      <c r="F8" s="3">
        <f>'פלט שנתי לאחר תיקון אגירה'!G21</f>
        <v>8989.02</v>
      </c>
      <c r="G8" s="3">
        <f>'פלט שנתי לאחר תיקון אגירה'!H21</f>
        <v>2105.5</v>
      </c>
      <c r="H8" s="6">
        <f>+SUMPRODUCT(C8:G8,Q8:U8)/1000</f>
        <v>11737.03534272568</v>
      </c>
      <c r="I8" s="6">
        <f>+SUMPRODUCT(C8:G8,W8:AA8)/1000</f>
        <v>11329.381033141488</v>
      </c>
      <c r="J8" s="6">
        <f>+SUMPRODUCT(C8:G8,AC8:AG8)/1000</f>
        <v>11818.062992428268</v>
      </c>
      <c r="L8" s="6">
        <f>+'תרחיש הפעלה 3% 20% ללא צמצום פח'!F3</f>
        <v>8198.75</v>
      </c>
      <c r="M8" s="5">
        <f>+F8-L8</f>
        <v>790.27000000000044</v>
      </c>
      <c r="N8" s="10">
        <f>+('מחירי דלקים '!$D$5*L8+'מחירי דלקים '!$D$7*M8)/SUM(L8:M8)</f>
        <v>1205.9943299131251</v>
      </c>
      <c r="Q8" s="8">
        <f>+'מחירי דלקים '!$D$6</f>
        <v>8657.0750000000007</v>
      </c>
      <c r="R8" s="8">
        <f>+'מחירי דלקים '!$D$6</f>
        <v>8657.0750000000007</v>
      </c>
      <c r="S8">
        <v>0</v>
      </c>
      <c r="T8" s="10">
        <f>+N8</f>
        <v>1205.9943299131251</v>
      </c>
      <c r="U8">
        <f>+'מחירי דלקים '!$E$4</f>
        <v>407</v>
      </c>
      <c r="W8" s="8">
        <f>+'מחירי דלקים '!$D$6</f>
        <v>8657.0750000000007</v>
      </c>
      <c r="X8" s="8">
        <f>+'מחירי דלקים '!$D$6</f>
        <v>8657.0750000000007</v>
      </c>
      <c r="Y8">
        <v>0</v>
      </c>
      <c r="Z8" s="10">
        <f>+('מחירי דלקים '!$D$5)</f>
        <v>1160.6440793202694</v>
      </c>
      <c r="AA8">
        <f>+'מחירי דלקים '!$E$4</f>
        <v>407</v>
      </c>
      <c r="AC8" s="8">
        <f>+'מחירי דלקים '!$D$6</f>
        <v>8657.0750000000007</v>
      </c>
      <c r="AD8" s="8">
        <f>+'מחירי דלקים '!$D$6</f>
        <v>8657.0750000000007</v>
      </c>
      <c r="AE8">
        <v>0</v>
      </c>
      <c r="AF8" s="10">
        <f>+('מחירי דלקים '!$D$5)</f>
        <v>1160.6440793202694</v>
      </c>
      <c r="AG8">
        <f>+'מחירי דלקים '!$D$4</f>
        <v>639.0978196565087</v>
      </c>
    </row>
    <row r="9" spans="1:33" ht="15">
      <c r="A9">
        <f t="shared" ref="A9:A14" si="0">1/(1+$I$1)^(B9-2023)</f>
        <v>0.92991335997225155</v>
      </c>
      <c r="B9" s="1">
        <v>2025</v>
      </c>
      <c r="C9" s="3">
        <f>'פלט שנתי לאחר תיקון אגירה'!C22</f>
        <v>15.74</v>
      </c>
      <c r="D9" s="3">
        <f>'פלט שנתי לאחר תיקון אגירה'!D22</f>
        <v>0.46</v>
      </c>
      <c r="E9" s="3">
        <v>0</v>
      </c>
      <c r="F9" s="3">
        <f>'פלט שנתי לאחר תיקון אגירה'!G22</f>
        <v>9599.56</v>
      </c>
      <c r="G9" s="3">
        <f>'פלט שנתי לאחר תיקון אגירה'!H22</f>
        <v>647.94000000000005</v>
      </c>
      <c r="H9" s="6">
        <f t="shared" ref="H9:H14" si="1">+SUMPRODUCT(C9:G9,Q9:U9)/1000</f>
        <v>12088.748201184006</v>
      </c>
      <c r="I9" s="6">
        <f t="shared" ref="I9:I14" si="2">+SUMPRODUCT(C9:G9,W9:AA9)/1000</f>
        <v>11545.628673079684</v>
      </c>
      <c r="J9" s="6">
        <f t="shared" ref="J9:J14" si="3">+SUMPRODUCT(C9:G9,AC9:AG9)/1000</f>
        <v>11696.014134347923</v>
      </c>
      <c r="L9" s="6">
        <f>+'תרחיש הפעלה 3% 20% ללא צמצום פח'!F4</f>
        <v>8546.68</v>
      </c>
      <c r="M9" s="5">
        <f t="shared" ref="M9:M14" si="4">+F9-L9</f>
        <v>1052.8799999999992</v>
      </c>
      <c r="N9" s="10">
        <f>+('מחירי דלקים '!$D$5*L9+'מחירי דלקים '!$D$7*M9)/SUM(L9:M9)</f>
        <v>1217.2216233019021</v>
      </c>
      <c r="Q9" s="8">
        <f>+'מחירי דלקים '!$D$6</f>
        <v>8657.0750000000007</v>
      </c>
      <c r="R9" s="8">
        <f>+'מחירי דלקים '!$D$6</f>
        <v>8657.0750000000007</v>
      </c>
      <c r="S9">
        <v>0</v>
      </c>
      <c r="T9" s="10">
        <f t="shared" ref="T9:T14" si="5">+N9</f>
        <v>1217.2216233019021</v>
      </c>
      <c r="U9">
        <f>+'מחירי דלקים '!$E$4</f>
        <v>407</v>
      </c>
      <c r="W9" s="8">
        <f>+'מחירי דלקים '!$D$6</f>
        <v>8657.0750000000007</v>
      </c>
      <c r="X9" s="8">
        <f>+'מחירי דלקים '!$D$6</f>
        <v>8657.0750000000007</v>
      </c>
      <c r="Y9">
        <v>0</v>
      </c>
      <c r="Z9" s="10">
        <f>+('מחירי דלקים '!$D$5)</f>
        <v>1160.6440793202694</v>
      </c>
      <c r="AA9">
        <f>+'מחירי דלקים '!$E$4</f>
        <v>407</v>
      </c>
      <c r="AC9" s="8">
        <f>+'מחירי דלקים '!$D$6</f>
        <v>8657.0750000000007</v>
      </c>
      <c r="AD9" s="8">
        <f>+'מחירי דלקים '!$D$6</f>
        <v>8657.0750000000007</v>
      </c>
      <c r="AE9">
        <v>0</v>
      </c>
      <c r="AF9" s="10">
        <f>+('מחירי דלקים '!$D$5)</f>
        <v>1160.6440793202694</v>
      </c>
      <c r="AG9">
        <f>+'מחירי דלקים '!$D$4</f>
        <v>639.0978196565087</v>
      </c>
    </row>
    <row r="10" spans="1:33" ht="15">
      <c r="A10">
        <f t="shared" si="0"/>
        <v>0.89673419476591276</v>
      </c>
      <c r="B10" s="1">
        <v>2026</v>
      </c>
      <c r="C10" s="3">
        <f>'פלט שנתי לאחר תיקון אגירה'!C23</f>
        <v>19.91</v>
      </c>
      <c r="D10" s="3">
        <f>'פלט שנתי לאחר תיקון אגירה'!D23</f>
        <v>0.74</v>
      </c>
      <c r="E10" s="3">
        <v>0</v>
      </c>
      <c r="F10" s="3">
        <f>'פלט שנתי לאחר תיקון אגירה'!G23</f>
        <v>10023.75</v>
      </c>
      <c r="G10" s="3">
        <f>'פלט שנתי לאחר תיקון אגירה'!H23</f>
        <v>160.62</v>
      </c>
      <c r="H10" s="6">
        <f t="shared" si="1"/>
        <v>12522.985404052502</v>
      </c>
      <c r="I10" s="6">
        <f t="shared" si="2"/>
        <v>11878.147028836551</v>
      </c>
      <c r="J10" s="6">
        <f t="shared" si="3"/>
        <v>11915.426580629779</v>
      </c>
      <c r="L10" s="6">
        <f>+'תרחיש הפעלה 3% 20% ללא צמצום פח'!F5</f>
        <v>8773.68</v>
      </c>
      <c r="M10" s="5">
        <f t="shared" si="4"/>
        <v>1250.0699999999997</v>
      </c>
      <c r="N10" s="10">
        <f>+('מחירי דלקים '!$D$5*L10+'מחירי דלקים '!$D$7*M10)/SUM(L10:M10)</f>
        <v>1224.9751305950867</v>
      </c>
      <c r="Q10" s="8">
        <f>+'מחירי דלקים '!$D$6</f>
        <v>8657.0750000000007</v>
      </c>
      <c r="R10" s="8">
        <f>+'מחירי דלקים '!$D$6</f>
        <v>8657.0750000000007</v>
      </c>
      <c r="S10">
        <v>0</v>
      </c>
      <c r="T10" s="10">
        <f t="shared" si="5"/>
        <v>1224.9751305950867</v>
      </c>
      <c r="U10">
        <f>+'מחירי דלקים '!$E$4</f>
        <v>407</v>
      </c>
      <c r="W10" s="8">
        <f>+'מחירי דלקים '!$D$6</f>
        <v>8657.0750000000007</v>
      </c>
      <c r="X10" s="8">
        <f>+'מחירי דלקים '!$D$6</f>
        <v>8657.0750000000007</v>
      </c>
      <c r="Y10">
        <v>0</v>
      </c>
      <c r="Z10" s="10">
        <f>+('מחירי דלקים '!$D$5)</f>
        <v>1160.6440793202694</v>
      </c>
      <c r="AA10">
        <f>+'מחירי דלקים '!$E$4</f>
        <v>407</v>
      </c>
      <c r="AC10" s="8">
        <f>+'מחירי דלקים '!$D$6</f>
        <v>8657.0750000000007</v>
      </c>
      <c r="AD10" s="8">
        <f>+'מחירי דלקים '!$D$6</f>
        <v>8657.0750000000007</v>
      </c>
      <c r="AE10">
        <v>0</v>
      </c>
      <c r="AF10" s="10">
        <f>+('מחירי דלקים '!$D$5)</f>
        <v>1160.6440793202694</v>
      </c>
      <c r="AG10">
        <f>+'מחירי דלקים '!$D$4</f>
        <v>639.0978196565087</v>
      </c>
    </row>
    <row r="11" spans="1:33" ht="15">
      <c r="A11">
        <f t="shared" si="0"/>
        <v>0.86473885705488229</v>
      </c>
      <c r="B11" s="1">
        <v>2027</v>
      </c>
      <c r="C11" s="3">
        <f>'פלט שנתי לאחר תיקון אגירה'!C24</f>
        <v>15.93</v>
      </c>
      <c r="D11" s="3">
        <f>'פלט שנתי לאחר תיקון אגירה'!D24</f>
        <v>0.35</v>
      </c>
      <c r="E11" s="3">
        <v>0</v>
      </c>
      <c r="F11" s="3">
        <f>'פלט שנתי לאחר תיקון אגירה'!G24</f>
        <v>10182.700000000001</v>
      </c>
      <c r="G11" s="3">
        <f>'פלט שנתי לאחר תיקון אגירה'!H24</f>
        <v>0</v>
      </c>
      <c r="H11" s="6">
        <f t="shared" si="1"/>
        <v>12651.98654883398</v>
      </c>
      <c r="I11" s="6">
        <f t="shared" si="2"/>
        <v>11959.427647494507</v>
      </c>
      <c r="J11" s="6">
        <f t="shared" si="3"/>
        <v>11959.427647494507</v>
      </c>
      <c r="L11" s="6">
        <f>+'תרחיש הפעלה 3% 20% ללא צמצום פח'!F6</f>
        <v>8840.1200000000008</v>
      </c>
      <c r="M11" s="5">
        <f t="shared" si="4"/>
        <v>1342.58</v>
      </c>
      <c r="N11" s="10">
        <f>+('מחירי דלקים '!$D$5*L11+'מחירי דלקים '!$D$7*M11)/SUM(L11:M11)</f>
        <v>1228.6573666939003</v>
      </c>
      <c r="Q11" s="8">
        <f>+'מחירי דלקים '!$D$6</f>
        <v>8657.0750000000007</v>
      </c>
      <c r="R11" s="8">
        <f>+'מחירי דלקים '!$D$6</f>
        <v>8657.0750000000007</v>
      </c>
      <c r="S11">
        <v>0</v>
      </c>
      <c r="T11" s="10">
        <f t="shared" si="5"/>
        <v>1228.6573666939003</v>
      </c>
      <c r="U11">
        <f>+'מחירי דלקים '!$E$4</f>
        <v>407</v>
      </c>
      <c r="W11" s="8">
        <f>+'מחירי דלקים '!$D$6</f>
        <v>8657.0750000000007</v>
      </c>
      <c r="X11" s="8">
        <f>+'מחירי דלקים '!$D$6</f>
        <v>8657.0750000000007</v>
      </c>
      <c r="Y11">
        <v>0</v>
      </c>
      <c r="Z11" s="10">
        <f>+('מחירי דלקים '!$D$5)</f>
        <v>1160.6440793202694</v>
      </c>
      <c r="AA11">
        <f>+'מחירי דלקים '!$E$4</f>
        <v>407</v>
      </c>
      <c r="AC11" s="8">
        <f>+'מחירי דלקים '!$D$6</f>
        <v>8657.0750000000007</v>
      </c>
      <c r="AD11" s="8">
        <f>+'מחירי דלקים '!$D$6</f>
        <v>8657.0750000000007</v>
      </c>
      <c r="AE11">
        <v>0</v>
      </c>
      <c r="AF11" s="10">
        <f>+('מחירי דלקים '!$D$5)</f>
        <v>1160.6440793202694</v>
      </c>
      <c r="AG11">
        <f>+'מחירי דלקים '!$D$4</f>
        <v>639.0978196565087</v>
      </c>
    </row>
    <row r="12" spans="1:33" ht="15">
      <c r="A12">
        <f t="shared" si="0"/>
        <v>0.8338851080567814</v>
      </c>
      <c r="B12" s="1">
        <v>2028</v>
      </c>
      <c r="C12" s="3">
        <f>'פלט שנתי לאחר תיקון אגירה'!C25</f>
        <v>13.7</v>
      </c>
      <c r="D12" s="3">
        <f>'פלט שנתי לאחר תיקון אגירה'!D25</f>
        <v>0.27</v>
      </c>
      <c r="E12" s="3">
        <v>0</v>
      </c>
      <c r="F12" s="3">
        <f>'פלט שנתי לאחר תיקון אגירה'!G25</f>
        <v>10332.299999999999</v>
      </c>
      <c r="G12" s="3">
        <f>'פלט שנתי לאחר תיקון אגירה'!H25</f>
        <v>0</v>
      </c>
      <c r="H12" s="6">
        <f t="shared" si="1"/>
        <v>12801.13839449505</v>
      </c>
      <c r="I12" s="6">
        <f t="shared" si="2"/>
        <v>12113.062158510818</v>
      </c>
      <c r="J12" s="6">
        <f t="shared" si="3"/>
        <v>12113.062158510818</v>
      </c>
      <c r="L12" s="6">
        <f>+'תרחיש הפעלה 3% 20% ללא צמצום פח'!F7</f>
        <v>8998.41</v>
      </c>
      <c r="M12" s="5">
        <f t="shared" si="4"/>
        <v>1333.8899999999994</v>
      </c>
      <c r="N12" s="10">
        <f>+('מחירי דלקים '!$D$5*L12+'מחירי דלקים '!$D$7*M12)/SUM(L12:M12)</f>
        <v>1227.2387616256835</v>
      </c>
      <c r="Q12" s="8">
        <f>+'מחירי דלקים '!$D$6</f>
        <v>8657.0750000000007</v>
      </c>
      <c r="R12" s="8">
        <f>+'מחירי דלקים '!$D$6</f>
        <v>8657.0750000000007</v>
      </c>
      <c r="S12">
        <v>0</v>
      </c>
      <c r="T12" s="10">
        <f t="shared" si="5"/>
        <v>1227.2387616256835</v>
      </c>
      <c r="U12">
        <f>+'מחירי דלקים '!$E$4</f>
        <v>407</v>
      </c>
      <c r="W12" s="8">
        <f>+'מחירי דלקים '!$D$6</f>
        <v>8657.0750000000007</v>
      </c>
      <c r="X12" s="8">
        <f>+'מחירי דלקים '!$D$6</f>
        <v>8657.0750000000007</v>
      </c>
      <c r="Y12">
        <v>0</v>
      </c>
      <c r="Z12" s="10">
        <f>+('מחירי דלקים '!$D$5)</f>
        <v>1160.6440793202694</v>
      </c>
      <c r="AA12">
        <f>+'מחירי דלקים '!$E$4</f>
        <v>407</v>
      </c>
      <c r="AC12" s="8">
        <f>+'מחירי דלקים '!$D$6</f>
        <v>8657.0750000000007</v>
      </c>
      <c r="AD12" s="8">
        <f>+'מחירי דלקים '!$D$6</f>
        <v>8657.0750000000007</v>
      </c>
      <c r="AE12">
        <v>0</v>
      </c>
      <c r="AF12" s="10">
        <f>+('מחירי דלקים '!$D$5)</f>
        <v>1160.6440793202694</v>
      </c>
      <c r="AG12">
        <f>+'מחירי דלקים '!$D$4</f>
        <v>639.0978196565087</v>
      </c>
    </row>
    <row r="13" spans="1:33" ht="15">
      <c r="A13">
        <f t="shared" si="0"/>
        <v>0.8041322160624701</v>
      </c>
      <c r="B13" s="1">
        <v>2029</v>
      </c>
      <c r="C13" s="3">
        <f>'פלט שנתי לאחר תיקון אגירה'!C26</f>
        <v>1.73</v>
      </c>
      <c r="D13" s="3">
        <f>'פלט שנתי לאחר תיקון אגירה'!D26</f>
        <v>0.05</v>
      </c>
      <c r="E13" s="3">
        <v>0</v>
      </c>
      <c r="F13" s="3">
        <f>'פלט שנתי לאחר תיקון אגירה'!G26</f>
        <v>10068.85</v>
      </c>
      <c r="G13" s="3">
        <f>'פלט שנתי לאחר תיקון אגירה'!H26</f>
        <v>0</v>
      </c>
      <c r="H13" s="6">
        <f t="shared" si="1"/>
        <v>12278.255224971337</v>
      </c>
      <c r="I13" s="6">
        <f t="shared" si="2"/>
        <v>11701.760731563894</v>
      </c>
      <c r="J13" s="6">
        <f t="shared" si="3"/>
        <v>11701.760731563894</v>
      </c>
      <c r="L13" s="6">
        <f>+'תרחיש הפעלה 3% 20% ללא צמצום פח'!F8</f>
        <v>8951.27</v>
      </c>
      <c r="M13" s="5">
        <f t="shared" si="4"/>
        <v>1117.58</v>
      </c>
      <c r="N13" s="10">
        <f>+('מחירי דלקים '!$D$5*L13+'מחירי דלקים '!$D$7*M13)/SUM(L13:M13)</f>
        <v>1217.899326285657</v>
      </c>
      <c r="Q13" s="8">
        <f>+'מחירי דלקים '!$D$6</f>
        <v>8657.0750000000007</v>
      </c>
      <c r="R13" s="8">
        <f>+'מחירי דלקים '!$D$6</f>
        <v>8657.0750000000007</v>
      </c>
      <c r="S13">
        <v>0</v>
      </c>
      <c r="T13" s="10">
        <f t="shared" si="5"/>
        <v>1217.899326285657</v>
      </c>
      <c r="U13">
        <f>+'מחירי דלקים '!$E$4</f>
        <v>407</v>
      </c>
      <c r="W13" s="8">
        <f>+'מחירי דלקים '!$D$6</f>
        <v>8657.0750000000007</v>
      </c>
      <c r="X13" s="8">
        <f>+'מחירי דלקים '!$D$6</f>
        <v>8657.0750000000007</v>
      </c>
      <c r="Y13">
        <v>0</v>
      </c>
      <c r="Z13" s="10">
        <f>+('מחירי דלקים '!$D$5)</f>
        <v>1160.6440793202694</v>
      </c>
      <c r="AA13">
        <f>+'מחירי דלקים '!$E$4</f>
        <v>407</v>
      </c>
      <c r="AC13" s="8">
        <f>+'מחירי דלקים '!$D$6</f>
        <v>8657.0750000000007</v>
      </c>
      <c r="AD13" s="8">
        <f>+'מחירי דלקים '!$D$6</f>
        <v>8657.0750000000007</v>
      </c>
      <c r="AE13">
        <v>0</v>
      </c>
      <c r="AF13" s="10">
        <f>+('מחירי דלקים '!$D$5)</f>
        <v>1160.6440793202694</v>
      </c>
      <c r="AG13">
        <f>+'מחירי דלקים '!$D$4</f>
        <v>639.0978196565087</v>
      </c>
    </row>
    <row r="14" spans="1:33" ht="15">
      <c r="A14">
        <f t="shared" si="0"/>
        <v>0.77544090266390553</v>
      </c>
      <c r="B14" s="29">
        <v>2030</v>
      </c>
      <c r="C14" s="30">
        <f>'פלט שנתי לאחר תיקון אגירה'!C27</f>
        <v>1.89</v>
      </c>
      <c r="D14" s="30">
        <f>'פלט שנתי לאחר תיקון אגירה'!D27</f>
        <v>0.1</v>
      </c>
      <c r="E14" s="30">
        <v>0</v>
      </c>
      <c r="F14" s="30">
        <f>'פלט שנתי לאחר תיקון אגירה'!G27</f>
        <v>9978.3700000000008</v>
      </c>
      <c r="G14" s="30">
        <f>'פלט שנתי לאחר תיקון אגירה'!H27</f>
        <v>0</v>
      </c>
      <c r="H14" s="6">
        <f t="shared" si="1"/>
        <v>12048.872910120739</v>
      </c>
      <c r="I14" s="6">
        <f t="shared" si="2"/>
        <v>11598.563641016997</v>
      </c>
      <c r="J14" s="6">
        <f t="shared" si="3"/>
        <v>11598.563641016997</v>
      </c>
      <c r="L14" s="6">
        <f>+'תרחיש הפעלה 3% 20% ללא צמצום פח'!F9</f>
        <v>9105.41</v>
      </c>
      <c r="M14" s="5">
        <f t="shared" si="4"/>
        <v>872.96000000000095</v>
      </c>
      <c r="N14" s="10">
        <f>+('מחירי דלקים '!$D$5*L14+'מחירי דלקים '!$D$7*M14)/SUM(L14:M14)</f>
        <v>1205.7726192625387</v>
      </c>
      <c r="Q14" s="8">
        <f>+'מחירי דלקים '!$D$6</f>
        <v>8657.0750000000007</v>
      </c>
      <c r="R14" s="8">
        <f>+'מחירי דלקים '!$D$6</f>
        <v>8657.0750000000007</v>
      </c>
      <c r="S14">
        <v>0</v>
      </c>
      <c r="T14" s="10">
        <f t="shared" si="5"/>
        <v>1205.7726192625387</v>
      </c>
      <c r="U14">
        <f>+'מחירי דלקים '!$E$4</f>
        <v>407</v>
      </c>
      <c r="W14" s="8">
        <f>+'מחירי דלקים '!$D$6</f>
        <v>8657.0750000000007</v>
      </c>
      <c r="X14" s="8">
        <f>+'מחירי דלקים '!$D$6</f>
        <v>8657.0750000000007</v>
      </c>
      <c r="Y14">
        <v>0</v>
      </c>
      <c r="Z14" s="10">
        <f>+('מחירי דלקים '!$D$5)</f>
        <v>1160.6440793202694</v>
      </c>
      <c r="AA14">
        <f>+'מחירי דלקים '!$E$4</f>
        <v>407</v>
      </c>
      <c r="AC14" s="8">
        <f>+'מחירי דלקים '!$D$6</f>
        <v>8657.0750000000007</v>
      </c>
      <c r="AD14" s="8">
        <f>+'מחירי דלקים '!$D$6</f>
        <v>8657.0750000000007</v>
      </c>
      <c r="AE14">
        <v>0</v>
      </c>
      <c r="AF14" s="10">
        <f>+('מחירי דלקים '!$D$5)</f>
        <v>1160.6440793202694</v>
      </c>
      <c r="AG14">
        <f>+'מחירי דלקים '!$D$4</f>
        <v>639.0978196565087</v>
      </c>
    </row>
    <row r="15" spans="1:33" ht="15">
      <c r="B15" s="1" t="s">
        <v>46</v>
      </c>
      <c r="C15" s="5">
        <f>SUM(C8:C14)</f>
        <v>73.45</v>
      </c>
      <c r="D15" s="5">
        <f>SUM(D8:D14)</f>
        <v>1.97</v>
      </c>
      <c r="E15" s="5">
        <f>SUM(E8:E14)</f>
        <v>0</v>
      </c>
      <c r="F15" s="5">
        <f>SUM(F8:F14)</f>
        <v>69174.55</v>
      </c>
      <c r="G15" s="5">
        <f>SUM(G8:G14)</f>
        <v>2914.06</v>
      </c>
      <c r="R15" t="s">
        <v>211</v>
      </c>
      <c r="S15" t="s">
        <v>212</v>
      </c>
      <c r="T15" t="s">
        <v>208</v>
      </c>
    </row>
    <row r="16" spans="1:33" ht="15">
      <c r="B16" s="1" t="s">
        <v>47</v>
      </c>
      <c r="C16" s="6">
        <f>C15*'מחירי דלקים '!$D$6/1000</f>
        <v>635.86215875000005</v>
      </c>
      <c r="D16" s="6">
        <f>D15*'מחירי דלקים '!$D$6/1000</f>
        <v>17.054437750000002</v>
      </c>
      <c r="E16" s="6"/>
      <c r="F16" s="6">
        <f>F15*'מחירי דלקים '!$D$5/1000</f>
        <v>80287.031897143941</v>
      </c>
      <c r="G16" s="6">
        <f>G15*'מחירי דלקים '!$D$4/1000</f>
        <v>1862.3693923482458</v>
      </c>
      <c r="H16" s="6">
        <f>SUM(C16:G16)</f>
        <v>82802.31788599219</v>
      </c>
      <c r="P16" t="s">
        <v>207</v>
      </c>
      <c r="R16" s="6">
        <f>+'תרחיש הפעלה 3% 20% ללא צמצום פח'!$F$10</f>
        <v>61414.320000000007</v>
      </c>
      <c r="S16" s="7">
        <f>+R16/R18</f>
        <v>0.8878166898086074</v>
      </c>
      <c r="T16" s="6">
        <f>+'מחירי דלקים '!$D$5</f>
        <v>1160.6440793202694</v>
      </c>
    </row>
    <row r="17" spans="1:33" ht="15">
      <c r="B17" s="1" t="s">
        <v>48</v>
      </c>
      <c r="C17" s="6">
        <f>C16</f>
        <v>635.86215875000005</v>
      </c>
      <c r="D17" s="6">
        <f>D16</f>
        <v>17.054437750000002</v>
      </c>
      <c r="E17" s="6">
        <f>E16</f>
        <v>0</v>
      </c>
      <c r="F17" s="6">
        <f>F16</f>
        <v>80287.031897143941</v>
      </c>
      <c r="G17" s="6">
        <f>G15*'מחירי דלקים '!$E$4/1000</f>
        <v>1186.02242</v>
      </c>
      <c r="H17" s="6">
        <f>SUM(C17:G17)</f>
        <v>82125.970913643934</v>
      </c>
      <c r="P17" s="7" t="s">
        <v>209</v>
      </c>
      <c r="R17" s="5">
        <f>+F15-R16</f>
        <v>7760.2299999999959</v>
      </c>
      <c r="S17" s="7">
        <f>+R17/R18</f>
        <v>0.11218331019139258</v>
      </c>
      <c r="T17" s="6">
        <f>+'מחירי דלקים '!$D$7</f>
        <v>1676.4858923515003</v>
      </c>
    </row>
    <row r="18" spans="1:33" ht="15">
      <c r="B18" s="1" t="s">
        <v>51</v>
      </c>
      <c r="C18" s="6">
        <f>C17</f>
        <v>635.86215875000005</v>
      </c>
      <c r="D18" s="6">
        <f>D17</f>
        <v>17.054437750000002</v>
      </c>
      <c r="E18" s="6">
        <f>E17</f>
        <v>0</v>
      </c>
      <c r="F18" s="6">
        <f>F15*T18/1000</f>
        <v>84290.083009883281</v>
      </c>
      <c r="G18" s="6">
        <f>G17</f>
        <v>1186.02242</v>
      </c>
      <c r="H18" s="6">
        <f>SUM(C18:G18)</f>
        <v>86129.022026383274</v>
      </c>
      <c r="P18" t="s">
        <v>210</v>
      </c>
      <c r="Q18" s="5"/>
      <c r="R18" s="5">
        <f>SUM(R16:R17)</f>
        <v>69174.55</v>
      </c>
      <c r="S18" s="7">
        <f>SUM(S16:S17)</f>
        <v>1</v>
      </c>
      <c r="T18" s="6">
        <f>+SUMPRODUCT(T16:T17,S16:S17)</f>
        <v>1218.5129214412423</v>
      </c>
    </row>
    <row r="19" spans="1:33" ht="15">
      <c r="B19" s="1"/>
      <c r="C19" s="6"/>
      <c r="D19" s="6"/>
      <c r="E19" s="6"/>
      <c r="F19" s="114"/>
      <c r="H19" s="6"/>
    </row>
    <row r="20" spans="1:33" ht="28.5">
      <c r="B20" s="1"/>
      <c r="C20" s="6"/>
      <c r="D20" s="6"/>
      <c r="E20" s="6"/>
      <c r="F20" s="118" t="s">
        <v>314</v>
      </c>
      <c r="G20" s="119" t="s">
        <v>313</v>
      </c>
      <c r="H20" s="117"/>
    </row>
    <row r="21" spans="1:33" ht="15">
      <c r="B21" s="1"/>
      <c r="C21" s="6"/>
      <c r="D21" s="6"/>
      <c r="E21" s="6"/>
      <c r="F21" s="116">
        <f>F16/'פלט שנתי לאחר תיקון אגירה'!$AS$32*100</f>
        <v>16.37772453634658</v>
      </c>
      <c r="G21" s="117">
        <f>G16/'פלט שנתי לאחר תיקון אגירה'!$AT$32*100</f>
        <v>14.17530038405957</v>
      </c>
      <c r="H21" s="117"/>
    </row>
    <row r="22" spans="1:33" ht="15">
      <c r="B22" s="1"/>
      <c r="C22" s="6"/>
      <c r="D22" s="6"/>
      <c r="E22" s="6"/>
      <c r="F22" s="116">
        <f>F17/'פלט שנתי לאחר תיקון אגירה'!$AS$32*100</f>
        <v>16.37772453634658</v>
      </c>
      <c r="G22" s="117">
        <f>G17/'פלט שנתי לאחר תיקון אגירה'!$AT$32*100</f>
        <v>9.0273305257293082</v>
      </c>
      <c r="H22" s="117"/>
    </row>
    <row r="23" spans="1:33" ht="15">
      <c r="B23" s="1"/>
      <c r="C23" s="6"/>
      <c r="D23" s="6"/>
      <c r="E23" s="6"/>
      <c r="F23" s="116">
        <f>F18/'פלט שנתי לאחר תיקון אגירה'!$AS$32*100</f>
        <v>17.194305581631092</v>
      </c>
      <c r="G23" s="117">
        <f>G18/'פלט שנתי לאחר תיקון אגירה'!$AT$32*100</f>
        <v>9.0273305257293082</v>
      </c>
      <c r="H23" s="117"/>
    </row>
    <row r="24" spans="1:33" ht="15">
      <c r="B24" s="1"/>
      <c r="C24" s="6"/>
      <c r="D24" s="6"/>
      <c r="E24" s="6"/>
      <c r="F24" s="115"/>
      <c r="G24" s="116"/>
      <c r="H24" s="117"/>
    </row>
    <row r="25" spans="1:33" ht="15">
      <c r="B25" s="1"/>
      <c r="C25" s="6"/>
      <c r="D25" s="6"/>
      <c r="E25" s="6"/>
      <c r="F25" s="114"/>
      <c r="G25" s="35"/>
      <c r="H25" s="6"/>
    </row>
    <row r="26" spans="1:33" ht="30">
      <c r="A26" s="1" t="s">
        <v>279</v>
      </c>
      <c r="B26" s="1" t="s">
        <v>279</v>
      </c>
      <c r="F26" s="114"/>
      <c r="G26" s="35"/>
      <c r="H26" s="6">
        <f>+SUMPRODUCT(H8:H14,$A$8:$A$14)</f>
        <v>74621.409952607879</v>
      </c>
      <c r="I26" s="6">
        <f t="shared" ref="I26:J26" si="6">+SUMPRODUCT(I8:I14,$A$8:$A$14)</f>
        <v>71159.572819666937</v>
      </c>
      <c r="J26" s="6">
        <f t="shared" si="6"/>
        <v>71804.093980483172</v>
      </c>
    </row>
    <row r="27" spans="1:33" ht="15">
      <c r="B27" s="1"/>
      <c r="C27" s="6"/>
      <c r="D27" s="6"/>
      <c r="E27" s="6"/>
      <c r="F27" s="114"/>
      <c r="G27" s="35"/>
      <c r="H27" s="6"/>
    </row>
    <row r="28" spans="1:33" ht="15">
      <c r="B28" s="4" t="s">
        <v>188</v>
      </c>
      <c r="F28" s="10">
        <f>+F17/T17</f>
        <v>47.890073076923073</v>
      </c>
    </row>
    <row r="29" spans="1:33" ht="30">
      <c r="H29" s="1" t="s">
        <v>215</v>
      </c>
      <c r="I29" s="1" t="s">
        <v>48</v>
      </c>
      <c r="J29" s="1" t="s">
        <v>47</v>
      </c>
      <c r="L29" s="1" t="s">
        <v>213</v>
      </c>
      <c r="M29" s="1" t="s">
        <v>214</v>
      </c>
      <c r="N29" s="1" t="s">
        <v>210</v>
      </c>
      <c r="Q29" s="1" t="s">
        <v>14</v>
      </c>
      <c r="R29" s="1" t="s">
        <v>15</v>
      </c>
      <c r="S29" s="1" t="s">
        <v>5</v>
      </c>
      <c r="T29" s="1" t="s">
        <v>2</v>
      </c>
      <c r="U29" s="1" t="s">
        <v>0</v>
      </c>
      <c r="W29" s="1" t="s">
        <v>14</v>
      </c>
      <c r="X29" s="1" t="s">
        <v>15</v>
      </c>
      <c r="Y29" s="1" t="s">
        <v>5</v>
      </c>
      <c r="Z29" s="1" t="s">
        <v>2</v>
      </c>
      <c r="AA29" s="1" t="s">
        <v>0</v>
      </c>
      <c r="AC29" s="1" t="s">
        <v>14</v>
      </c>
      <c r="AD29" s="1" t="s">
        <v>15</v>
      </c>
      <c r="AE29" s="1" t="s">
        <v>5</v>
      </c>
      <c r="AF29" s="1" t="s">
        <v>2</v>
      </c>
      <c r="AG29" s="1" t="s">
        <v>0</v>
      </c>
    </row>
    <row r="30" spans="1:33">
      <c r="B30" t="str">
        <f>'פלט שנתי לאחר תיקון אגירה'!B16</f>
        <v>D:\sal-delek\‏‏2024-2030-Ren20\‏‏Sen0-‏‏Ren-20\Base.ucp</v>
      </c>
    </row>
    <row r="31" spans="1:33" ht="30">
      <c r="A31" t="s">
        <v>280</v>
      </c>
      <c r="B31" s="1" t="s">
        <v>18</v>
      </c>
      <c r="C31" s="1" t="s">
        <v>14</v>
      </c>
      <c r="D31" s="1" t="s">
        <v>15</v>
      </c>
      <c r="E31" s="1" t="s">
        <v>5</v>
      </c>
      <c r="F31" s="1" t="s">
        <v>2</v>
      </c>
      <c r="G31" s="1" t="s">
        <v>0</v>
      </c>
    </row>
    <row r="32" spans="1:33" ht="15">
      <c r="A32">
        <f>1/(1+$I$1)^(B32-2023)</f>
        <v>0.96432015429122475</v>
      </c>
      <c r="B32" s="1">
        <v>2024</v>
      </c>
      <c r="C32" s="3">
        <f>+'פלט שנתי לאחר תיקון אגירה'!AP3</f>
        <v>3.68</v>
      </c>
      <c r="D32" s="3">
        <f>+'פלט שנתי לאחר תיקון אגירה'!AQ3</f>
        <v>0</v>
      </c>
      <c r="E32" s="3">
        <f>+'פלט שנתי לאחר תיקון אגירה'!AR3</f>
        <v>1.1599999999999999</v>
      </c>
      <c r="F32" s="3">
        <f>+'פלט שנתי לאחר תיקון אגירה'!AS3</f>
        <v>9106.2999999999993</v>
      </c>
      <c r="G32" s="3">
        <f>+'פלט שנתי לאחר תיקון אגירה'!AT3</f>
        <v>1788.74</v>
      </c>
      <c r="H32" s="6">
        <f>+SUMPRODUCT(C32:G32,Q32:U32)/1000</f>
        <v>11797.200632930661</v>
      </c>
      <c r="I32" s="6">
        <f>+SUMPRODUCT(C32:G32,W32:AA32)/1000</f>
        <v>11329.048395514168</v>
      </c>
      <c r="J32" s="6">
        <f>+SUMPRODUCT(C32:G32,AC32:AG32)/1000</f>
        <v>11744.211049446551</v>
      </c>
      <c r="L32" s="6">
        <f t="shared" ref="L32:L38" si="7">+L8</f>
        <v>8198.75</v>
      </c>
      <c r="M32" s="5">
        <f>+F32-L32</f>
        <v>907.54999999999927</v>
      </c>
      <c r="N32" s="10">
        <f>+('מחירי דלקים '!$D$5*L32+'מחירי דלקים '!$D$7*M32)/SUM(L32:M32)</f>
        <v>1212.0537887979378</v>
      </c>
      <c r="Q32" s="8">
        <f>+'מחירי דלקים '!$D$6</f>
        <v>8657.0750000000007</v>
      </c>
      <c r="R32" s="8">
        <f>+'מחירי דלקים '!$D$6</f>
        <v>8657.0750000000007</v>
      </c>
      <c r="S32">
        <v>0</v>
      </c>
      <c r="T32" s="10">
        <f>+N32</f>
        <v>1212.0537887979378</v>
      </c>
      <c r="U32">
        <f>+'מחירי דלקים '!$E$4</f>
        <v>407</v>
      </c>
      <c r="W32" s="8">
        <f>+'מחירי דלקים '!$D$6</f>
        <v>8657.0750000000007</v>
      </c>
      <c r="X32" s="8">
        <f>+'מחירי דלקים '!$D$6</f>
        <v>8657.0750000000007</v>
      </c>
      <c r="Y32">
        <v>0</v>
      </c>
      <c r="Z32" s="10">
        <f>+('מחירי דלקים '!$D$5)</f>
        <v>1160.6440793202694</v>
      </c>
      <c r="AA32">
        <f>+'מחירי דלקים '!$E$4</f>
        <v>407</v>
      </c>
      <c r="AC32" s="8">
        <f>+'מחירי דלקים '!$D$6</f>
        <v>8657.0750000000007</v>
      </c>
      <c r="AD32" s="8">
        <f>+'מחירי דלקים '!$D$6</f>
        <v>8657.0750000000007</v>
      </c>
      <c r="AE32">
        <v>0</v>
      </c>
      <c r="AF32" s="10">
        <f>+('מחירי דלקים '!$D$5)</f>
        <v>1160.6440793202694</v>
      </c>
      <c r="AG32">
        <f>+'מחירי דלקים '!$D$4</f>
        <v>639.0978196565087</v>
      </c>
    </row>
    <row r="33" spans="1:33" ht="15">
      <c r="A33">
        <f t="shared" ref="A33:A38" si="8">1/(1+$I$1)^(B33-2023)</f>
        <v>0.92991335997225155</v>
      </c>
      <c r="B33" s="1">
        <v>2025</v>
      </c>
      <c r="C33" s="3">
        <f>+'פלט שנתי לאחר תיקון אגירה'!AP4</f>
        <v>11.83</v>
      </c>
      <c r="D33" s="3">
        <f>+'פלט שנתי לאחר תיקון אגירה'!AQ4</f>
        <v>0.25</v>
      </c>
      <c r="E33" s="3">
        <f>+'פלט שנתי לאחר תיקון אגירה'!AR4</f>
        <v>2.02</v>
      </c>
      <c r="F33" s="3">
        <f>+'פלט שנתי לאחר תיקון אגירה'!AS4</f>
        <v>9407.92</v>
      </c>
      <c r="G33" s="3">
        <f>+'פלט שנתי לאחר תיקון אגירה'!AT4</f>
        <v>969.75</v>
      </c>
      <c r="H33" s="6">
        <f t="shared" ref="H33:H38" si="9">+SUMPRODUCT(C33:G33,Q33:U33)/1000</f>
        <v>11862.775965773764</v>
      </c>
      <c r="I33" s="6">
        <f t="shared" ref="I33:I38" si="10">+SUMPRODUCT(C33:G33,W33:AA33)/1000</f>
        <v>11418.512362718748</v>
      </c>
      <c r="J33" s="6">
        <f t="shared" ref="J33:J38" si="11">+SUMPRODUCT(C33:G33,AC33:AG33)/1000</f>
        <v>11643.589223330648</v>
      </c>
      <c r="L33" s="6">
        <f t="shared" si="7"/>
        <v>8546.68</v>
      </c>
      <c r="M33" s="5">
        <f t="shared" ref="M33:M38" si="12">+F33-L33</f>
        <v>861.23999999999978</v>
      </c>
      <c r="N33" s="10">
        <f>+('מחירי דלקים '!$D$5*L33+'מחירי דלקים '!$D$7*M33)/SUM(L33:M33)</f>
        <v>1207.8663774536524</v>
      </c>
      <c r="Q33" s="8">
        <f>+'מחירי דלקים '!$D$6</f>
        <v>8657.0750000000007</v>
      </c>
      <c r="R33" s="8">
        <f>+'מחירי דלקים '!$D$6</f>
        <v>8657.0750000000007</v>
      </c>
      <c r="S33">
        <v>0</v>
      </c>
      <c r="T33" s="10">
        <f t="shared" ref="T33:T38" si="13">+N33</f>
        <v>1207.8663774536524</v>
      </c>
      <c r="U33">
        <f>+'מחירי דלקים '!$E$4</f>
        <v>407</v>
      </c>
      <c r="W33" s="8">
        <f>+'מחירי דלקים '!$D$6</f>
        <v>8657.0750000000007</v>
      </c>
      <c r="X33" s="8">
        <f>+'מחירי דלקים '!$D$6</f>
        <v>8657.0750000000007</v>
      </c>
      <c r="Y33">
        <v>0</v>
      </c>
      <c r="Z33" s="10">
        <f>+('מחירי דלקים '!$D$5)</f>
        <v>1160.6440793202694</v>
      </c>
      <c r="AA33">
        <f>+'מחירי דלקים '!$E$4</f>
        <v>407</v>
      </c>
      <c r="AC33" s="8">
        <f>+'מחירי דלקים '!$D$6</f>
        <v>8657.0750000000007</v>
      </c>
      <c r="AD33" s="8">
        <f>+'מחירי דלקים '!$D$6</f>
        <v>8657.0750000000007</v>
      </c>
      <c r="AE33">
        <v>0</v>
      </c>
      <c r="AF33" s="10">
        <f>+('מחירי דלקים '!$D$5)</f>
        <v>1160.6440793202694</v>
      </c>
      <c r="AG33">
        <f>+'מחירי דלקים '!$D$4</f>
        <v>639.0978196565087</v>
      </c>
    </row>
    <row r="34" spans="1:33" ht="15">
      <c r="A34">
        <f t="shared" si="8"/>
        <v>0.89673419476591276</v>
      </c>
      <c r="B34" s="1">
        <v>2026</v>
      </c>
      <c r="C34" s="3">
        <f>+'פלט שנתי לאחר תיקון אגירה'!AP5</f>
        <v>10.130000000000001</v>
      </c>
      <c r="D34" s="3">
        <f>+'פלט שנתי לאחר תיקון אגירה'!AQ5</f>
        <v>0.43</v>
      </c>
      <c r="E34" s="3">
        <f>+'פלט שנתי לאחר תיקון אגירה'!AR5</f>
        <v>2.2999999999999998</v>
      </c>
      <c r="F34" s="3">
        <f>+'פלט שנתי לאחר תיקון אגירה'!AS5</f>
        <v>9608.68</v>
      </c>
      <c r="G34" s="3">
        <f>+'פלט שנתי לאחר תיקון אגירה'!AT5</f>
        <v>940.95</v>
      </c>
      <c r="H34" s="6">
        <f t="shared" si="9"/>
        <v>12057.370827964165</v>
      </c>
      <c r="I34" s="6">
        <f t="shared" si="10"/>
        <v>11626.642914083086</v>
      </c>
      <c r="J34" s="6">
        <f t="shared" si="11"/>
        <v>11845.035357488878</v>
      </c>
      <c r="L34" s="6">
        <f t="shared" si="7"/>
        <v>8773.68</v>
      </c>
      <c r="M34" s="5">
        <f t="shared" si="12"/>
        <v>835</v>
      </c>
      <c r="N34" s="10">
        <f>+('מחירי דלקים '!$D$5*L34+'מחירי דלקים '!$D$7*M34)/SUM(L34:M34)</f>
        <v>1205.4710393065607</v>
      </c>
      <c r="Q34" s="8">
        <f>+'מחירי דלקים '!$D$6</f>
        <v>8657.0750000000007</v>
      </c>
      <c r="R34" s="8">
        <f>+'מחירי דלקים '!$D$6</f>
        <v>8657.0750000000007</v>
      </c>
      <c r="S34">
        <v>0</v>
      </c>
      <c r="T34" s="10">
        <f t="shared" si="13"/>
        <v>1205.4710393065607</v>
      </c>
      <c r="U34">
        <f>+'מחירי דלקים '!$E$4</f>
        <v>407</v>
      </c>
      <c r="W34" s="8">
        <f>+'מחירי דלקים '!$D$6</f>
        <v>8657.0750000000007</v>
      </c>
      <c r="X34" s="8">
        <f>+'מחירי דלקים '!$D$6</f>
        <v>8657.0750000000007</v>
      </c>
      <c r="Y34">
        <v>0</v>
      </c>
      <c r="Z34" s="10">
        <f>+('מחירי דלקים '!$D$5)</f>
        <v>1160.6440793202694</v>
      </c>
      <c r="AA34">
        <f>+'מחירי דלקים '!$E$4</f>
        <v>407</v>
      </c>
      <c r="AC34" s="8">
        <f>+'מחירי דלקים '!$D$6</f>
        <v>8657.0750000000007</v>
      </c>
      <c r="AD34" s="8">
        <f>+'מחירי דלקים '!$D$6</f>
        <v>8657.0750000000007</v>
      </c>
      <c r="AE34">
        <v>0</v>
      </c>
      <c r="AF34" s="10">
        <f>+('מחירי דלקים '!$D$5)</f>
        <v>1160.6440793202694</v>
      </c>
      <c r="AG34">
        <f>+'מחירי דלקים '!$D$4</f>
        <v>639.0978196565087</v>
      </c>
    </row>
    <row r="35" spans="1:33" ht="15">
      <c r="A35">
        <f t="shared" si="8"/>
        <v>0.86473885705488229</v>
      </c>
      <c r="B35" s="1">
        <v>2027</v>
      </c>
      <c r="C35" s="3">
        <f>+'פלט שנתי לאחר תיקון אגירה'!AP6</f>
        <v>11.4</v>
      </c>
      <c r="D35" s="3">
        <f>+'פלט שנתי לאחר תיקון אגירה'!AQ6</f>
        <v>0.26</v>
      </c>
      <c r="E35" s="3">
        <f>+'פלט שנתי לאחר תיקון אגירה'!AR6</f>
        <v>2.2999999999999998</v>
      </c>
      <c r="F35" s="3">
        <f>+'פלט שנתי לאחר תיקון אגירה'!AS6</f>
        <v>9670.6200000000008</v>
      </c>
      <c r="G35" s="3">
        <f>+'פלט שנתי לאחר תיקון אגירה'!AT6</f>
        <v>938.26</v>
      </c>
      <c r="H35" s="6">
        <f t="shared" si="9"/>
        <v>12135.367786578621</v>
      </c>
      <c r="I35" s="6">
        <f t="shared" si="10"/>
        <v>11706.961160856186</v>
      </c>
      <c r="J35" s="6">
        <f t="shared" si="11"/>
        <v>11924.7292611271</v>
      </c>
      <c r="L35" s="6">
        <f t="shared" si="7"/>
        <v>8840.1200000000008</v>
      </c>
      <c r="M35" s="5">
        <f t="shared" si="12"/>
        <v>830.5</v>
      </c>
      <c r="N35" s="10">
        <f>+('מחירי דלקים '!$D$5*L35+'מחירי דלקים '!$D$7*M35)/SUM(L35:M35)</f>
        <v>1204.9438890245528</v>
      </c>
      <c r="Q35" s="8">
        <f>+'מחירי דלקים '!$D$6</f>
        <v>8657.0750000000007</v>
      </c>
      <c r="R35" s="8">
        <f>+'מחירי דלקים '!$D$6</f>
        <v>8657.0750000000007</v>
      </c>
      <c r="S35">
        <v>0</v>
      </c>
      <c r="T35" s="10">
        <f t="shared" si="13"/>
        <v>1204.9438890245528</v>
      </c>
      <c r="U35">
        <f>+'מחירי דלקים '!$E$4</f>
        <v>407</v>
      </c>
      <c r="W35" s="8">
        <f>+'מחירי דלקים '!$D$6</f>
        <v>8657.0750000000007</v>
      </c>
      <c r="X35" s="8">
        <f>+'מחירי דלקים '!$D$6</f>
        <v>8657.0750000000007</v>
      </c>
      <c r="Y35">
        <v>0</v>
      </c>
      <c r="Z35" s="10">
        <f>+('מחירי דלקים '!$D$5)</f>
        <v>1160.6440793202694</v>
      </c>
      <c r="AA35">
        <f>+'מחירי דלקים '!$E$4</f>
        <v>407</v>
      </c>
      <c r="AC35" s="8">
        <f>+'מחירי דלקים '!$D$6</f>
        <v>8657.0750000000007</v>
      </c>
      <c r="AD35" s="8">
        <f>+'מחירי דלקים '!$D$6</f>
        <v>8657.0750000000007</v>
      </c>
      <c r="AE35">
        <v>0</v>
      </c>
      <c r="AF35" s="10">
        <f>+('מחירי דלקים '!$D$5)</f>
        <v>1160.6440793202694</v>
      </c>
      <c r="AG35">
        <f>+'מחירי דלקים '!$D$4</f>
        <v>639.0978196565087</v>
      </c>
    </row>
    <row r="36" spans="1:33" ht="15">
      <c r="A36">
        <f t="shared" si="8"/>
        <v>0.8338851080567814</v>
      </c>
      <c r="B36" s="1">
        <v>2028</v>
      </c>
      <c r="C36" s="3">
        <f>+'פלט שנתי לאחר תיקון אגירה'!AP7</f>
        <v>12.76</v>
      </c>
      <c r="D36" s="3">
        <f>+'פלט שנתי לאחר תיקון אגירה'!AQ7</f>
        <v>0.35</v>
      </c>
      <c r="E36" s="3">
        <f>+'פלט שנתי לאחר תיקון אגירה'!AR7</f>
        <v>2.02</v>
      </c>
      <c r="F36" s="3">
        <f>+'פלט שנתי לאחר תיקון אגירה'!AS7</f>
        <v>9807.59</v>
      </c>
      <c r="G36" s="3">
        <f>+'פלט שנתי לאחר תיקון אגירה'!AT7</f>
        <v>978.99</v>
      </c>
      <c r="H36" s="6">
        <f t="shared" si="9"/>
        <v>12312.473327419291</v>
      </c>
      <c r="I36" s="6">
        <f t="shared" si="10"/>
        <v>11895.064449150679</v>
      </c>
      <c r="J36" s="6">
        <f t="shared" si="11"/>
        <v>12122.285893616205</v>
      </c>
      <c r="L36" s="6">
        <f t="shared" si="7"/>
        <v>8998.41</v>
      </c>
      <c r="M36" s="5">
        <f t="shared" si="12"/>
        <v>809.18000000000029</v>
      </c>
      <c r="N36" s="10">
        <f>+('מחירי דלקים '!$D$5*L36+'מחירי דלקים '!$D$7*M36)/SUM(L36:M36)</f>
        <v>1203.2038598849761</v>
      </c>
      <c r="Q36" s="8">
        <f>+'מחירי דלקים '!$D$6</f>
        <v>8657.0750000000007</v>
      </c>
      <c r="R36" s="8">
        <f>+'מחירי דלקים '!$D$6</f>
        <v>8657.0750000000007</v>
      </c>
      <c r="S36">
        <v>0</v>
      </c>
      <c r="T36" s="10">
        <f t="shared" si="13"/>
        <v>1203.2038598849761</v>
      </c>
      <c r="U36">
        <f>+'מחירי דלקים '!$E$4</f>
        <v>407</v>
      </c>
      <c r="W36" s="8">
        <f>+'מחירי דלקים '!$D$6</f>
        <v>8657.0750000000007</v>
      </c>
      <c r="X36" s="8">
        <f>+'מחירי דלקים '!$D$6</f>
        <v>8657.0750000000007</v>
      </c>
      <c r="Y36">
        <v>0</v>
      </c>
      <c r="Z36" s="10">
        <f>+('מחירי דלקים '!$D$5)</f>
        <v>1160.6440793202694</v>
      </c>
      <c r="AA36">
        <f>+'מחירי דלקים '!$E$4</f>
        <v>407</v>
      </c>
      <c r="AC36" s="8">
        <f>+'מחירי דלקים '!$D$6</f>
        <v>8657.0750000000007</v>
      </c>
      <c r="AD36" s="8">
        <f>+'מחירי דלקים '!$D$6</f>
        <v>8657.0750000000007</v>
      </c>
      <c r="AE36">
        <v>0</v>
      </c>
      <c r="AF36" s="10">
        <f>+('מחירי דלקים '!$D$5)</f>
        <v>1160.6440793202694</v>
      </c>
      <c r="AG36">
        <f>+'מחירי דלקים '!$D$4</f>
        <v>639.0978196565087</v>
      </c>
    </row>
    <row r="37" spans="1:33" ht="15">
      <c r="A37">
        <f t="shared" si="8"/>
        <v>0.8041322160624701</v>
      </c>
      <c r="B37" s="1">
        <v>2029</v>
      </c>
      <c r="C37" s="3">
        <f>+'פלט שנתי לאחר תיקון אגירה'!AP8</f>
        <v>1.18</v>
      </c>
      <c r="D37" s="3">
        <f>+'פלט שנתי לאחר תיקון אגירה'!AQ8</f>
        <v>0</v>
      </c>
      <c r="E37" s="3">
        <f>+'פלט שנתי לאחר תיקון אגירה'!AR8</f>
        <v>1.44</v>
      </c>
      <c r="F37" s="3">
        <f>+'פלט שנתי לאחר תיקון אגירה'!AS8</f>
        <v>9721.09</v>
      </c>
      <c r="G37" s="3">
        <f>+'פלט שנתי לאחר תיקון אגירה'!AT8</f>
        <v>639.79</v>
      </c>
      <c r="H37" s="6">
        <f t="shared" si="9"/>
        <v>11950.440776047177</v>
      </c>
      <c r="I37" s="6">
        <f t="shared" si="10"/>
        <v>11553.335431539477</v>
      </c>
      <c r="J37" s="6">
        <f t="shared" si="11"/>
        <v>11701.829295577516</v>
      </c>
      <c r="L37" s="6">
        <f t="shared" si="7"/>
        <v>8951.27</v>
      </c>
      <c r="M37" s="5">
        <f t="shared" si="12"/>
        <v>769.81999999999971</v>
      </c>
      <c r="N37" s="10">
        <f>+('מחירי דלקים '!$D$5*L37+'מחירי דלקים '!$D$7*M37)/SUM(L37:M37)</f>
        <v>1201.4939577297584</v>
      </c>
      <c r="Q37" s="8">
        <f>+'מחירי דלקים '!$D$6</f>
        <v>8657.0750000000007</v>
      </c>
      <c r="R37" s="8">
        <f>+'מחירי דלקים '!$D$6</f>
        <v>8657.0750000000007</v>
      </c>
      <c r="S37">
        <v>0</v>
      </c>
      <c r="T37" s="10">
        <f t="shared" si="13"/>
        <v>1201.4939577297584</v>
      </c>
      <c r="U37">
        <f>+'מחירי דלקים '!$E$4</f>
        <v>407</v>
      </c>
      <c r="W37" s="8">
        <f>+'מחירי דלקים '!$D$6</f>
        <v>8657.0750000000007</v>
      </c>
      <c r="X37" s="8">
        <f>+'מחירי דלקים '!$D$6</f>
        <v>8657.0750000000007</v>
      </c>
      <c r="Y37">
        <v>0</v>
      </c>
      <c r="Z37" s="10">
        <f>+('מחירי דלקים '!$D$5)</f>
        <v>1160.6440793202694</v>
      </c>
      <c r="AA37">
        <f>+'מחירי דלקים '!$E$4</f>
        <v>407</v>
      </c>
      <c r="AC37" s="8">
        <f>+'מחירי דלקים '!$D$6</f>
        <v>8657.0750000000007</v>
      </c>
      <c r="AD37" s="8">
        <f>+'מחירי דלקים '!$D$6</f>
        <v>8657.0750000000007</v>
      </c>
      <c r="AE37">
        <v>0</v>
      </c>
      <c r="AF37" s="10">
        <f>+('מחירי דלקים '!$D$5)</f>
        <v>1160.6440793202694</v>
      </c>
      <c r="AG37">
        <f>+'מחירי דלקים '!$D$4</f>
        <v>639.0978196565087</v>
      </c>
    </row>
    <row r="38" spans="1:33" ht="15">
      <c r="A38">
        <f t="shared" si="8"/>
        <v>0.77544090266390553</v>
      </c>
      <c r="B38" s="29">
        <v>2030</v>
      </c>
      <c r="C38" s="30">
        <f>+'פלט שנתי לאחר תיקון אגירה'!AP9</f>
        <v>1.84</v>
      </c>
      <c r="D38" s="30">
        <f>+'פלט שנתי לאחר תיקון אגירה'!AQ9</f>
        <v>0.06</v>
      </c>
      <c r="E38" s="30">
        <f>+'פלט שנתי לאחר תיקון אגירה'!AR9</f>
        <v>0</v>
      </c>
      <c r="F38" s="30">
        <f>+'פלט שנתי לאחר תיקון אגירה'!AS9</f>
        <v>9964.2099999999991</v>
      </c>
      <c r="G38" s="30">
        <f>+'פלט שנתי לאחר תיקון אגירה'!AT9</f>
        <v>0</v>
      </c>
      <c r="H38" s="6">
        <f t="shared" si="9"/>
        <v>12024.35473313504</v>
      </c>
      <c r="I38" s="6">
        <f t="shared" si="10"/>
        <v>11581.349784103822</v>
      </c>
      <c r="J38" s="6">
        <f t="shared" si="11"/>
        <v>11581.349784103822</v>
      </c>
      <c r="L38" s="6">
        <f t="shared" si="7"/>
        <v>9105.41</v>
      </c>
      <c r="M38" s="5">
        <f t="shared" si="12"/>
        <v>858.79999999999927</v>
      </c>
      <c r="N38" s="10">
        <f>+('מחירי דלקים '!$D$5*L38+'מחירי דלקים '!$D$7*M38)/SUM(L38:M38)</f>
        <v>1205.103695188584</v>
      </c>
      <c r="Q38" s="8">
        <f>+'מחירי דלקים '!$D$6</f>
        <v>8657.0750000000007</v>
      </c>
      <c r="R38" s="8">
        <f>+'מחירי דלקים '!$D$6</f>
        <v>8657.0750000000007</v>
      </c>
      <c r="S38">
        <v>0</v>
      </c>
      <c r="T38" s="10">
        <f t="shared" si="13"/>
        <v>1205.103695188584</v>
      </c>
      <c r="U38">
        <f>+'מחירי דלקים '!$E$4</f>
        <v>407</v>
      </c>
      <c r="W38" s="8">
        <f>+'מחירי דלקים '!$D$6</f>
        <v>8657.0750000000007</v>
      </c>
      <c r="X38" s="8">
        <f>+'מחירי דלקים '!$D$6</f>
        <v>8657.0750000000007</v>
      </c>
      <c r="Y38">
        <v>0</v>
      </c>
      <c r="Z38" s="10">
        <f>+('מחירי דלקים '!$D$5)</f>
        <v>1160.6440793202694</v>
      </c>
      <c r="AA38">
        <f>+'מחירי דלקים '!$E$4</f>
        <v>407</v>
      </c>
      <c r="AC38" s="8">
        <f>+'מחירי דלקים '!$D$6</f>
        <v>8657.0750000000007</v>
      </c>
      <c r="AD38" s="8">
        <f>+'מחירי דלקים '!$D$6</f>
        <v>8657.0750000000007</v>
      </c>
      <c r="AE38">
        <v>0</v>
      </c>
      <c r="AF38" s="10">
        <f>+('מחירי דלקים '!$D$5)</f>
        <v>1160.6440793202694</v>
      </c>
      <c r="AG38">
        <f>+'מחירי דלקים '!$D$4</f>
        <v>639.0978196565087</v>
      </c>
    </row>
    <row r="39" spans="1:33" ht="15">
      <c r="B39" s="1" t="s">
        <v>46</v>
      </c>
      <c r="C39" s="5">
        <f>SUM(C32:C38)</f>
        <v>52.82</v>
      </c>
      <c r="D39" s="5">
        <f>SUM(D32:D38)</f>
        <v>1.35</v>
      </c>
      <c r="E39" s="5">
        <f>SUM(E32:E38)</f>
        <v>11.239999999999998</v>
      </c>
      <c r="F39" s="5">
        <f>SUM(F32:F38)</f>
        <v>67286.41</v>
      </c>
      <c r="G39" s="5">
        <f>SUM(G32:G38)</f>
        <v>6256.48</v>
      </c>
      <c r="L39" s="34"/>
      <c r="R39" t="s">
        <v>211</v>
      </c>
      <c r="S39" t="s">
        <v>212</v>
      </c>
      <c r="T39" t="s">
        <v>208</v>
      </c>
    </row>
    <row r="40" spans="1:33" ht="15">
      <c r="B40" s="1" t="s">
        <v>47</v>
      </c>
      <c r="C40" s="6">
        <f>C39*'מחירי דלקים '!$D$6/1000</f>
        <v>457.26670150000001</v>
      </c>
      <c r="D40" s="6">
        <f>D39*'מחירי דלקים '!$D$6/1000</f>
        <v>11.687051250000001</v>
      </c>
      <c r="E40" s="6"/>
      <c r="F40" s="6">
        <f>F39*'מחירי דלקים '!$D$5/1000</f>
        <v>78095.573385216179</v>
      </c>
      <c r="G40" s="6">
        <f>G39*'מחירי דלקים '!$D$4/1000</f>
        <v>3998.5027267245532</v>
      </c>
      <c r="H40" s="6">
        <f>SUM(C40:G40)</f>
        <v>82563.029864690732</v>
      </c>
      <c r="I40" s="5"/>
      <c r="J40" s="5"/>
      <c r="K40" s="5"/>
      <c r="P40" t="s">
        <v>207</v>
      </c>
      <c r="R40" s="6">
        <f>+'תרחיש הפעלה 3% 20% ללא צמצום פח'!$F$10</f>
        <v>61414.320000000007</v>
      </c>
      <c r="S40" s="7">
        <f>+R40/R42</f>
        <v>0.91272992570119293</v>
      </c>
      <c r="T40" s="6">
        <f>+'מחירי דלקים '!$D$5</f>
        <v>1160.6440793202694</v>
      </c>
    </row>
    <row r="41" spans="1:33" ht="15">
      <c r="B41" s="1" t="s">
        <v>48</v>
      </c>
      <c r="C41" s="6">
        <f>C40</f>
        <v>457.26670150000001</v>
      </c>
      <c r="D41" s="6">
        <f>D40</f>
        <v>11.687051250000001</v>
      </c>
      <c r="E41" s="6">
        <f>E40</f>
        <v>0</v>
      </c>
      <c r="F41" s="6">
        <f>F40</f>
        <v>78095.573385216179</v>
      </c>
      <c r="G41" s="6">
        <f>G39*'מחירי דלקים '!$E$4/1000</f>
        <v>2546.3873599999997</v>
      </c>
      <c r="H41" s="6">
        <f>SUM(C41:G41)</f>
        <v>81110.91449796618</v>
      </c>
      <c r="I41" s="5"/>
      <c r="J41" s="5"/>
      <c r="K41" s="5"/>
      <c r="P41" s="7" t="s">
        <v>209</v>
      </c>
      <c r="R41" s="5">
        <f>+F39-R40</f>
        <v>5872.0899999999965</v>
      </c>
      <c r="S41" s="7">
        <f>+R41/R42</f>
        <v>8.7270074298807093E-2</v>
      </c>
      <c r="T41" s="6">
        <f>+'מחירי דלקים '!$D$7</f>
        <v>1676.4858923515003</v>
      </c>
    </row>
    <row r="42" spans="1:33" ht="15">
      <c r="B42" s="1" t="s">
        <v>51</v>
      </c>
      <c r="C42" s="6">
        <f>C41</f>
        <v>457.26670150000001</v>
      </c>
      <c r="D42" s="6">
        <f>D41</f>
        <v>11.687051250000001</v>
      </c>
      <c r="E42" s="6"/>
      <c r="F42" s="6">
        <f>F39*T42/1000</f>
        <v>81124.642937098746</v>
      </c>
      <c r="G42" s="6">
        <f>G41</f>
        <v>2546.3873599999997</v>
      </c>
      <c r="H42" s="6">
        <f>SUM(C42:G42)</f>
        <v>84139.984049848747</v>
      </c>
      <c r="I42" s="5"/>
      <c r="J42" s="5"/>
      <c r="K42" s="5"/>
      <c r="N42" s="5"/>
      <c r="O42" s="5"/>
      <c r="P42" t="s">
        <v>210</v>
      </c>
      <c r="Q42" s="5"/>
      <c r="R42" s="5">
        <f>SUM(R40:R41)</f>
        <v>67286.41</v>
      </c>
      <c r="S42" s="7">
        <f>SUM(S40:S41)</f>
        <v>1</v>
      </c>
      <c r="T42" s="6">
        <f>+SUMPRODUCT(T40:T41,S40:S41)</f>
        <v>1205.6616326699364</v>
      </c>
    </row>
    <row r="43" spans="1:33" ht="15">
      <c r="B43" s="14" t="s">
        <v>373</v>
      </c>
      <c r="C43" s="28"/>
      <c r="D43" s="28"/>
      <c r="E43" s="28"/>
      <c r="F43" s="28"/>
      <c r="G43" s="28"/>
      <c r="H43" s="28"/>
    </row>
    <row r="44" spans="1:33" ht="15">
      <c r="B44" s="1" t="s">
        <v>279</v>
      </c>
      <c r="H44" s="6">
        <f>+SUMPRODUCT(H32:H38,$A$32:$A$38)+H43</f>
        <v>72914.912045058707</v>
      </c>
      <c r="I44" s="6">
        <f t="shared" ref="I44:J44" si="14">+SUMPRODUCT(I32:I38,$A$32:$A$38)</f>
        <v>70282.708036702417</v>
      </c>
      <c r="J44" s="6">
        <f t="shared" si="14"/>
        <v>71585.397519645339</v>
      </c>
    </row>
    <row r="45" spans="1:33" ht="28.5">
      <c r="F45" s="118" t="s">
        <v>314</v>
      </c>
      <c r="G45" s="119" t="s">
        <v>313</v>
      </c>
      <c r="H45" s="117"/>
    </row>
    <row r="46" spans="1:33" ht="15">
      <c r="B46" s="1"/>
      <c r="C46" s="1"/>
      <c r="D46" s="1"/>
      <c r="E46" s="1"/>
      <c r="F46" s="116">
        <f>F40/'פלט שנתי לאחר תיקון אגירה'!$AS$21*100</f>
        <v>16.0362433451652</v>
      </c>
      <c r="G46" s="116">
        <f>G40/'פלט שנתי לאחר תיקון אגירה'!$AT$21*100</f>
        <v>24.125705348165059</v>
      </c>
      <c r="H46" s="117"/>
      <c r="M46" s="1"/>
      <c r="N46" s="1"/>
      <c r="O46" s="1"/>
      <c r="P46" s="1"/>
      <c r="Q46" s="1"/>
      <c r="R46" s="1"/>
      <c r="T46" s="6"/>
      <c r="U46" s="6"/>
    </row>
    <row r="47" spans="1:33" ht="15">
      <c r="B47" s="1"/>
      <c r="C47" s="3"/>
      <c r="D47" s="3"/>
      <c r="E47" s="3"/>
      <c r="F47" s="116">
        <f>F41/'פלט שנתי לאחר תיקון אגירה'!$AS$21*100</f>
        <v>16.0362433451652</v>
      </c>
      <c r="G47" s="116">
        <f>G41/'פלט שנתי לאחר תיקון אגירה'!$AT$21*100</f>
        <v>15.36409885106573</v>
      </c>
      <c r="H47" s="117"/>
      <c r="M47" s="1"/>
      <c r="N47" s="3"/>
      <c r="O47" s="3"/>
      <c r="P47" s="3"/>
      <c r="Q47" s="3"/>
      <c r="R47" s="3"/>
    </row>
    <row r="48" spans="1:33" ht="15">
      <c r="B48" s="1"/>
      <c r="C48" s="3"/>
      <c r="D48" s="3"/>
      <c r="E48" s="3"/>
      <c r="F48" s="116">
        <f>F42/'פלט שנתי לאחר תיקון אגירה'!$AS$21*100</f>
        <v>16.658236299923566</v>
      </c>
      <c r="G48" s="116">
        <f>G42/'פלט שנתי לאחר תיקון אגירה'!$AT$21*100</f>
        <v>15.36409885106573</v>
      </c>
      <c r="H48" s="117"/>
      <c r="M48" s="1"/>
      <c r="N48" s="3"/>
      <c r="O48" s="3"/>
      <c r="P48" s="3"/>
      <c r="Q48" s="3"/>
      <c r="R48" s="3"/>
    </row>
    <row r="49" spans="2:19" ht="18.75">
      <c r="B49" s="1"/>
      <c r="C49" s="3"/>
      <c r="D49" s="3"/>
      <c r="E49" s="3"/>
      <c r="F49" s="115"/>
      <c r="G49" s="116"/>
      <c r="H49" s="117"/>
      <c r="I49" s="57">
        <v>6.4099999999999997E-4</v>
      </c>
      <c r="J49" s="57"/>
      <c r="K49" s="57"/>
      <c r="M49" s="1"/>
      <c r="N49" s="3"/>
      <c r="O49" s="3">
        <v>641</v>
      </c>
      <c r="P49" s="3"/>
      <c r="Q49" s="3"/>
      <c r="R49" s="3"/>
    </row>
    <row r="50" spans="2:19" ht="15">
      <c r="B50" s="1"/>
      <c r="C50" s="3"/>
      <c r="D50" s="3"/>
      <c r="E50" s="3"/>
      <c r="F50" s="3"/>
      <c r="G50" s="3"/>
      <c r="I50">
        <v>78000000000</v>
      </c>
      <c r="M50" s="1"/>
      <c r="N50" s="3"/>
      <c r="O50" s="58">
        <f>+O49/1000000</f>
        <v>6.4099999999999997E-4</v>
      </c>
      <c r="P50" s="3"/>
      <c r="Q50" s="3"/>
      <c r="R50" s="3"/>
    </row>
    <row r="51" spans="2:19" ht="15">
      <c r="B51" s="1"/>
      <c r="C51" s="3"/>
      <c r="D51" s="3"/>
      <c r="E51" s="3"/>
      <c r="F51" s="3"/>
      <c r="G51" s="3"/>
      <c r="I51" s="6">
        <f>+I50*I49</f>
        <v>49998000</v>
      </c>
      <c r="J51" s="6"/>
      <c r="K51" s="6"/>
      <c r="M51" s="1"/>
      <c r="N51" s="3"/>
      <c r="O51" s="3"/>
      <c r="P51" s="3"/>
      <c r="Q51" s="3"/>
      <c r="R51" s="3"/>
    </row>
    <row r="52" spans="2:19" ht="15">
      <c r="B52" s="1"/>
      <c r="C52" s="3"/>
      <c r="D52" s="3"/>
      <c r="E52" s="3"/>
      <c r="F52" s="3"/>
      <c r="G52" s="3"/>
      <c r="I52">
        <v>189</v>
      </c>
      <c r="M52" s="1"/>
      <c r="N52" s="3"/>
      <c r="O52" s="3"/>
      <c r="P52" s="3"/>
      <c r="Q52" s="3"/>
      <c r="R52" s="3"/>
    </row>
    <row r="53" spans="2:19" ht="15">
      <c r="B53" s="1"/>
      <c r="C53" s="3"/>
      <c r="D53" s="3"/>
      <c r="E53" s="3"/>
      <c r="F53" s="3"/>
      <c r="G53" s="3"/>
      <c r="I53" s="5">
        <f>+I52*I51</f>
        <v>9449622000</v>
      </c>
      <c r="J53" s="5"/>
      <c r="K53" s="5"/>
      <c r="M53" s="1"/>
      <c r="N53" s="3"/>
      <c r="O53" s="3"/>
      <c r="P53" s="3"/>
      <c r="Q53" s="3"/>
      <c r="R53" s="3"/>
    </row>
    <row r="54" spans="2:19" ht="15">
      <c r="B54" s="1"/>
      <c r="C54" s="6"/>
      <c r="D54" s="6"/>
      <c r="E54" s="6"/>
      <c r="F54" s="6"/>
      <c r="G54" s="6"/>
      <c r="N54" s="6"/>
      <c r="O54" s="6"/>
      <c r="P54" s="6"/>
      <c r="Q54" s="6"/>
      <c r="R54" s="6"/>
      <c r="S54" s="7"/>
    </row>
    <row r="55" spans="2:19" ht="15">
      <c r="B55" s="1"/>
      <c r="C55" s="6"/>
      <c r="D55" s="6"/>
      <c r="E55" s="6"/>
      <c r="F55" s="6"/>
      <c r="G55" s="6"/>
      <c r="H55" s="6"/>
      <c r="N55" s="6"/>
      <c r="O55" s="6"/>
      <c r="P55" s="6"/>
      <c r="Q55" s="6"/>
      <c r="R55" s="6"/>
    </row>
    <row r="56" spans="2:19" ht="15">
      <c r="B56" s="1"/>
      <c r="C56" s="6"/>
      <c r="D56" s="6"/>
      <c r="E56" s="6"/>
      <c r="F56" s="6"/>
      <c r="G56" s="6"/>
      <c r="H56" s="6"/>
    </row>
    <row r="57" spans="2:19" ht="15">
      <c r="B57" s="1"/>
      <c r="C57" s="6"/>
      <c r="D57" s="6"/>
      <c r="E57" s="6"/>
      <c r="F57" s="6"/>
      <c r="G57" s="6"/>
      <c r="H57" s="6"/>
    </row>
    <row r="58" spans="2:19">
      <c r="C58" s="5"/>
      <c r="D58" s="5"/>
      <c r="E58" s="5"/>
      <c r="F58" s="5"/>
      <c r="G58" s="5"/>
    </row>
    <row r="59" spans="2:19">
      <c r="C59" s="6"/>
      <c r="G59" s="10"/>
    </row>
    <row r="63" spans="2:19">
      <c r="B63" t="s">
        <v>42</v>
      </c>
    </row>
    <row r="64" spans="2:19" ht="15">
      <c r="B64" s="4" t="s">
        <v>17</v>
      </c>
    </row>
    <row r="65" spans="2:5" ht="15">
      <c r="B65" s="4" t="s">
        <v>21</v>
      </c>
    </row>
    <row r="66" spans="2:5" ht="15">
      <c r="B66" s="4" t="s">
        <v>22</v>
      </c>
    </row>
    <row r="68" spans="2:5" ht="105">
      <c r="C68" s="1" t="s">
        <v>52</v>
      </c>
      <c r="D68" s="1" t="s">
        <v>53</v>
      </c>
      <c r="E68" s="1" t="s">
        <v>51</v>
      </c>
    </row>
    <row r="69" spans="2:5" ht="15">
      <c r="B69" s="1" t="s">
        <v>55</v>
      </c>
      <c r="C69" s="5">
        <f>+H16</f>
        <v>82802.31788599219</v>
      </c>
      <c r="D69" s="5">
        <f>+H17</f>
        <v>82125.970913643934</v>
      </c>
      <c r="E69" s="5">
        <f>+H18</f>
        <v>86129.022026383274</v>
      </c>
    </row>
    <row r="70" spans="2:5" ht="15">
      <c r="B70" s="1" t="s">
        <v>56</v>
      </c>
      <c r="C70" s="5">
        <f>+H40</f>
        <v>82563.029864690732</v>
      </c>
      <c r="D70" s="5">
        <f>+H41</f>
        <v>81110.91449796618</v>
      </c>
      <c r="E70" s="5">
        <f>+H42</f>
        <v>84139.984049848747</v>
      </c>
    </row>
    <row r="71" spans="2:5" ht="15">
      <c r="B71" s="1" t="s">
        <v>57</v>
      </c>
      <c r="C71" s="5">
        <f>+' חלופה 2 20% תמג 3'!C64</f>
        <v>81716.019645806839</v>
      </c>
      <c r="D71" s="5">
        <f>+' חלופה 2 20% תמג 3'!D64</f>
        <v>80569.291627251732</v>
      </c>
      <c r="E71" s="5">
        <f>+' חלופה 2 20% תמג 3'!E64</f>
        <v>83616.280772011203</v>
      </c>
    </row>
  </sheetData>
  <mergeCells count="2">
    <mergeCell ref="B5:B7"/>
    <mergeCell ref="C7:E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5"/>
  <sheetViews>
    <sheetView rightToLeft="1" zoomScale="90" zoomScaleNormal="90" workbookViewId="0">
      <selection activeCell="Q8" sqref="Q8"/>
    </sheetView>
  </sheetViews>
  <sheetFormatPr defaultRowHeight="14.25"/>
  <cols>
    <col min="1" max="1" width="9.25" customWidth="1"/>
    <col min="2" max="2" width="60.25" customWidth="1"/>
    <col min="3" max="3" width="8.25" bestFit="1" customWidth="1"/>
    <col min="4" max="4" width="9.125" bestFit="1" customWidth="1"/>
    <col min="5" max="5" width="7.5" bestFit="1" customWidth="1"/>
    <col min="6" max="6" width="9.625" bestFit="1" customWidth="1"/>
    <col min="7" max="7" width="10.75" bestFit="1" customWidth="1"/>
    <col min="8" max="8" width="13" customWidth="1"/>
    <col min="9" max="9" width="17.875" customWidth="1"/>
    <col min="10" max="10" width="15.75" customWidth="1"/>
    <col min="11" max="11" width="9.125" customWidth="1"/>
    <col min="12" max="12" width="9.125" bestFit="1" customWidth="1"/>
    <col min="13" max="13" width="9.25" customWidth="1"/>
    <col min="14" max="14" width="9.25" bestFit="1" customWidth="1"/>
    <col min="15" max="15" width="10" bestFit="1" customWidth="1"/>
    <col min="16" max="16" width="9.75" bestFit="1" customWidth="1"/>
    <col min="17" max="17" width="10" bestFit="1" customWidth="1"/>
    <col min="18" max="18" width="9.75" bestFit="1" customWidth="1"/>
    <col min="19" max="19" width="9.125" bestFit="1" customWidth="1"/>
    <col min="20" max="20" width="13.625" bestFit="1" customWidth="1"/>
    <col min="21" max="21" width="11.75" bestFit="1" customWidth="1"/>
    <col min="22" max="24" width="9.125" bestFit="1" customWidth="1"/>
    <col min="25" max="25" width="10" bestFit="1" customWidth="1"/>
    <col min="26" max="26" width="9.125" bestFit="1" customWidth="1"/>
    <col min="27" max="27" width="10" bestFit="1" customWidth="1"/>
  </cols>
  <sheetData>
    <row r="1" spans="1:33" ht="15">
      <c r="B1" s="32" t="s">
        <v>193</v>
      </c>
      <c r="H1" t="s">
        <v>278</v>
      </c>
      <c r="I1" s="80">
        <v>3.6999999999999998E-2</v>
      </c>
      <c r="J1" s="80"/>
      <c r="K1" s="80"/>
    </row>
    <row r="2" spans="1:33" ht="15">
      <c r="B2" s="4" t="s">
        <v>195</v>
      </c>
    </row>
    <row r="4" spans="1:33">
      <c r="B4" t="str">
        <f>'פלט שנתי לאחר תיקון אגירה'!Z2</f>
        <v>D:\sal-delek\‏‏2024-2030-Ren20\‏‏‏‏Sen0-‏‏Ren-20 -adv-inv\Base.ucp</v>
      </c>
    </row>
    <row r="5" spans="1:33" ht="45">
      <c r="B5" s="247" t="s">
        <v>18</v>
      </c>
      <c r="C5" s="1" t="s">
        <v>14</v>
      </c>
      <c r="D5" s="1" t="s">
        <v>15</v>
      </c>
      <c r="E5" s="1" t="s">
        <v>5</v>
      </c>
      <c r="F5" s="1" t="s">
        <v>2</v>
      </c>
      <c r="G5" s="1" t="s">
        <v>0</v>
      </c>
      <c r="H5" s="1" t="s">
        <v>215</v>
      </c>
      <c r="I5" s="1" t="s">
        <v>48</v>
      </c>
      <c r="J5" s="1" t="s">
        <v>47</v>
      </c>
      <c r="L5" s="1" t="s">
        <v>213</v>
      </c>
      <c r="M5" s="1" t="s">
        <v>214</v>
      </c>
      <c r="N5" s="1" t="s">
        <v>210</v>
      </c>
      <c r="Q5" s="1" t="s">
        <v>14</v>
      </c>
      <c r="R5" s="1" t="s">
        <v>15</v>
      </c>
      <c r="S5" s="1" t="s">
        <v>5</v>
      </c>
      <c r="T5" s="1" t="s">
        <v>2</v>
      </c>
      <c r="U5" s="1" t="s">
        <v>0</v>
      </c>
      <c r="W5" s="1" t="s">
        <v>14</v>
      </c>
      <c r="X5" s="1" t="s">
        <v>15</v>
      </c>
      <c r="Y5" s="1" t="s">
        <v>5</v>
      </c>
      <c r="Z5" s="1" t="s">
        <v>2</v>
      </c>
      <c r="AA5" s="1" t="s">
        <v>0</v>
      </c>
      <c r="AC5" s="1" t="s">
        <v>14</v>
      </c>
      <c r="AD5" s="1" t="s">
        <v>15</v>
      </c>
      <c r="AE5" s="1" t="s">
        <v>5</v>
      </c>
      <c r="AF5" s="1" t="s">
        <v>2</v>
      </c>
      <c r="AG5" s="1" t="s">
        <v>0</v>
      </c>
    </row>
    <row r="6" spans="1:33" ht="15" customHeight="1">
      <c r="B6" s="247"/>
      <c r="C6" s="1" t="s">
        <v>1</v>
      </c>
      <c r="D6" s="1" t="s">
        <v>1</v>
      </c>
      <c r="E6" s="1" t="s">
        <v>1</v>
      </c>
      <c r="F6" s="1" t="s">
        <v>3</v>
      </c>
      <c r="G6" s="1" t="s">
        <v>1</v>
      </c>
    </row>
    <row r="7" spans="1:33" ht="15" customHeight="1">
      <c r="B7" s="247"/>
      <c r="C7" s="247" t="s">
        <v>1</v>
      </c>
      <c r="D7" s="247"/>
      <c r="E7" s="247"/>
      <c r="F7" s="1" t="s">
        <v>1</v>
      </c>
      <c r="G7" s="1" t="s">
        <v>1</v>
      </c>
    </row>
    <row r="8" spans="1:33" ht="15" customHeight="1">
      <c r="A8">
        <f>1/(1+$I$1)^(B8-2023)</f>
        <v>0.96432015429122475</v>
      </c>
      <c r="B8" s="1">
        <v>2024</v>
      </c>
      <c r="C8" s="3">
        <f>'פלט שנתי לאחר תיקון אגירה'!W21</f>
        <v>4.7</v>
      </c>
      <c r="D8" s="3">
        <f>'פלט שנתי לאחר תיקון אגירה'!X21</f>
        <v>0</v>
      </c>
      <c r="E8" s="3">
        <v>0</v>
      </c>
      <c r="F8" s="3">
        <f>'פלט שנתי לאחר תיקון אגירה'!AA21</f>
        <v>8990.7000000000007</v>
      </c>
      <c r="G8" s="3">
        <f>'פלט שנתי לאחר תיקון אגירה'!AB21</f>
        <v>2102.37</v>
      </c>
      <c r="H8" s="6">
        <f>+SUMPRODUCT(C8:G8,Q8:U8)/1000</f>
        <v>11739.87649027483</v>
      </c>
      <c r="I8" s="6">
        <f>+SUMPRODUCT(C8:G8,W8:AA8)/1000</f>
        <v>11331.355566444745</v>
      </c>
      <c r="J8" s="6">
        <f>+SUMPRODUCT(C8:G8,AC8:AG8)/1000</f>
        <v>11819.311059555999</v>
      </c>
      <c r="L8" s="6">
        <f>+'תרחיש הפעלה 3% 20% ללא צמצום פח'!F3</f>
        <v>8198.75</v>
      </c>
      <c r="M8" s="5">
        <f>+F8-L8</f>
        <v>791.95000000000073</v>
      </c>
      <c r="N8" s="10">
        <f>+('מחירי דלקים '!$D$5*L8+'מחירי דלקים '!$D$7*M8)/SUM(L8:M8)</f>
        <v>1206.0822458512496</v>
      </c>
      <c r="Q8" s="8">
        <f>+'מחירי דלקים '!$D$6</f>
        <v>8657.0750000000007</v>
      </c>
      <c r="R8" s="8">
        <f>+'מחירי דלקים '!$D$6</f>
        <v>8657.0750000000007</v>
      </c>
      <c r="S8">
        <v>0</v>
      </c>
      <c r="T8" s="10">
        <f>+N8</f>
        <v>1206.0822458512496</v>
      </c>
      <c r="U8">
        <f>+'מחירי דלקים '!$E$4</f>
        <v>407</v>
      </c>
      <c r="W8" s="8">
        <f>+'מחירי דלקים '!$D$6</f>
        <v>8657.0750000000007</v>
      </c>
      <c r="X8" s="8">
        <f>+'מחירי דלקים '!$D$6</f>
        <v>8657.0750000000007</v>
      </c>
      <c r="Y8">
        <v>0</v>
      </c>
      <c r="Z8" s="10">
        <f>+('מחירי דלקים '!$D$5)</f>
        <v>1160.6440793202694</v>
      </c>
      <c r="AA8">
        <f>+'מחירי דלקים '!$E$4</f>
        <v>407</v>
      </c>
      <c r="AC8" s="8">
        <f>+'מחירי דלקים '!$D$6</f>
        <v>8657.0750000000007</v>
      </c>
      <c r="AD8" s="8">
        <f>+'מחירי דלקים '!$D$6</f>
        <v>8657.0750000000007</v>
      </c>
      <c r="AE8">
        <v>0</v>
      </c>
      <c r="AF8" s="10">
        <f>+('מחירי דלקים '!$D$5)</f>
        <v>1160.6440793202694</v>
      </c>
      <c r="AG8">
        <f>+'מחירי דלקים '!$D$4</f>
        <v>639.0978196565087</v>
      </c>
    </row>
    <row r="9" spans="1:33" ht="15" customHeight="1">
      <c r="A9">
        <f t="shared" ref="A9:A14" si="0">1/(1+$I$1)^(B9-2023)</f>
        <v>0.92991335997225155</v>
      </c>
      <c r="B9" s="1">
        <v>2025</v>
      </c>
      <c r="C9" s="3">
        <f>'פלט שנתי לאחר תיקון אגירה'!W22</f>
        <v>15.92</v>
      </c>
      <c r="D9" s="3">
        <f>'פלט שנתי לאחר תיקון אגירה'!X22</f>
        <v>0.42</v>
      </c>
      <c r="E9" s="3">
        <v>0</v>
      </c>
      <c r="F9" s="3">
        <f>'פלט שנתי לאחר תיקון אגירה'!AA22</f>
        <v>9600.64</v>
      </c>
      <c r="G9" s="3">
        <f>'פלט שנתי לאחר תיקון אגירה'!AB22</f>
        <v>647.65</v>
      </c>
      <c r="H9" s="6">
        <f t="shared" ref="H9:H14" si="1">+SUMPRODUCT(C9:G9,Q9:U9)/1000</f>
        <v>12091.652766447747</v>
      </c>
      <c r="I9" s="6">
        <f t="shared" ref="I9:I14" si="2">+SUMPRODUCT(C9:G9,W9:AA9)/1000</f>
        <v>11547.97612918535</v>
      </c>
      <c r="J9" s="6">
        <f t="shared" ref="J9:J14" si="3">+SUMPRODUCT(C9:G9,AC9:AG9)/1000</f>
        <v>11698.294282085888</v>
      </c>
      <c r="L9" s="6">
        <f>+'תרחיש הפעלה 3% 20% ללא צמצום פח'!F4</f>
        <v>8546.68</v>
      </c>
      <c r="M9" s="5">
        <f t="shared" ref="M9:M14" si="4">+F9-L9</f>
        <v>1053.9599999999991</v>
      </c>
      <c r="N9" s="10">
        <f>+('מחירי דלקים '!$D$5*L9+'מחירי דלקים '!$D$7*M9)/SUM(L9:M9)</f>
        <v>1217.2732870879179</v>
      </c>
      <c r="Q9" s="8">
        <f>+'מחירי דלקים '!$D$6</f>
        <v>8657.0750000000007</v>
      </c>
      <c r="R9" s="8">
        <f>+'מחירי דלקים '!$D$6</f>
        <v>8657.0750000000007</v>
      </c>
      <c r="S9">
        <v>0</v>
      </c>
      <c r="T9" s="10">
        <f t="shared" ref="T9:T14" si="5">+N9</f>
        <v>1217.2732870879179</v>
      </c>
      <c r="U9">
        <f>+'מחירי דלקים '!$E$4</f>
        <v>407</v>
      </c>
      <c r="W9" s="8">
        <f>+'מחירי דלקים '!$D$6</f>
        <v>8657.0750000000007</v>
      </c>
      <c r="X9" s="8">
        <f>+'מחירי דלקים '!$D$6</f>
        <v>8657.0750000000007</v>
      </c>
      <c r="Y9">
        <v>0</v>
      </c>
      <c r="Z9" s="10">
        <f>+('מחירי דלקים '!$D$5)</f>
        <v>1160.6440793202694</v>
      </c>
      <c r="AA9">
        <f>+'מחירי דלקים '!$E$4</f>
        <v>407</v>
      </c>
      <c r="AC9" s="8">
        <f>+'מחירי דלקים '!$D$6</f>
        <v>8657.0750000000007</v>
      </c>
      <c r="AD9" s="8">
        <f>+'מחירי דלקים '!$D$6</f>
        <v>8657.0750000000007</v>
      </c>
      <c r="AE9">
        <v>0</v>
      </c>
      <c r="AF9" s="10">
        <f>+('מחירי דלקים '!$D$5)</f>
        <v>1160.6440793202694</v>
      </c>
      <c r="AG9">
        <f>+'מחירי דלקים '!$D$4</f>
        <v>639.0978196565087</v>
      </c>
    </row>
    <row r="10" spans="1:33" ht="15">
      <c r="A10">
        <f t="shared" si="0"/>
        <v>0.89673419476591276</v>
      </c>
      <c r="B10" s="1">
        <v>2026</v>
      </c>
      <c r="C10" s="3">
        <f>'פלט שנתי לאחר תיקון אגירה'!W23</f>
        <v>19.12</v>
      </c>
      <c r="D10" s="3">
        <f>'פלט שנתי לאחר תיקון אגירה'!X23</f>
        <v>0.76</v>
      </c>
      <c r="E10" s="3">
        <v>0</v>
      </c>
      <c r="F10" s="3">
        <f>'פלט שנתי לאחר תיקון אגירה'!AA23</f>
        <v>10024.68</v>
      </c>
      <c r="G10" s="3">
        <f>'פלט שנתי לאחר תיקון אגירה'!AB23</f>
        <v>160.62</v>
      </c>
      <c r="H10" s="6">
        <f t="shared" si="1"/>
        <v>12517.87858818239</v>
      </c>
      <c r="I10" s="6">
        <f t="shared" si="2"/>
        <v>11872.560480080319</v>
      </c>
      <c r="J10" s="6">
        <f t="shared" si="3"/>
        <v>11909.840031873548</v>
      </c>
      <c r="L10" s="6">
        <f>+'תרחיש הפעלה 3% 20% ללא צמצום פח'!F5</f>
        <v>8773.68</v>
      </c>
      <c r="M10" s="5">
        <f t="shared" si="4"/>
        <v>1251</v>
      </c>
      <c r="N10" s="10">
        <f>+('מחירי דלקים '!$D$5*L10+'מחירי דלקים '!$D$7*M10)/SUM(L10:M10)</f>
        <v>1225.0170177185096</v>
      </c>
      <c r="Q10" s="8">
        <f>+'מחירי דלקים '!$D$6</f>
        <v>8657.0750000000007</v>
      </c>
      <c r="R10" s="8">
        <f>+'מחירי דלקים '!$D$6</f>
        <v>8657.0750000000007</v>
      </c>
      <c r="S10">
        <v>0</v>
      </c>
      <c r="T10" s="10">
        <f t="shared" si="5"/>
        <v>1225.0170177185096</v>
      </c>
      <c r="U10">
        <f>+'מחירי דלקים '!$E$4</f>
        <v>407</v>
      </c>
      <c r="W10" s="8">
        <f>+'מחירי דלקים '!$D$6</f>
        <v>8657.0750000000007</v>
      </c>
      <c r="X10" s="8">
        <f>+'מחירי דלקים '!$D$6</f>
        <v>8657.0750000000007</v>
      </c>
      <c r="Y10">
        <v>0</v>
      </c>
      <c r="Z10" s="10">
        <f>+('מחירי דלקים '!$D$5)</f>
        <v>1160.6440793202694</v>
      </c>
      <c r="AA10">
        <f>+'מחירי דלקים '!$E$4</f>
        <v>407</v>
      </c>
      <c r="AC10" s="8">
        <f>+'מחירי דלקים '!$D$6</f>
        <v>8657.0750000000007</v>
      </c>
      <c r="AD10" s="8">
        <f>+'מחירי דלקים '!$D$6</f>
        <v>8657.0750000000007</v>
      </c>
      <c r="AE10">
        <v>0</v>
      </c>
      <c r="AF10" s="10">
        <f>+('מחירי דלקים '!$D$5)</f>
        <v>1160.6440793202694</v>
      </c>
      <c r="AG10">
        <f>+'מחירי דלקים '!$D$4</f>
        <v>639.0978196565087</v>
      </c>
    </row>
    <row r="11" spans="1:33" ht="15">
      <c r="A11">
        <f t="shared" si="0"/>
        <v>0.86473885705488229</v>
      </c>
      <c r="B11" s="1">
        <v>2027</v>
      </c>
      <c r="C11" s="3">
        <f>'פלט שנתי לאחר תיקון אגירה'!W24</f>
        <v>16.2</v>
      </c>
      <c r="D11" s="3">
        <f>'פלט שנתי לאחר תיקון אגירה'!X24</f>
        <v>0.38</v>
      </c>
      <c r="E11" s="3">
        <v>0</v>
      </c>
      <c r="F11" s="3">
        <f>'פלט שנתי לאחר תיקון אגירה'!AA24</f>
        <v>10182.959999999999</v>
      </c>
      <c r="G11" s="3">
        <f>'פלט שנתי לאחר תיקון אגירה'!AB24</f>
        <v>0</v>
      </c>
      <c r="H11" s="6">
        <f t="shared" si="1"/>
        <v>12655.019557665986</v>
      </c>
      <c r="I11" s="6">
        <f t="shared" si="2"/>
        <v>11962.32653745513</v>
      </c>
      <c r="J11" s="6">
        <f t="shared" si="3"/>
        <v>11962.32653745513</v>
      </c>
      <c r="L11" s="6">
        <f>+'תרחיש הפעלה 3% 20% ללא צמצום פח'!F6</f>
        <v>8840.1200000000008</v>
      </c>
      <c r="M11" s="5">
        <f t="shared" si="4"/>
        <v>1342.8399999999983</v>
      </c>
      <c r="N11" s="10">
        <f>+('מחירי דלקים '!$D$5*L11+'מחירי דלקים '!$D$7*M11)/SUM(L11:M11)</f>
        <v>1228.6688010329008</v>
      </c>
      <c r="Q11" s="8">
        <f>+'מחירי דלקים '!$D$6</f>
        <v>8657.0750000000007</v>
      </c>
      <c r="R11" s="8">
        <f>+'מחירי דלקים '!$D$6</f>
        <v>8657.0750000000007</v>
      </c>
      <c r="S11">
        <v>0</v>
      </c>
      <c r="T11" s="10">
        <f t="shared" si="5"/>
        <v>1228.6688010329008</v>
      </c>
      <c r="U11">
        <f>+'מחירי דלקים '!$E$4</f>
        <v>407</v>
      </c>
      <c r="W11" s="8">
        <f>+'מחירי דלקים '!$D$6</f>
        <v>8657.0750000000007</v>
      </c>
      <c r="X11" s="8">
        <f>+'מחירי דלקים '!$D$6</f>
        <v>8657.0750000000007</v>
      </c>
      <c r="Y11">
        <v>0</v>
      </c>
      <c r="Z11" s="10">
        <f>+('מחירי דלקים '!$D$5)</f>
        <v>1160.6440793202694</v>
      </c>
      <c r="AA11">
        <f>+'מחירי דלקים '!$E$4</f>
        <v>407</v>
      </c>
      <c r="AC11" s="8">
        <f>+'מחירי דלקים '!$D$6</f>
        <v>8657.0750000000007</v>
      </c>
      <c r="AD11" s="8">
        <f>+'מחירי דלקים '!$D$6</f>
        <v>8657.0750000000007</v>
      </c>
      <c r="AE11">
        <v>0</v>
      </c>
      <c r="AF11" s="10">
        <f>+('מחירי דלקים '!$D$5)</f>
        <v>1160.6440793202694</v>
      </c>
      <c r="AG11">
        <f>+'מחירי דלקים '!$D$4</f>
        <v>639.0978196565087</v>
      </c>
    </row>
    <row r="12" spans="1:33" ht="15">
      <c r="A12">
        <f t="shared" si="0"/>
        <v>0.8338851080567814</v>
      </c>
      <c r="B12" s="1">
        <v>2028</v>
      </c>
      <c r="C12" s="3">
        <f>'פלט שנתי לאחר תיקון אגירה'!W25</f>
        <v>11.9</v>
      </c>
      <c r="D12" s="3">
        <f>'פלט שנתי לאחר תיקון אגירה'!X25</f>
        <v>0.23</v>
      </c>
      <c r="E12" s="3">
        <v>0</v>
      </c>
      <c r="F12" s="3">
        <f>'פלט שנתי לאחר תיקון אגירה'!AA25</f>
        <v>10200.1</v>
      </c>
      <c r="G12" s="3">
        <f>'פלט שנתי לאחר תיקון אגירה'!AB25</f>
        <v>0</v>
      </c>
      <c r="H12" s="6">
        <f t="shared" si="1"/>
        <v>12563.577941526179</v>
      </c>
      <c r="I12" s="6">
        <f t="shared" si="2"/>
        <v>11943.695993224681</v>
      </c>
      <c r="J12" s="6">
        <f t="shared" si="3"/>
        <v>11943.695993224681</v>
      </c>
      <c r="L12" s="6">
        <f>+'תרחיש הפעלה 3% 20% ללא צמצום פח'!F7</f>
        <v>8998.41</v>
      </c>
      <c r="M12" s="5">
        <f t="shared" si="4"/>
        <v>1201.6900000000005</v>
      </c>
      <c r="N12" s="10">
        <f>+('מחירי דלקים '!$D$5*L12+'מחירי דלקים '!$D$7*M12)/SUM(L12:M12)</f>
        <v>1221.4162235444926</v>
      </c>
      <c r="Q12" s="8">
        <f>+'מחירי דלקים '!$D$6</f>
        <v>8657.0750000000007</v>
      </c>
      <c r="R12" s="8">
        <f>+'מחירי דלקים '!$D$6</f>
        <v>8657.0750000000007</v>
      </c>
      <c r="S12">
        <v>0</v>
      </c>
      <c r="T12" s="10">
        <f t="shared" si="5"/>
        <v>1221.4162235444926</v>
      </c>
      <c r="U12">
        <f>+'מחירי דלקים '!$E$4</f>
        <v>407</v>
      </c>
      <c r="W12" s="8">
        <f>+'מחירי דלקים '!$D$6</f>
        <v>8657.0750000000007</v>
      </c>
      <c r="X12" s="8">
        <f>+'מחירי דלקים '!$D$6</f>
        <v>8657.0750000000007</v>
      </c>
      <c r="Y12">
        <v>0</v>
      </c>
      <c r="Z12" s="10">
        <f>+('מחירי דלקים '!$D$5)</f>
        <v>1160.6440793202694</v>
      </c>
      <c r="AA12">
        <f>+'מחירי דלקים '!$E$4</f>
        <v>407</v>
      </c>
      <c r="AC12" s="8">
        <f>+'מחירי דלקים '!$D$6</f>
        <v>8657.0750000000007</v>
      </c>
      <c r="AD12" s="8">
        <f>+'מחירי דלקים '!$D$6</f>
        <v>8657.0750000000007</v>
      </c>
      <c r="AE12">
        <v>0</v>
      </c>
      <c r="AF12" s="10">
        <f>+('מחירי דלקים '!$D$5)</f>
        <v>1160.6440793202694</v>
      </c>
      <c r="AG12">
        <f>+'מחירי דלקים '!$D$4</f>
        <v>639.0978196565087</v>
      </c>
    </row>
    <row r="13" spans="1:33" ht="15">
      <c r="A13">
        <f t="shared" si="0"/>
        <v>0.8041322160624701</v>
      </c>
      <c r="B13" s="1">
        <v>2029</v>
      </c>
      <c r="C13" s="33">
        <f>'פלט שנתי לאחר תיקון אגירה'!W26</f>
        <v>9.68</v>
      </c>
      <c r="D13" s="33">
        <f>'פלט שנתי לאחר תיקון אגירה'!X26</f>
        <v>0.42</v>
      </c>
      <c r="E13" s="33">
        <v>0</v>
      </c>
      <c r="F13" s="33">
        <f>'פלט שנתי לאחר תיקון אגירה'!AA26</f>
        <v>9914.89</v>
      </c>
      <c r="G13" s="33">
        <f>'פלט שנתי לאחר תיקון אגירה'!AB26</f>
        <v>0</v>
      </c>
      <c r="H13" s="6">
        <f t="shared" si="1"/>
        <v>12092.170320984898</v>
      </c>
      <c r="I13" s="6">
        <f t="shared" si="2"/>
        <v>11595.094833111745</v>
      </c>
      <c r="J13" s="6">
        <f t="shared" si="3"/>
        <v>11595.094833111745</v>
      </c>
      <c r="L13" s="6">
        <f>+'תרחיש הפעלה 3% 20% ללא צמצום פח'!F8</f>
        <v>8951.27</v>
      </c>
      <c r="M13" s="5">
        <f t="shared" si="4"/>
        <v>963.61999999999898</v>
      </c>
      <c r="N13" s="10">
        <f>+('מחירי דלקים '!$D$5*L13+'מחירי דלקים '!$D$7*M13)/SUM(L13:M13)</f>
        <v>1210.7783206354179</v>
      </c>
      <c r="Q13" s="8">
        <f>+'מחירי דלקים '!$D$6</f>
        <v>8657.0750000000007</v>
      </c>
      <c r="R13" s="8">
        <f>+'מחירי דלקים '!$D$6</f>
        <v>8657.0750000000007</v>
      </c>
      <c r="S13">
        <v>0</v>
      </c>
      <c r="T13" s="10">
        <f t="shared" si="5"/>
        <v>1210.7783206354179</v>
      </c>
      <c r="U13">
        <f>+'מחירי דלקים '!$E$4</f>
        <v>407</v>
      </c>
      <c r="W13" s="8">
        <f>+'מחירי דלקים '!$D$6</f>
        <v>8657.0750000000007</v>
      </c>
      <c r="X13" s="8">
        <f>+'מחירי דלקים '!$D$6</f>
        <v>8657.0750000000007</v>
      </c>
      <c r="Y13">
        <v>0</v>
      </c>
      <c r="Z13" s="10">
        <f>+('מחירי דלקים '!$D$5)</f>
        <v>1160.6440793202694</v>
      </c>
      <c r="AA13">
        <f>+'מחירי דלקים '!$E$4</f>
        <v>407</v>
      </c>
      <c r="AC13" s="8">
        <f>+'מחירי דלקים '!$D$6</f>
        <v>8657.0750000000007</v>
      </c>
      <c r="AD13" s="8">
        <f>+'מחירי דלקים '!$D$6</f>
        <v>8657.0750000000007</v>
      </c>
      <c r="AE13">
        <v>0</v>
      </c>
      <c r="AF13" s="10">
        <f>+('מחירי דלקים '!$D$5)</f>
        <v>1160.6440793202694</v>
      </c>
      <c r="AG13">
        <f>+'מחירי דלקים '!$D$4</f>
        <v>639.0978196565087</v>
      </c>
    </row>
    <row r="14" spans="1:33" ht="15">
      <c r="A14">
        <f t="shared" si="0"/>
        <v>0.77544090266390553</v>
      </c>
      <c r="B14" s="29">
        <v>2030</v>
      </c>
      <c r="C14" s="30">
        <f>'פלט שנתי לאחר תיקון אגירה'!W27</f>
        <v>2.0499999999999998</v>
      </c>
      <c r="D14" s="30">
        <f>'פלט שנתי לאחר תיקון אגירה'!X27</f>
        <v>0.11</v>
      </c>
      <c r="E14" s="30">
        <v>0</v>
      </c>
      <c r="F14" s="30">
        <f>'פלט שנתי לאחר תיקון אגירה'!AA27</f>
        <v>9981.69</v>
      </c>
      <c r="G14" s="30">
        <f>'פלט שנתי לאחר תיקון אגירה'!AB27</f>
        <v>0</v>
      </c>
      <c r="H14" s="6">
        <f t="shared" si="1"/>
        <v>12055.910546033347</v>
      </c>
      <c r="I14" s="6">
        <f t="shared" si="2"/>
        <v>11603.888682110339</v>
      </c>
      <c r="J14" s="6">
        <f t="shared" si="3"/>
        <v>11603.888682110339</v>
      </c>
      <c r="L14" s="6">
        <f>+'תרחיש הפעלה 3% 20% ללא צמצום פח'!F9</f>
        <v>9105.41</v>
      </c>
      <c r="M14" s="5">
        <f t="shared" si="4"/>
        <v>876.28000000000065</v>
      </c>
      <c r="N14" s="10">
        <f>+('מחירי דלקים '!$D$5*L14+'מחירי דלקים '!$D$7*M14)/SUM(L14:M14)</f>
        <v>1205.9291827369259</v>
      </c>
      <c r="Q14" s="8">
        <f>+'מחירי דלקים '!$D$6</f>
        <v>8657.0750000000007</v>
      </c>
      <c r="R14" s="8">
        <f>+'מחירי דלקים '!$D$6</f>
        <v>8657.0750000000007</v>
      </c>
      <c r="S14">
        <v>0</v>
      </c>
      <c r="T14" s="10">
        <f t="shared" si="5"/>
        <v>1205.9291827369259</v>
      </c>
      <c r="U14">
        <f>+'מחירי דלקים '!$E$4</f>
        <v>407</v>
      </c>
      <c r="W14" s="8">
        <f>+'מחירי דלקים '!$D$6</f>
        <v>8657.0750000000007</v>
      </c>
      <c r="X14" s="8">
        <f>+'מחירי דלקים '!$D$6</f>
        <v>8657.0750000000007</v>
      </c>
      <c r="Y14">
        <v>0</v>
      </c>
      <c r="Z14" s="10">
        <f>+('מחירי דלקים '!$D$5)</f>
        <v>1160.6440793202694</v>
      </c>
      <c r="AA14">
        <f>+'מחירי דלקים '!$E$4</f>
        <v>407</v>
      </c>
      <c r="AC14" s="8">
        <f>+'מחירי דלקים '!$D$6</f>
        <v>8657.0750000000007</v>
      </c>
      <c r="AD14" s="8">
        <f>+'מחירי דלקים '!$D$6</f>
        <v>8657.0750000000007</v>
      </c>
      <c r="AE14">
        <v>0</v>
      </c>
      <c r="AF14" s="10">
        <f>+('מחירי דלקים '!$D$5)</f>
        <v>1160.6440793202694</v>
      </c>
      <c r="AG14">
        <f>+'מחירי דלקים '!$D$4</f>
        <v>639.0978196565087</v>
      </c>
    </row>
    <row r="15" spans="1:33" ht="15">
      <c r="B15" s="1" t="s">
        <v>46</v>
      </c>
      <c r="C15" s="5">
        <f>SUM(C8:C14)</f>
        <v>79.570000000000007</v>
      </c>
      <c r="D15" s="5">
        <f>SUM(D8:D14)</f>
        <v>2.3199999999999998</v>
      </c>
      <c r="E15" s="5">
        <f>SUM(E8:E14)</f>
        <v>0</v>
      </c>
      <c r="F15" s="5">
        <f>SUM(F8:F14)</f>
        <v>68895.659999999989</v>
      </c>
      <c r="G15" s="5">
        <f>SUM(G8:G14)</f>
        <v>2910.64</v>
      </c>
      <c r="R15" t="s">
        <v>211</v>
      </c>
      <c r="S15" t="s">
        <v>212</v>
      </c>
      <c r="T15" t="s">
        <v>208</v>
      </c>
    </row>
    <row r="16" spans="1:33" ht="15">
      <c r="B16" s="1" t="s">
        <v>47</v>
      </c>
      <c r="C16" s="6">
        <f>C15*'מחירי דלקים '!$D$6/1000</f>
        <v>688.8434577500002</v>
      </c>
      <c r="D16" s="6">
        <f>D15*'מחירי דלקים '!$D$6/1000</f>
        <v>20.084414000000002</v>
      </c>
      <c r="E16" s="6"/>
      <c r="F16" s="6">
        <f>F15*'מחירי דלקים '!$D$5/1000</f>
        <v>79963.339869862306</v>
      </c>
      <c r="G16" s="6">
        <f>G15*'מחירי דלקים '!$D$4/1000</f>
        <v>1860.1836778050206</v>
      </c>
      <c r="H16" s="36">
        <f>SUM(C16:G16)</f>
        <v>82532.451419417324</v>
      </c>
      <c r="P16" t="s">
        <v>207</v>
      </c>
      <c r="R16" s="6">
        <f>+'תרחיש הפעלה 3% 20% ללא צמצום פח'!$F$10</f>
        <v>61414.320000000007</v>
      </c>
      <c r="S16" s="7">
        <f>+R16/R18</f>
        <v>0.89141057651526989</v>
      </c>
      <c r="T16" s="6">
        <f>+'מחירי דלקים '!$D$5</f>
        <v>1160.6440793202694</v>
      </c>
    </row>
    <row r="17" spans="1:33" ht="15">
      <c r="B17" s="1" t="s">
        <v>48</v>
      </c>
      <c r="C17" s="6">
        <f>C16</f>
        <v>688.8434577500002</v>
      </c>
      <c r="D17" s="6">
        <f>D16</f>
        <v>20.084414000000002</v>
      </c>
      <c r="E17" s="6">
        <f>E16</f>
        <v>0</v>
      </c>
      <c r="F17" s="6">
        <f>F16</f>
        <v>79963.339869862306</v>
      </c>
      <c r="G17" s="6">
        <f>G15*'מחירי דלקים '!$E$4/1000</f>
        <v>1184.63048</v>
      </c>
      <c r="H17" s="36">
        <f>SUM(C17:G17)</f>
        <v>81856.898221612311</v>
      </c>
      <c r="P17" s="7" t="s">
        <v>209</v>
      </c>
      <c r="R17" s="5">
        <f>+F15-R16</f>
        <v>7481.339999999982</v>
      </c>
      <c r="S17" s="7">
        <f>+R17/R18</f>
        <v>0.10858942348473015</v>
      </c>
      <c r="T17" s="6">
        <f>+'מחירי דלקים '!$D$7</f>
        <v>1676.4858923515003</v>
      </c>
    </row>
    <row r="18" spans="1:33" ht="15">
      <c r="B18" s="1" t="s">
        <v>51</v>
      </c>
      <c r="C18" s="6">
        <f>C17</f>
        <v>688.8434577500002</v>
      </c>
      <c r="D18" s="6">
        <f>D17</f>
        <v>20.084414000000002</v>
      </c>
      <c r="E18" s="6">
        <f>E17</f>
        <v>0</v>
      </c>
      <c r="F18" s="6">
        <f>F15*T18/1000</f>
        <v>83822.527859365364</v>
      </c>
      <c r="G18" s="6">
        <f>G17</f>
        <v>1184.63048</v>
      </c>
      <c r="H18" s="36">
        <f>SUM(C18:G18)</f>
        <v>85716.086211115369</v>
      </c>
      <c r="P18" t="s">
        <v>210</v>
      </c>
      <c r="Q18" s="5"/>
      <c r="R18" s="5">
        <f>SUM(R16:R17)</f>
        <v>68895.659999999989</v>
      </c>
      <c r="S18" s="7">
        <f>SUM(S16:S17)</f>
        <v>1</v>
      </c>
      <c r="T18" s="6">
        <f>+SUMPRODUCT(T16:T17,S16:S17)</f>
        <v>1216.6590444066487</v>
      </c>
    </row>
    <row r="19" spans="1:33" ht="15">
      <c r="B19" s="1"/>
      <c r="C19" s="6"/>
      <c r="D19" s="6"/>
      <c r="E19" s="6"/>
      <c r="F19" s="6"/>
      <c r="G19" s="6"/>
      <c r="H19" s="6"/>
    </row>
    <row r="20" spans="1:33" ht="15">
      <c r="B20" s="1" t="s">
        <v>279</v>
      </c>
      <c r="H20" s="6">
        <f>+SUMPRODUCT(H8:H14,A8:A14)</f>
        <v>74282.616307200573</v>
      </c>
      <c r="I20" s="6">
        <f t="shared" ref="I20:J20" si="6">+SUMPRODUCT(I8:I14,$A$8:$A$14)</f>
        <v>70938.280812542769</v>
      </c>
      <c r="J20" s="6">
        <f t="shared" si="6"/>
        <v>71582.038836434149</v>
      </c>
    </row>
    <row r="21" spans="1:33" ht="15">
      <c r="B21" s="1"/>
      <c r="C21" s="6"/>
      <c r="D21" s="6"/>
      <c r="E21" s="6"/>
      <c r="F21" s="6"/>
      <c r="G21" s="6"/>
      <c r="H21" s="6"/>
    </row>
    <row r="22" spans="1:33" ht="15">
      <c r="B22" s="4" t="s">
        <v>188</v>
      </c>
    </row>
    <row r="23" spans="1:33" ht="45">
      <c r="H23" s="1" t="s">
        <v>215</v>
      </c>
      <c r="I23" s="1" t="s">
        <v>48</v>
      </c>
      <c r="J23" s="1" t="s">
        <v>47</v>
      </c>
      <c r="L23" s="1" t="s">
        <v>213</v>
      </c>
      <c r="M23" s="1" t="s">
        <v>214</v>
      </c>
      <c r="N23" s="1" t="s">
        <v>210</v>
      </c>
      <c r="Q23" s="1" t="s">
        <v>14</v>
      </c>
      <c r="R23" s="1" t="s">
        <v>15</v>
      </c>
      <c r="S23" s="1" t="s">
        <v>5</v>
      </c>
      <c r="T23" s="1" t="s">
        <v>2</v>
      </c>
      <c r="U23" s="1" t="s">
        <v>0</v>
      </c>
      <c r="W23" s="1" t="s">
        <v>14</v>
      </c>
      <c r="X23" s="1" t="s">
        <v>15</v>
      </c>
      <c r="Y23" s="1" t="s">
        <v>5</v>
      </c>
      <c r="Z23" s="1" t="s">
        <v>2</v>
      </c>
      <c r="AA23" s="1" t="s">
        <v>0</v>
      </c>
      <c r="AC23" s="1" t="s">
        <v>14</v>
      </c>
      <c r="AD23" s="1" t="s">
        <v>15</v>
      </c>
      <c r="AE23" s="1" t="s">
        <v>5</v>
      </c>
      <c r="AF23" s="1" t="s">
        <v>2</v>
      </c>
      <c r="AG23" s="1" t="s">
        <v>0</v>
      </c>
    </row>
    <row r="24" spans="1:33">
      <c r="B24" t="str">
        <f>'פלט שנתי לאחר תיקון אגירה'!AG2</f>
        <v>D:\sal-delek\‏‏2024-2030-Ren20\‏‏‏‏‏‏Sen1-‏‏Ren-20 - adv-inv\Base1.ucp</v>
      </c>
    </row>
    <row r="25" spans="1:33" ht="30">
      <c r="B25" s="1" t="s">
        <v>18</v>
      </c>
      <c r="C25" s="1" t="s">
        <v>14</v>
      </c>
      <c r="D25" s="1" t="s">
        <v>15</v>
      </c>
      <c r="E25" s="1" t="s">
        <v>5</v>
      </c>
      <c r="F25" s="1" t="s">
        <v>2</v>
      </c>
      <c r="G25" s="1" t="s">
        <v>0</v>
      </c>
    </row>
    <row r="26" spans="1:33" ht="15">
      <c r="A26">
        <f>1/(1+$I$1)^(B26-2023)</f>
        <v>0.96432015429122475</v>
      </c>
      <c r="B26" s="1">
        <v>2024</v>
      </c>
      <c r="C26" s="33">
        <f>'פלט שנתי לאחר תיקון אגירה'!AP35</f>
        <v>3.54</v>
      </c>
      <c r="D26" s="33">
        <f>'פלט שנתי לאחר תיקון אגירה'!AQ35</f>
        <v>0</v>
      </c>
      <c r="E26" s="33">
        <f>'פלט שנתי לאחר תיקון אגירה'!AR35</f>
        <v>1.1599999999999999</v>
      </c>
      <c r="F26" s="33">
        <f>'פלט שנתי לאחר תיקון אגירה'!AS35</f>
        <v>9107.4500000000007</v>
      </c>
      <c r="G26" s="33">
        <f>'פלט שנתי לאחר תיקון אגירה'!AT35</f>
        <v>1788.32</v>
      </c>
      <c r="H26" s="6">
        <f>+SUMPRODUCT(C26:G26,Q26:U26)/1000</f>
        <v>11797.745661206865</v>
      </c>
      <c r="I26" s="6">
        <f>+SUMPRODUCT(C26:G26,W26:AA26)/1000</f>
        <v>11329.000205705388</v>
      </c>
      <c r="J26" s="6">
        <f>+SUMPRODUCT(C26:G26,AC26:AG26)/1000</f>
        <v>11744.065378553516</v>
      </c>
      <c r="L26" s="6">
        <f t="shared" ref="L26:L32" si="7">+L8</f>
        <v>8198.75</v>
      </c>
      <c r="M26" s="5">
        <f>+F26-L26</f>
        <v>908.70000000000073</v>
      </c>
      <c r="N26" s="10">
        <f>+('מחירי דלקים '!$D$5*L26+'מחירי דלקים '!$D$7*M26)/SUM(L26:M26)</f>
        <v>1212.112432756355</v>
      </c>
      <c r="Q26" s="8">
        <f>+'מחירי דלקים '!$D$6</f>
        <v>8657.0750000000007</v>
      </c>
      <c r="R26" s="8">
        <f>+'מחירי דלקים '!$D$6</f>
        <v>8657.0750000000007</v>
      </c>
      <c r="S26">
        <v>0</v>
      </c>
      <c r="T26" s="10">
        <f>+N26</f>
        <v>1212.112432756355</v>
      </c>
      <c r="U26">
        <f>+'מחירי דלקים '!$E$4</f>
        <v>407</v>
      </c>
      <c r="W26" s="8">
        <f>+'מחירי דלקים '!$D$6</f>
        <v>8657.0750000000007</v>
      </c>
      <c r="X26" s="8">
        <f>+'מחירי דלקים '!$D$6</f>
        <v>8657.0750000000007</v>
      </c>
      <c r="Y26">
        <v>0</v>
      </c>
      <c r="Z26" s="10">
        <f>+('מחירי דלקים '!$D$5)</f>
        <v>1160.6440793202694</v>
      </c>
      <c r="AA26">
        <f>+'מחירי דלקים '!$E$4</f>
        <v>407</v>
      </c>
      <c r="AC26" s="8">
        <f>+'מחירי דלקים '!$D$6</f>
        <v>8657.0750000000007</v>
      </c>
      <c r="AD26" s="8">
        <f>+'מחירי דלקים '!$D$6</f>
        <v>8657.0750000000007</v>
      </c>
      <c r="AE26">
        <v>0</v>
      </c>
      <c r="AF26" s="10">
        <f>+('מחירי דלקים '!$D$5)</f>
        <v>1160.6440793202694</v>
      </c>
      <c r="AG26">
        <f>+'מחירי דלקים '!$D$4</f>
        <v>639.0978196565087</v>
      </c>
    </row>
    <row r="27" spans="1:33" ht="15">
      <c r="A27">
        <f t="shared" ref="A27:A32" si="8">1/(1+$I$1)^(B27-2023)</f>
        <v>0.92991335997225155</v>
      </c>
      <c r="B27" s="1">
        <v>2025</v>
      </c>
      <c r="C27" s="33">
        <f>'פלט שנתי לאחר תיקון אגירה'!AP36</f>
        <v>11.73</v>
      </c>
      <c r="D27" s="33">
        <f>'פלט שנתי לאחר תיקון אגירה'!AQ36</f>
        <v>0.27</v>
      </c>
      <c r="E27" s="33">
        <f>'פלט שנתי לאחר תיקון אגירה'!AR36</f>
        <v>2.02</v>
      </c>
      <c r="F27" s="33">
        <f>'פלט שנתי לאחר תיקון אגירה'!AS36</f>
        <v>9408.19</v>
      </c>
      <c r="G27" s="33">
        <f>'פלט שנתי לאחר תיקון אגירה'!AT36</f>
        <v>969.51</v>
      </c>
      <c r="H27" s="6">
        <f t="shared" ref="H27:H32" si="9">+SUMPRODUCT(C27:G27,Q27:U27)/1000</f>
        <v>11862.438370964703</v>
      </c>
      <c r="I27" s="6">
        <f t="shared" ref="I27:I32" si="10">+SUMPRODUCT(C27:G27,W27:AA27)/1000</f>
        <v>11418.035490620166</v>
      </c>
      <c r="J27" s="6">
        <f t="shared" ref="J27:J32" si="11">+SUMPRODUCT(C27:G27,AC27:AG27)/1000</f>
        <v>11643.056647755348</v>
      </c>
      <c r="L27" s="6">
        <f t="shared" si="7"/>
        <v>8546.68</v>
      </c>
      <c r="M27" s="5">
        <f t="shared" ref="M27:M32" si="12">+F27-L27</f>
        <v>861.51000000000022</v>
      </c>
      <c r="N27" s="10">
        <f>+('מחירי דלקים '!$D$5*L27+'מחירי דלקים '!$D$7*M27)/SUM(L27:M27)</f>
        <v>1207.879826083944</v>
      </c>
      <c r="Q27" s="8">
        <f>+'מחירי דלקים '!$D$6</f>
        <v>8657.0750000000007</v>
      </c>
      <c r="R27" s="8">
        <f>+'מחירי דלקים '!$D$6</f>
        <v>8657.0750000000007</v>
      </c>
      <c r="S27">
        <v>0</v>
      </c>
      <c r="T27" s="10">
        <f t="shared" ref="T27:T32" si="13">+N27</f>
        <v>1207.879826083944</v>
      </c>
      <c r="U27">
        <f>+'מחירי דלקים '!$E$4</f>
        <v>407</v>
      </c>
      <c r="W27" s="8">
        <f>+'מחירי דלקים '!$D$6</f>
        <v>8657.0750000000007</v>
      </c>
      <c r="X27" s="8">
        <f>+'מחירי דלקים '!$D$6</f>
        <v>8657.0750000000007</v>
      </c>
      <c r="Y27">
        <v>0</v>
      </c>
      <c r="Z27" s="10">
        <f>+('מחירי דלקים '!$D$5)</f>
        <v>1160.6440793202694</v>
      </c>
      <c r="AA27">
        <f>+'מחירי דלקים '!$E$4</f>
        <v>407</v>
      </c>
      <c r="AC27" s="8">
        <f>+'מחירי דלקים '!$D$6</f>
        <v>8657.0750000000007</v>
      </c>
      <c r="AD27" s="8">
        <f>+'מחירי דלקים '!$D$6</f>
        <v>8657.0750000000007</v>
      </c>
      <c r="AE27">
        <v>0</v>
      </c>
      <c r="AF27" s="10">
        <f>+('מחירי דלקים '!$D$5)</f>
        <v>1160.6440793202694</v>
      </c>
      <c r="AG27">
        <f>+'מחירי דלקים '!$D$4</f>
        <v>639.0978196565087</v>
      </c>
    </row>
    <row r="28" spans="1:33" ht="15" customHeight="1">
      <c r="A28">
        <f t="shared" si="8"/>
        <v>0.89673419476591276</v>
      </c>
      <c r="B28" s="1">
        <v>2026</v>
      </c>
      <c r="C28" s="33">
        <f>'פלט שנתי לאחר תיקון אגירה'!AP37</f>
        <v>10.38</v>
      </c>
      <c r="D28" s="33">
        <f>'פלט שנתי לאחר תיקון אגירה'!AQ37</f>
        <v>0.42</v>
      </c>
      <c r="E28" s="33">
        <f>'פלט שנתי לאחר תיקון אגירה'!AR37</f>
        <v>2.2999999999999998</v>
      </c>
      <c r="F28" s="33">
        <f>'פלט שנתי לאחר תיקון אגירה'!AS37</f>
        <v>9606.17</v>
      </c>
      <c r="G28" s="33">
        <f>'פלט שנתי לאחר תיקון אגירה'!AT37</f>
        <v>940.37</v>
      </c>
      <c r="H28" s="6">
        <f t="shared" si="9"/>
        <v>12055.004486374361</v>
      </c>
      <c r="I28" s="6">
        <f t="shared" si="10"/>
        <v>11625.571335443992</v>
      </c>
      <c r="J28" s="6">
        <f t="shared" si="11"/>
        <v>11843.829162114384</v>
      </c>
      <c r="L28" s="6">
        <f t="shared" si="7"/>
        <v>8773.68</v>
      </c>
      <c r="M28" s="5">
        <f t="shared" si="12"/>
        <v>832.48999999999978</v>
      </c>
      <c r="N28" s="10">
        <f>+('מחירי דלקים '!$D$5*L28+'מחירי דלקים '!$D$7*M28)/SUM(L28:M28)</f>
        <v>1205.3479676472894</v>
      </c>
      <c r="Q28" s="8">
        <f>+'מחירי דלקים '!$D$6</f>
        <v>8657.0750000000007</v>
      </c>
      <c r="R28" s="8">
        <f>+'מחירי דלקים '!$D$6</f>
        <v>8657.0750000000007</v>
      </c>
      <c r="S28">
        <v>0</v>
      </c>
      <c r="T28" s="10">
        <f t="shared" si="13"/>
        <v>1205.3479676472894</v>
      </c>
      <c r="U28">
        <f>+'מחירי דלקים '!$E$4</f>
        <v>407</v>
      </c>
      <c r="W28" s="8">
        <f>+'מחירי דלקים '!$D$6</f>
        <v>8657.0750000000007</v>
      </c>
      <c r="X28" s="8">
        <f>+'מחירי דלקים '!$D$6</f>
        <v>8657.0750000000007</v>
      </c>
      <c r="Y28">
        <v>0</v>
      </c>
      <c r="Z28" s="10">
        <f>+('מחירי דלקים '!$D$5)</f>
        <v>1160.6440793202694</v>
      </c>
      <c r="AA28">
        <f>+'מחירי דלקים '!$E$4</f>
        <v>407</v>
      </c>
      <c r="AC28" s="8">
        <f>+'מחירי דלקים '!$D$6</f>
        <v>8657.0750000000007</v>
      </c>
      <c r="AD28" s="8">
        <f>+'מחירי דלקים '!$D$6</f>
        <v>8657.0750000000007</v>
      </c>
      <c r="AE28">
        <v>0</v>
      </c>
      <c r="AF28" s="10">
        <f>+('מחירי דלקים '!$D$5)</f>
        <v>1160.6440793202694</v>
      </c>
      <c r="AG28">
        <f>+'מחירי דלקים '!$D$4</f>
        <v>639.0978196565087</v>
      </c>
    </row>
    <row r="29" spans="1:33" ht="15" customHeight="1">
      <c r="A29">
        <f t="shared" si="8"/>
        <v>0.86473885705488229</v>
      </c>
      <c r="B29" s="1">
        <v>2027</v>
      </c>
      <c r="C29" s="33">
        <f>'פלט שנתי לאחר תיקון אגירה'!AP38</f>
        <v>6.68</v>
      </c>
      <c r="D29" s="33">
        <f>'פלט שנתי לאחר תיקון אגירה'!AQ38</f>
        <v>0.3</v>
      </c>
      <c r="E29" s="33">
        <f>'פלט שנתי לאחר תיקון אגירה'!AR38</f>
        <v>2.2999999999999998</v>
      </c>
      <c r="F29" s="33">
        <f>'פלט שנתי לאחר תיקון אגירה'!AS38</f>
        <v>9550.7999999999993</v>
      </c>
      <c r="G29" s="33">
        <f>'פלט שנתי לאחר תיקון אגירה'!AT38</f>
        <v>936.95</v>
      </c>
      <c r="H29" s="6">
        <f t="shared" si="9"/>
        <v>11893.442965957063</v>
      </c>
      <c r="I29" s="6">
        <f t="shared" si="10"/>
        <v>11526.844506272029</v>
      </c>
      <c r="J29" s="6">
        <f t="shared" si="11"/>
        <v>11744.308558399194</v>
      </c>
      <c r="L29" s="6">
        <f t="shared" si="7"/>
        <v>8840.1200000000008</v>
      </c>
      <c r="M29" s="5">
        <f t="shared" si="12"/>
        <v>710.67999999999847</v>
      </c>
      <c r="N29" s="10">
        <f>+('מחירי דלקים '!$D$5*L29+'מחירי דלקים '!$D$7*M29)/SUM(L29:M29)</f>
        <v>1199.0281371672597</v>
      </c>
      <c r="Q29" s="8">
        <f>+'מחירי דלקים '!$D$6</f>
        <v>8657.0750000000007</v>
      </c>
      <c r="R29" s="8">
        <f>+'מחירי דלקים '!$D$6</f>
        <v>8657.0750000000007</v>
      </c>
      <c r="S29">
        <v>0</v>
      </c>
      <c r="T29" s="10">
        <f t="shared" si="13"/>
        <v>1199.0281371672597</v>
      </c>
      <c r="U29">
        <f>+'מחירי דלקים '!$E$4</f>
        <v>407</v>
      </c>
      <c r="W29" s="8">
        <f>+'מחירי דלקים '!$D$6</f>
        <v>8657.0750000000007</v>
      </c>
      <c r="X29" s="8">
        <f>+'מחירי דלקים '!$D$6</f>
        <v>8657.0750000000007</v>
      </c>
      <c r="Y29">
        <v>0</v>
      </c>
      <c r="Z29" s="10">
        <f>+('מחירי דלקים '!$D$5)</f>
        <v>1160.6440793202694</v>
      </c>
      <c r="AA29">
        <f>+'מחירי דלקים '!$E$4</f>
        <v>407</v>
      </c>
      <c r="AC29" s="8">
        <f>+'מחירי דלקים '!$D$6</f>
        <v>8657.0750000000007</v>
      </c>
      <c r="AD29" s="8">
        <f>+'מחירי דלקים '!$D$6</f>
        <v>8657.0750000000007</v>
      </c>
      <c r="AE29">
        <v>0</v>
      </c>
      <c r="AF29" s="10">
        <f>+('מחירי דלקים '!$D$5)</f>
        <v>1160.6440793202694</v>
      </c>
      <c r="AG29">
        <f>+'מחירי דלקים '!$D$4</f>
        <v>639.0978196565087</v>
      </c>
    </row>
    <row r="30" spans="1:33" ht="15" customHeight="1">
      <c r="A30">
        <f t="shared" si="8"/>
        <v>0.8338851080567814</v>
      </c>
      <c r="B30" s="1">
        <v>2028</v>
      </c>
      <c r="C30" s="33">
        <f>'פלט שנתי לאחר תיקון אגירה'!AP39</f>
        <v>4.53</v>
      </c>
      <c r="D30" s="33">
        <f>'פלט שנתי לאחר תיקון אגירה'!AQ39</f>
        <v>0.15</v>
      </c>
      <c r="E30" s="33">
        <f>'פלט שנתי לאחר תיקון אגירה'!AR39</f>
        <v>0.86</v>
      </c>
      <c r="F30" s="33">
        <f>'פלט שנתי לאחר תיקון אגירה'!AS39</f>
        <v>9850.19</v>
      </c>
      <c r="G30" s="33">
        <f>'פלט שנתי לאחר תיקון אגירה'!AT39</f>
        <v>305.56</v>
      </c>
      <c r="H30" s="6">
        <f t="shared" si="9"/>
        <v>12036.826474183468</v>
      </c>
      <c r="I30" s="6">
        <f t="shared" si="10"/>
        <v>11597.442734679726</v>
      </c>
      <c r="J30" s="6">
        <f t="shared" si="11"/>
        <v>11668.362544453967</v>
      </c>
      <c r="L30" s="6">
        <f t="shared" si="7"/>
        <v>8998.41</v>
      </c>
      <c r="M30" s="5">
        <f t="shared" si="12"/>
        <v>851.78000000000065</v>
      </c>
      <c r="N30" s="10">
        <f>+('מחירי דלקים '!$D$5*L30+'מחירי דלקים '!$D$7*M30)/SUM(L30:M30)</f>
        <v>1205.2507051319283</v>
      </c>
      <c r="Q30" s="8">
        <f>+'מחירי דלקים '!$D$6</f>
        <v>8657.0750000000007</v>
      </c>
      <c r="R30" s="8">
        <f>+'מחירי דלקים '!$D$6</f>
        <v>8657.0750000000007</v>
      </c>
      <c r="S30">
        <v>0</v>
      </c>
      <c r="T30" s="10">
        <f t="shared" si="13"/>
        <v>1205.2507051319283</v>
      </c>
      <c r="U30">
        <f>+'מחירי דלקים '!$E$4</f>
        <v>407</v>
      </c>
      <c r="W30" s="8">
        <f>+'מחירי דלקים '!$D$6</f>
        <v>8657.0750000000007</v>
      </c>
      <c r="X30" s="8">
        <f>+'מחירי דלקים '!$D$6</f>
        <v>8657.0750000000007</v>
      </c>
      <c r="Y30">
        <v>0</v>
      </c>
      <c r="Z30" s="10">
        <f>+('מחירי דלקים '!$D$5)</f>
        <v>1160.6440793202694</v>
      </c>
      <c r="AA30">
        <f>+'מחירי דלקים '!$E$4</f>
        <v>407</v>
      </c>
      <c r="AC30" s="8">
        <f>+'מחירי דלקים '!$D$6</f>
        <v>8657.0750000000007</v>
      </c>
      <c r="AD30" s="8">
        <f>+'מחירי דלקים '!$D$6</f>
        <v>8657.0750000000007</v>
      </c>
      <c r="AE30">
        <v>0</v>
      </c>
      <c r="AF30" s="10">
        <f>+('מחירי דלקים '!$D$5)</f>
        <v>1160.6440793202694</v>
      </c>
      <c r="AG30">
        <f>+'מחירי דלקים '!$D$4</f>
        <v>639.0978196565087</v>
      </c>
    </row>
    <row r="31" spans="1:33" ht="15">
      <c r="A31">
        <f t="shared" si="8"/>
        <v>0.8041322160624701</v>
      </c>
      <c r="B31" s="1">
        <v>2029</v>
      </c>
      <c r="C31" s="33">
        <f>'פלט שנתי לאחר תיקון אגירה'!AP40</f>
        <v>5.2</v>
      </c>
      <c r="D31" s="33">
        <f>'פלט שנתי לאחר תיקון אגירה'!AQ40</f>
        <v>0.28000000000000003</v>
      </c>
      <c r="E31" s="33">
        <f>'פלט שנתי לאחר תיקון אגירה'!AR40</f>
        <v>0</v>
      </c>
      <c r="F31" s="33">
        <f>'פלט שנתי לאחר תיקון אגירה'!AS40</f>
        <v>9857.0499999999993</v>
      </c>
      <c r="G31" s="33">
        <f>'פלט שנתי לאחר תיקון אגירה'!AT40</f>
        <v>0</v>
      </c>
      <c r="H31" s="6">
        <f t="shared" si="9"/>
        <v>11955.206690471288</v>
      </c>
      <c r="I31" s="6">
        <f t="shared" si="10"/>
        <v>11487.967493063859</v>
      </c>
      <c r="J31" s="6">
        <f t="shared" si="11"/>
        <v>11487.967493063859</v>
      </c>
      <c r="L31" s="6">
        <f t="shared" si="7"/>
        <v>8951.27</v>
      </c>
      <c r="M31" s="5">
        <f t="shared" si="12"/>
        <v>905.77999999999884</v>
      </c>
      <c r="N31" s="10">
        <f>+('מחירי דלקים '!$D$5*L31+'מחירי דלקים '!$D$7*M31)/SUM(L31:M31)</f>
        <v>1208.045603854225</v>
      </c>
      <c r="Q31" s="8">
        <f>+'מחירי דלקים '!$D$6</f>
        <v>8657.0750000000007</v>
      </c>
      <c r="R31" s="8">
        <f>+'מחירי דלקים '!$D$6</f>
        <v>8657.0750000000007</v>
      </c>
      <c r="S31">
        <v>0</v>
      </c>
      <c r="T31" s="10">
        <f t="shared" si="13"/>
        <v>1208.045603854225</v>
      </c>
      <c r="U31">
        <f>+'מחירי דלקים '!$E$4</f>
        <v>407</v>
      </c>
      <c r="W31" s="8">
        <f>+'מחירי דלקים '!$D$6</f>
        <v>8657.0750000000007</v>
      </c>
      <c r="X31" s="8">
        <f>+'מחירי דלקים '!$D$6</f>
        <v>8657.0750000000007</v>
      </c>
      <c r="Y31">
        <v>0</v>
      </c>
      <c r="Z31" s="10">
        <f>+('מחירי דלקים '!$D$5)</f>
        <v>1160.6440793202694</v>
      </c>
      <c r="AA31">
        <f>+'מחירי דלקים '!$E$4</f>
        <v>407</v>
      </c>
      <c r="AC31" s="8">
        <f>+'מחירי דלקים '!$D$6</f>
        <v>8657.0750000000007</v>
      </c>
      <c r="AD31" s="8">
        <f>+'מחירי דלקים '!$D$6</f>
        <v>8657.0750000000007</v>
      </c>
      <c r="AE31">
        <v>0</v>
      </c>
      <c r="AF31" s="10">
        <f>+('מחירי דלקים '!$D$5)</f>
        <v>1160.6440793202694</v>
      </c>
      <c r="AG31">
        <f>+'מחירי דלקים '!$D$4</f>
        <v>639.0978196565087</v>
      </c>
    </row>
    <row r="32" spans="1:33" ht="15">
      <c r="A32">
        <f t="shared" si="8"/>
        <v>0.77544090266390553</v>
      </c>
      <c r="B32" s="29">
        <v>2030</v>
      </c>
      <c r="C32" s="30">
        <f>'פלט שנתי לאחר תיקון אגירה'!AP41</f>
        <v>1.84</v>
      </c>
      <c r="D32" s="30">
        <f>'פלט שנתי לאחר תיקון אגירה'!AQ41</f>
        <v>0.09</v>
      </c>
      <c r="E32" s="30">
        <f>'פלט שנתי לאחר תיקון אגירה'!AR41</f>
        <v>0</v>
      </c>
      <c r="F32" s="30">
        <f>'פלט שנתי לאחר תיקון אגירה'!AS41</f>
        <v>9966.64</v>
      </c>
      <c r="G32" s="30">
        <f>'פלט שנתי לאחר תיקון אגירה'!AT41</f>
        <v>0</v>
      </c>
      <c r="H32" s="6">
        <f t="shared" si="9"/>
        <v>12028.688306103455</v>
      </c>
      <c r="I32" s="6">
        <f t="shared" si="10"/>
        <v>11584.429861466569</v>
      </c>
      <c r="J32" s="6">
        <f t="shared" si="11"/>
        <v>11584.429861466569</v>
      </c>
      <c r="L32" s="6">
        <f t="shared" si="7"/>
        <v>9105.41</v>
      </c>
      <c r="M32" s="5">
        <f t="shared" si="12"/>
        <v>861.22999999999956</v>
      </c>
      <c r="N32" s="10">
        <f>+('מחירי דלקים '!$D$5*L32+'מחירי דלקים '!$D$7*M32)/SUM(L32:M32)</f>
        <v>1205.2186244665659</v>
      </c>
      <c r="Q32" s="8">
        <f>+'מחירי דלקים '!$D$6</f>
        <v>8657.0750000000007</v>
      </c>
      <c r="R32" s="8">
        <f>+'מחירי דלקים '!$D$6</f>
        <v>8657.0750000000007</v>
      </c>
      <c r="S32">
        <v>0</v>
      </c>
      <c r="T32" s="10">
        <f t="shared" si="13"/>
        <v>1205.2186244665659</v>
      </c>
      <c r="U32">
        <f>+'מחירי דלקים '!$E$4</f>
        <v>407</v>
      </c>
      <c r="W32" s="8">
        <f>+'מחירי דלקים '!$D$6</f>
        <v>8657.0750000000007</v>
      </c>
      <c r="X32" s="8">
        <f>+'מחירי דלקים '!$D$6</f>
        <v>8657.0750000000007</v>
      </c>
      <c r="Y32">
        <v>0</v>
      </c>
      <c r="Z32" s="10">
        <f>+('מחירי דלקים '!$D$5)</f>
        <v>1160.6440793202694</v>
      </c>
      <c r="AA32">
        <f>+'מחירי דלקים '!$E$4</f>
        <v>407</v>
      </c>
      <c r="AC32" s="8">
        <f>+'מחירי דלקים '!$D$6</f>
        <v>8657.0750000000007</v>
      </c>
      <c r="AD32" s="8">
        <f>+'מחירי דלקים '!$D$6</f>
        <v>8657.0750000000007</v>
      </c>
      <c r="AE32">
        <v>0</v>
      </c>
      <c r="AF32" s="10">
        <f>+('מחירי דלקים '!$D$5)</f>
        <v>1160.6440793202694</v>
      </c>
      <c r="AG32">
        <f>+'מחירי דלקים '!$D$4</f>
        <v>639.0978196565087</v>
      </c>
    </row>
    <row r="33" spans="2:21" ht="15">
      <c r="B33" s="1" t="s">
        <v>46</v>
      </c>
      <c r="C33" s="5">
        <f>SUM(C26:C32)</f>
        <v>43.900000000000006</v>
      </c>
      <c r="D33" s="5">
        <f>SUM(D26:D32)</f>
        <v>1.51</v>
      </c>
      <c r="E33" s="5">
        <f>SUM(E26:E32)</f>
        <v>8.6399999999999988</v>
      </c>
      <c r="F33" s="5">
        <f>SUM(F26:F32)</f>
        <v>67346.490000000005</v>
      </c>
      <c r="G33" s="5">
        <f>SUM(G26:G32)</f>
        <v>4940.71</v>
      </c>
      <c r="L33" s="34"/>
      <c r="R33" t="s">
        <v>211</v>
      </c>
      <c r="S33" t="s">
        <v>212</v>
      </c>
      <c r="T33" t="s">
        <v>208</v>
      </c>
    </row>
    <row r="34" spans="2:21" ht="15">
      <c r="B34" s="1" t="s">
        <v>47</v>
      </c>
      <c r="C34" s="6">
        <f>C33*'מחירי דלקים '!$D$6/1000</f>
        <v>380.04559250000011</v>
      </c>
      <c r="D34" s="6">
        <f>D33*'מחירי דלקים '!$D$6/1000</f>
        <v>13.072183250000002</v>
      </c>
      <c r="E34" s="6"/>
      <c r="F34" s="6">
        <f>F33*'מחירי דלקים '!$D$5/1000</f>
        <v>78165.304881501739</v>
      </c>
      <c r="G34" s="6">
        <f>G33*'מחירי דלקים '!$D$4/1000</f>
        <v>3157.596988555109</v>
      </c>
      <c r="H34" s="6">
        <f>SUM(C34:G34)</f>
        <v>81716.019645806839</v>
      </c>
      <c r="I34" s="5"/>
      <c r="J34" s="5"/>
      <c r="K34" s="5"/>
      <c r="P34" t="s">
        <v>207</v>
      </c>
      <c r="R34" s="6">
        <f>+'תרחיש הפעלה 3% 20% ללא צמצום פח'!$F$10</f>
        <v>61414.320000000007</v>
      </c>
      <c r="S34" s="7">
        <f>+R34/R36</f>
        <v>0.91191567667446372</v>
      </c>
      <c r="T34" s="6">
        <f>+'מחירי דלקים '!$D$5</f>
        <v>1160.6440793202694</v>
      </c>
    </row>
    <row r="35" spans="2:21" ht="15">
      <c r="B35" s="1" t="s">
        <v>48</v>
      </c>
      <c r="C35" s="6">
        <f>C34</f>
        <v>380.04559250000011</v>
      </c>
      <c r="D35" s="6">
        <f>D34</f>
        <v>13.072183250000002</v>
      </c>
      <c r="E35" s="6">
        <f>E34</f>
        <v>0</v>
      </c>
      <c r="F35" s="6">
        <f>F34</f>
        <v>78165.304881501739</v>
      </c>
      <c r="G35" s="6">
        <f>G33*'מחירי דלקים '!$E$4/1000</f>
        <v>2010.86897</v>
      </c>
      <c r="H35" s="6">
        <f>SUM(C35:G35)</f>
        <v>80569.291627251732</v>
      </c>
      <c r="I35" s="5"/>
      <c r="J35" s="5"/>
      <c r="K35" s="5"/>
      <c r="P35" s="7" t="s">
        <v>209</v>
      </c>
      <c r="R35" s="5">
        <f>+F33-R34</f>
        <v>5932.1699999999983</v>
      </c>
      <c r="S35" s="7">
        <f>+R35/R36</f>
        <v>8.8084323325536312E-2</v>
      </c>
      <c r="T35" s="6">
        <f>+'מחירי דלקים '!$D$7</f>
        <v>1676.4858923515003</v>
      </c>
    </row>
    <row r="36" spans="2:21" ht="15">
      <c r="B36" s="1" t="s">
        <v>51</v>
      </c>
      <c r="C36" s="6">
        <f>C35</f>
        <v>380.04559250000011</v>
      </c>
      <c r="D36" s="6"/>
      <c r="E36" s="6"/>
      <c r="F36" s="6">
        <f>F33*T36/1000</f>
        <v>81225.366209511209</v>
      </c>
      <c r="G36" s="6">
        <f>G35</f>
        <v>2010.86897</v>
      </c>
      <c r="H36" s="6">
        <f>SUM(C36:G36)</f>
        <v>83616.280772011203</v>
      </c>
      <c r="I36" s="5"/>
      <c r="J36" s="5"/>
      <c r="K36" s="5"/>
      <c r="N36" s="5"/>
      <c r="O36" s="5"/>
      <c r="P36" t="s">
        <v>210</v>
      </c>
      <c r="Q36" s="5"/>
      <c r="R36" s="5">
        <f>SUM(R34:R35)</f>
        <v>67346.490000000005</v>
      </c>
      <c r="S36" s="7">
        <f>SUM(S34:S35)</f>
        <v>1</v>
      </c>
      <c r="T36" s="6">
        <f>+SUMPRODUCT(T34:T35,S34:S35)</f>
        <v>1206.0816563641431</v>
      </c>
    </row>
    <row r="37" spans="2:21" ht="15">
      <c r="B37" s="4"/>
    </row>
    <row r="38" spans="2:21" ht="15">
      <c r="B38" s="1" t="s">
        <v>279</v>
      </c>
      <c r="H38" s="6">
        <f>+SUMPRODUCT(H26:H32,A26:A32)</f>
        <v>72481.13496965509</v>
      </c>
      <c r="I38" s="6">
        <f t="shared" ref="I38:J38" si="14">+SUMPRODUCT(I26:I32,$A$26:$A$32)</f>
        <v>69827.144962546357</v>
      </c>
      <c r="J38" s="6">
        <f t="shared" si="14"/>
        <v>70879.558699939153</v>
      </c>
    </row>
    <row r="40" spans="2:21" ht="15">
      <c r="B40" s="1"/>
      <c r="C40" s="1"/>
      <c r="D40" s="1"/>
      <c r="E40" s="1"/>
      <c r="F40" s="1"/>
      <c r="G40" s="1"/>
      <c r="M40" s="1"/>
      <c r="N40" s="1"/>
      <c r="O40" s="1"/>
      <c r="P40" s="1"/>
      <c r="Q40" s="1"/>
      <c r="R40" s="1"/>
      <c r="T40" s="6"/>
      <c r="U40" s="6"/>
    </row>
    <row r="41" spans="2:21" ht="15">
      <c r="B41" s="1"/>
      <c r="C41" s="3"/>
      <c r="D41" s="3"/>
      <c r="E41" s="3"/>
      <c r="F41" s="3"/>
      <c r="G41" s="3"/>
      <c r="M41" s="1"/>
      <c r="N41" s="3"/>
      <c r="O41" s="3"/>
      <c r="P41" s="3"/>
      <c r="Q41" s="3"/>
      <c r="R41" s="3"/>
    </row>
    <row r="42" spans="2:21" ht="15">
      <c r="B42" s="1"/>
      <c r="C42" s="3"/>
      <c r="D42" s="3"/>
      <c r="E42" s="3"/>
      <c r="F42" s="3"/>
      <c r="G42" s="3"/>
      <c r="M42" s="1"/>
      <c r="N42" s="3"/>
      <c r="O42" s="3"/>
      <c r="P42" s="3"/>
      <c r="Q42" s="3"/>
      <c r="R42" s="3"/>
    </row>
    <row r="43" spans="2:21" ht="15">
      <c r="B43" s="1"/>
      <c r="C43" s="3"/>
      <c r="D43" s="3"/>
      <c r="E43" s="3"/>
      <c r="F43" s="3"/>
      <c r="G43" s="3"/>
      <c r="M43" s="1"/>
      <c r="N43" s="3"/>
      <c r="O43" s="3"/>
      <c r="P43" s="3"/>
      <c r="Q43" s="3"/>
      <c r="R43" s="3"/>
    </row>
    <row r="44" spans="2:21" ht="15">
      <c r="B44" s="1"/>
      <c r="C44" s="3"/>
      <c r="D44" s="3"/>
      <c r="E44" s="3"/>
      <c r="F44" s="3"/>
      <c r="G44" s="3"/>
      <c r="M44" s="1"/>
      <c r="N44" s="3"/>
      <c r="O44" s="3"/>
      <c r="P44" s="3"/>
      <c r="Q44" s="3"/>
      <c r="R44" s="3"/>
    </row>
    <row r="45" spans="2:21" ht="15">
      <c r="B45" s="1"/>
      <c r="C45" s="3"/>
      <c r="D45" s="3"/>
      <c r="E45" s="3"/>
      <c r="F45" s="3"/>
      <c r="G45" s="3"/>
      <c r="M45" s="1"/>
      <c r="N45" s="3"/>
      <c r="O45" s="3"/>
      <c r="P45" s="3"/>
      <c r="Q45" s="3"/>
      <c r="R45" s="3"/>
    </row>
    <row r="46" spans="2:21" ht="15">
      <c r="B46" s="1"/>
      <c r="C46" s="3"/>
      <c r="D46" s="3"/>
      <c r="E46" s="3"/>
      <c r="F46" s="3"/>
      <c r="G46" s="3"/>
      <c r="M46" s="1"/>
      <c r="N46" s="3"/>
      <c r="O46" s="3"/>
      <c r="P46" s="3"/>
      <c r="Q46" s="3"/>
      <c r="R46" s="3"/>
    </row>
    <row r="47" spans="2:21" ht="15">
      <c r="B47" s="1"/>
      <c r="C47" s="3"/>
      <c r="D47" s="3"/>
      <c r="E47" s="3"/>
      <c r="F47" s="3"/>
      <c r="G47" s="3"/>
      <c r="M47" s="1"/>
      <c r="N47" s="3"/>
      <c r="O47" s="3"/>
      <c r="P47" s="3"/>
      <c r="Q47" s="3"/>
      <c r="R47" s="3"/>
    </row>
    <row r="48" spans="2:21" ht="15">
      <c r="B48" s="1"/>
      <c r="C48" s="6"/>
      <c r="D48" s="6"/>
      <c r="E48" s="6"/>
      <c r="F48" s="6"/>
      <c r="G48" s="6"/>
      <c r="N48" s="6"/>
      <c r="O48" s="6"/>
      <c r="P48" s="6"/>
      <c r="Q48" s="6"/>
      <c r="R48" s="6"/>
      <c r="S48" s="7"/>
    </row>
    <row r="49" spans="2:18" ht="15">
      <c r="B49" s="1"/>
      <c r="C49" s="6"/>
      <c r="D49" s="6"/>
      <c r="E49" s="6"/>
      <c r="F49" s="6"/>
      <c r="G49" s="6"/>
      <c r="H49" s="6"/>
      <c r="N49" s="6"/>
      <c r="O49" s="6"/>
      <c r="P49" s="6"/>
      <c r="Q49" s="6"/>
      <c r="R49" s="6"/>
    </row>
    <row r="50" spans="2:18" ht="15">
      <c r="B50" s="1"/>
      <c r="C50" s="6"/>
      <c r="D50" s="6"/>
      <c r="E50" s="6"/>
      <c r="F50" s="6"/>
      <c r="G50" s="6"/>
      <c r="H50" s="6"/>
    </row>
    <row r="51" spans="2:18" ht="15">
      <c r="B51" s="1"/>
      <c r="C51" s="6"/>
      <c r="D51" s="6"/>
      <c r="E51" s="6"/>
      <c r="F51" s="6"/>
      <c r="G51" s="6"/>
      <c r="H51" s="6"/>
    </row>
    <row r="52" spans="2:18">
      <c r="C52" s="5"/>
      <c r="D52" s="5"/>
      <c r="E52" s="5"/>
      <c r="F52" s="5"/>
      <c r="G52" s="5"/>
    </row>
    <row r="53" spans="2:18">
      <c r="C53" s="6"/>
      <c r="G53" s="10"/>
    </row>
    <row r="57" spans="2:18">
      <c r="B57" t="s">
        <v>42</v>
      </c>
    </row>
    <row r="58" spans="2:18" ht="15">
      <c r="B58" s="4" t="s">
        <v>17</v>
      </c>
    </row>
    <row r="59" spans="2:18" ht="15">
      <c r="B59" s="4" t="s">
        <v>21</v>
      </c>
    </row>
    <row r="60" spans="2:18" ht="15">
      <c r="B60" s="4" t="s">
        <v>22</v>
      </c>
    </row>
    <row r="62" spans="2:18" ht="105">
      <c r="C62" s="1" t="s">
        <v>52</v>
      </c>
      <c r="D62" s="1" t="s">
        <v>53</v>
      </c>
      <c r="E62" s="1" t="s">
        <v>51</v>
      </c>
    </row>
    <row r="63" spans="2:18" ht="15">
      <c r="B63" s="1" t="s">
        <v>55</v>
      </c>
      <c r="C63" s="5">
        <f>+H16</f>
        <v>82532.451419417324</v>
      </c>
      <c r="D63" s="5">
        <f>+H17</f>
        <v>81856.898221612311</v>
      </c>
      <c r="E63" s="5">
        <f>+H18</f>
        <v>85716.086211115369</v>
      </c>
    </row>
    <row r="64" spans="2:18" ht="15">
      <c r="B64" s="1" t="s">
        <v>56</v>
      </c>
      <c r="C64" s="5">
        <f>+H34</f>
        <v>81716.019645806839</v>
      </c>
      <c r="D64" s="5">
        <f>+H35</f>
        <v>80569.291627251732</v>
      </c>
      <c r="E64" s="5">
        <f>+H36</f>
        <v>83616.280772011203</v>
      </c>
    </row>
    <row r="65" spans="2:5" ht="15">
      <c r="B65" s="1" t="s">
        <v>57</v>
      </c>
      <c r="C65" s="5">
        <f>+H49</f>
        <v>0</v>
      </c>
      <c r="D65" s="5">
        <f>+H50</f>
        <v>0</v>
      </c>
      <c r="E65" s="5">
        <f>+H51</f>
        <v>0</v>
      </c>
    </row>
  </sheetData>
  <mergeCells count="2">
    <mergeCell ref="B5:B7"/>
    <mergeCell ref="C7:E7"/>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0"/>
  <sheetViews>
    <sheetView rightToLeft="1" workbookViewId="0">
      <selection activeCell="F10" sqref="F10"/>
    </sheetView>
  </sheetViews>
  <sheetFormatPr defaultRowHeight="14.25"/>
  <sheetData>
    <row r="1" spans="2:17">
      <c r="B1" t="s">
        <v>20</v>
      </c>
      <c r="K1" t="s">
        <v>20</v>
      </c>
    </row>
    <row r="2" spans="2:17" ht="30">
      <c r="B2" s="9" t="s">
        <v>18</v>
      </c>
      <c r="C2" s="1" t="s">
        <v>14</v>
      </c>
      <c r="D2" s="1" t="s">
        <v>15</v>
      </c>
      <c r="E2" s="1" t="s">
        <v>5</v>
      </c>
      <c r="F2" s="1" t="s">
        <v>2</v>
      </c>
      <c r="G2" s="1" t="s">
        <v>0</v>
      </c>
      <c r="K2" s="1" t="s">
        <v>19</v>
      </c>
      <c r="L2" s="1" t="s">
        <v>14</v>
      </c>
      <c r="M2" s="1" t="s">
        <v>15</v>
      </c>
      <c r="N2" s="1" t="s">
        <v>5</v>
      </c>
      <c r="O2" s="1" t="s">
        <v>2</v>
      </c>
      <c r="P2" s="1" t="s">
        <v>0</v>
      </c>
    </row>
    <row r="3" spans="2:17" ht="15">
      <c r="B3" s="1" t="s">
        <v>6</v>
      </c>
      <c r="C3" s="3">
        <v>1.69</v>
      </c>
      <c r="D3" s="3">
        <v>0</v>
      </c>
      <c r="E3" s="3">
        <v>3.18</v>
      </c>
      <c r="F3" s="3">
        <v>8198.75</v>
      </c>
      <c r="G3" s="3">
        <v>4293.49</v>
      </c>
      <c r="K3" s="1" t="s">
        <v>6</v>
      </c>
      <c r="L3" s="3">
        <v>1.35</v>
      </c>
      <c r="M3" s="3">
        <v>0</v>
      </c>
      <c r="N3" s="3">
        <v>0</v>
      </c>
      <c r="O3" s="3">
        <v>57772.85</v>
      </c>
      <c r="P3" s="3">
        <v>11475.15</v>
      </c>
      <c r="Q3" s="5">
        <f>SUM(L3:P3)</f>
        <v>69249.349999999991</v>
      </c>
    </row>
    <row r="4" spans="2:17" ht="15">
      <c r="B4" s="1" t="s">
        <v>7</v>
      </c>
      <c r="C4" s="3">
        <v>3.05</v>
      </c>
      <c r="D4" s="3">
        <v>0.15</v>
      </c>
      <c r="E4" s="3">
        <v>2.59</v>
      </c>
      <c r="F4" s="3">
        <v>8546.68</v>
      </c>
      <c r="G4" s="3">
        <v>3462.73</v>
      </c>
      <c r="K4" s="1" t="s">
        <v>7</v>
      </c>
      <c r="L4" s="3">
        <v>8.33</v>
      </c>
      <c r="M4" s="3">
        <v>0.2</v>
      </c>
      <c r="N4" s="3">
        <v>0</v>
      </c>
      <c r="O4" s="3">
        <v>60357.440000000002</v>
      </c>
      <c r="P4" s="3">
        <v>9310.83</v>
      </c>
      <c r="Q4" s="5">
        <f t="shared" ref="Q4:Q9" si="0">SUM(L4:P4)</f>
        <v>69676.800000000003</v>
      </c>
    </row>
    <row r="5" spans="2:17" ht="15" customHeight="1">
      <c r="B5" s="1" t="s">
        <v>8</v>
      </c>
      <c r="C5" s="3">
        <v>1.68</v>
      </c>
      <c r="D5" s="3">
        <v>0</v>
      </c>
      <c r="E5" s="3">
        <v>4.03</v>
      </c>
      <c r="F5" s="3">
        <v>8773.68</v>
      </c>
      <c r="G5" s="3">
        <v>3316.99</v>
      </c>
      <c r="K5" s="1" t="s">
        <v>8</v>
      </c>
      <c r="L5" s="3">
        <v>4.47</v>
      </c>
      <c r="M5" s="3">
        <v>0</v>
      </c>
      <c r="N5" s="3">
        <v>0</v>
      </c>
      <c r="O5" s="3">
        <v>61689.78</v>
      </c>
      <c r="P5" s="3">
        <v>8917.25</v>
      </c>
      <c r="Q5" s="5">
        <f t="shared" si="0"/>
        <v>70611.5</v>
      </c>
    </row>
    <row r="6" spans="2:17" ht="15" customHeight="1">
      <c r="B6" s="1" t="s">
        <v>9</v>
      </c>
      <c r="C6" s="3">
        <v>2.72</v>
      </c>
      <c r="D6" s="3">
        <v>0</v>
      </c>
      <c r="E6" s="3">
        <v>3.46</v>
      </c>
      <c r="F6" s="3">
        <v>8840.1200000000008</v>
      </c>
      <c r="G6" s="3">
        <v>3389.13</v>
      </c>
      <c r="K6" s="1" t="s">
        <v>9</v>
      </c>
      <c r="L6" s="3">
        <v>8.99</v>
      </c>
      <c r="M6" s="3">
        <v>0</v>
      </c>
      <c r="N6" s="3">
        <v>0</v>
      </c>
      <c r="O6" s="3">
        <v>62543.44</v>
      </c>
      <c r="P6" s="3">
        <v>9103.66</v>
      </c>
      <c r="Q6" s="5">
        <f t="shared" si="0"/>
        <v>71656.09</v>
      </c>
    </row>
    <row r="7" spans="2:17" ht="15" customHeight="1">
      <c r="B7" s="1" t="s">
        <v>10</v>
      </c>
      <c r="C7" s="3">
        <v>2.72</v>
      </c>
      <c r="D7" s="3">
        <v>0.11</v>
      </c>
      <c r="E7" s="3">
        <v>4.32</v>
      </c>
      <c r="F7" s="3">
        <v>8998.41</v>
      </c>
      <c r="G7" s="3">
        <v>3368.7</v>
      </c>
      <c r="K7" s="1" t="s">
        <v>10</v>
      </c>
      <c r="L7" s="3">
        <v>7.71</v>
      </c>
      <c r="M7" s="3">
        <v>0.14000000000000001</v>
      </c>
      <c r="N7" s="3">
        <v>0</v>
      </c>
      <c r="O7" s="3">
        <v>63698.400000000001</v>
      </c>
      <c r="P7" s="3">
        <v>9046.52</v>
      </c>
      <c r="Q7" s="5">
        <f t="shared" si="0"/>
        <v>72752.77</v>
      </c>
    </row>
    <row r="8" spans="2:17" ht="15">
      <c r="B8" s="1" t="s">
        <v>11</v>
      </c>
      <c r="C8" s="3">
        <v>0.63</v>
      </c>
      <c r="D8" s="3">
        <v>0.02</v>
      </c>
      <c r="E8" s="3">
        <v>1.74</v>
      </c>
      <c r="F8" s="3">
        <v>8951.27</v>
      </c>
      <c r="G8" s="3">
        <v>3504.88</v>
      </c>
      <c r="K8" s="1" t="s">
        <v>11</v>
      </c>
      <c r="L8" s="3">
        <v>1.86</v>
      </c>
      <c r="M8" s="3">
        <v>0.03</v>
      </c>
      <c r="N8" s="3">
        <v>0</v>
      </c>
      <c r="O8" s="3">
        <v>64610.15</v>
      </c>
      <c r="P8" s="3">
        <v>9411.86</v>
      </c>
      <c r="Q8" s="5">
        <f t="shared" si="0"/>
        <v>74023.899999999994</v>
      </c>
    </row>
    <row r="9" spans="2:17" ht="15">
      <c r="B9" s="1" t="s">
        <v>12</v>
      </c>
      <c r="C9" s="3">
        <v>0.1</v>
      </c>
      <c r="D9" s="3">
        <v>0</v>
      </c>
      <c r="E9" s="3">
        <v>2.88</v>
      </c>
      <c r="F9" s="3">
        <v>9105.41</v>
      </c>
      <c r="G9" s="3">
        <v>3414.83</v>
      </c>
      <c r="K9" s="1" t="s">
        <v>12</v>
      </c>
      <c r="L9" s="3">
        <v>0.3</v>
      </c>
      <c r="M9" s="3">
        <v>0</v>
      </c>
      <c r="N9" s="3">
        <v>0</v>
      </c>
      <c r="O9" s="3">
        <v>66239.7</v>
      </c>
      <c r="P9" s="3">
        <v>9168.57</v>
      </c>
      <c r="Q9" s="5">
        <f t="shared" si="0"/>
        <v>75408.570000000007</v>
      </c>
    </row>
    <row r="10" spans="2:17" ht="60">
      <c r="B10" s="1" t="s">
        <v>46</v>
      </c>
      <c r="C10" s="5">
        <f>SUM(C3:C9)</f>
        <v>12.590000000000002</v>
      </c>
      <c r="D10" s="5">
        <f>SUM(D3:D9)</f>
        <v>0.28000000000000003</v>
      </c>
      <c r="E10" s="5">
        <f>SUM(E3:E9)</f>
        <v>22.2</v>
      </c>
      <c r="F10" s="5">
        <f>SUM(F3:F9)</f>
        <v>61414.320000000007</v>
      </c>
      <c r="G10" s="5">
        <f>SUM(G3:G9)</f>
        <v>24750.75</v>
      </c>
      <c r="L10" s="5">
        <f>SUM(L3:L9)</f>
        <v>33.01</v>
      </c>
      <c r="M10" s="5">
        <f>SUM(M3:M9)</f>
        <v>0.37</v>
      </c>
      <c r="N10" s="5">
        <f>SUM(N3:N9)</f>
        <v>0</v>
      </c>
      <c r="O10" s="5">
        <f>SUM(O3:O9)</f>
        <v>436911.76000000007</v>
      </c>
      <c r="P10" s="5">
        <f>SUM(P3:P9)</f>
        <v>66433.84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rightToLeft="1" topLeftCell="A28" workbookViewId="0">
      <selection activeCell="R44" sqref="R44:R50"/>
    </sheetView>
  </sheetViews>
  <sheetFormatPr defaultRowHeight="14.25"/>
  <sheetData>
    <row r="1" spans="1:17" ht="15">
      <c r="A1" t="s">
        <v>178</v>
      </c>
      <c r="C1" s="14" t="s">
        <v>200</v>
      </c>
      <c r="L1" t="s">
        <v>186</v>
      </c>
    </row>
    <row r="2" spans="1:17" ht="15" customHeight="1">
      <c r="A2" s="247"/>
      <c r="B2" s="247" t="s">
        <v>199</v>
      </c>
      <c r="C2" s="247"/>
      <c r="D2" s="247"/>
      <c r="E2" s="247"/>
      <c r="F2" s="247"/>
      <c r="G2" s="247"/>
      <c r="J2" s="1"/>
      <c r="K2" s="247" t="s">
        <v>203</v>
      </c>
      <c r="L2" s="247"/>
      <c r="M2" s="247"/>
      <c r="N2" s="247"/>
      <c r="O2" s="247"/>
      <c r="P2" s="247"/>
    </row>
    <row r="3" spans="1:17" ht="45">
      <c r="A3" s="247"/>
      <c r="B3" s="1" t="s">
        <v>61</v>
      </c>
      <c r="C3" s="1" t="s">
        <v>62</v>
      </c>
      <c r="D3" s="1" t="s">
        <v>63</v>
      </c>
      <c r="E3" s="1" t="s">
        <v>64</v>
      </c>
      <c r="F3" s="1" t="s">
        <v>65</v>
      </c>
      <c r="G3" s="1" t="s">
        <v>66</v>
      </c>
      <c r="H3" s="1" t="s">
        <v>216</v>
      </c>
      <c r="J3" s="1"/>
      <c r="K3" s="1" t="s">
        <v>61</v>
      </c>
      <c r="L3" s="1" t="s">
        <v>62</v>
      </c>
      <c r="M3" s="1" t="s">
        <v>63</v>
      </c>
      <c r="N3" s="1" t="s">
        <v>64</v>
      </c>
      <c r="O3" s="1" t="s">
        <v>65</v>
      </c>
      <c r="P3" s="1" t="s">
        <v>66</v>
      </c>
      <c r="Q3" s="1" t="s">
        <v>216</v>
      </c>
    </row>
    <row r="4" spans="1:17" ht="15" customHeight="1">
      <c r="A4" s="1">
        <v>2024</v>
      </c>
      <c r="B4" s="2">
        <v>1</v>
      </c>
      <c r="C4" s="2">
        <v>1</v>
      </c>
      <c r="D4" s="2">
        <v>1</v>
      </c>
      <c r="E4" s="2">
        <v>1</v>
      </c>
      <c r="F4" s="2">
        <v>1</v>
      </c>
      <c r="G4" s="2">
        <v>2</v>
      </c>
      <c r="H4" s="35">
        <f>SUM(B4:G4)/6</f>
        <v>1.1666666666666667</v>
      </c>
      <c r="J4" s="1">
        <v>2024</v>
      </c>
      <c r="K4" s="2">
        <v>1</v>
      </c>
      <c r="L4" s="2">
        <v>1</v>
      </c>
      <c r="M4" s="2">
        <v>1</v>
      </c>
      <c r="N4" s="2">
        <v>1</v>
      </c>
      <c r="O4" s="2">
        <v>1</v>
      </c>
      <c r="P4" s="2">
        <v>2</v>
      </c>
      <c r="Q4" s="35">
        <f>SUM(K4:P4)/6</f>
        <v>1.1666666666666667</v>
      </c>
    </row>
    <row r="5" spans="1:17" ht="15">
      <c r="A5" s="1">
        <v>2025</v>
      </c>
      <c r="B5" s="2">
        <v>2</v>
      </c>
      <c r="C5" s="2">
        <v>4</v>
      </c>
      <c r="D5" s="2">
        <v>2</v>
      </c>
      <c r="E5" s="2">
        <v>3</v>
      </c>
      <c r="F5" s="2">
        <v>3</v>
      </c>
      <c r="G5" s="2">
        <v>2</v>
      </c>
      <c r="H5" s="35">
        <f t="shared" ref="H5:H10" si="0">SUM(B5:G5)/6</f>
        <v>2.6666666666666665</v>
      </c>
      <c r="J5" s="1">
        <v>2025</v>
      </c>
      <c r="K5" s="2">
        <v>1</v>
      </c>
      <c r="L5" s="2">
        <v>2</v>
      </c>
      <c r="M5" s="2">
        <v>2</v>
      </c>
      <c r="N5" s="2">
        <v>3</v>
      </c>
      <c r="O5" s="2">
        <v>3</v>
      </c>
      <c r="P5" s="2">
        <v>2</v>
      </c>
      <c r="Q5" s="35">
        <f t="shared" ref="Q5:Q10" si="1">SUM(K5:P5)/6</f>
        <v>2.1666666666666665</v>
      </c>
    </row>
    <row r="6" spans="1:17" ht="15">
      <c r="A6" s="1">
        <v>2026</v>
      </c>
      <c r="B6" s="2">
        <v>5</v>
      </c>
      <c r="C6" s="2">
        <v>3</v>
      </c>
      <c r="D6" s="2">
        <v>2</v>
      </c>
      <c r="E6" s="2">
        <v>3</v>
      </c>
      <c r="F6" s="2">
        <v>3</v>
      </c>
      <c r="G6" s="2">
        <v>2</v>
      </c>
      <c r="H6" s="35">
        <f t="shared" si="0"/>
        <v>3</v>
      </c>
      <c r="J6" s="1">
        <v>2026</v>
      </c>
      <c r="K6" s="2">
        <v>3</v>
      </c>
      <c r="L6" s="2">
        <v>3</v>
      </c>
      <c r="M6" s="2">
        <v>2</v>
      </c>
      <c r="N6" s="2">
        <v>3</v>
      </c>
      <c r="O6" s="2">
        <v>2</v>
      </c>
      <c r="P6" s="2">
        <v>3</v>
      </c>
      <c r="Q6" s="35">
        <f t="shared" si="1"/>
        <v>2.6666666666666665</v>
      </c>
    </row>
    <row r="7" spans="1:17" ht="15">
      <c r="A7" s="1">
        <v>2027</v>
      </c>
      <c r="B7" s="2">
        <v>4</v>
      </c>
      <c r="C7" s="2">
        <v>2</v>
      </c>
      <c r="D7" s="2">
        <v>4</v>
      </c>
      <c r="E7" s="2">
        <v>2</v>
      </c>
      <c r="F7" s="2">
        <v>3</v>
      </c>
      <c r="G7" s="2">
        <v>2</v>
      </c>
      <c r="H7" s="35">
        <f t="shared" si="0"/>
        <v>2.8333333333333335</v>
      </c>
      <c r="J7" s="1">
        <v>2027</v>
      </c>
      <c r="K7" s="2">
        <v>3</v>
      </c>
      <c r="L7" s="2">
        <v>3</v>
      </c>
      <c r="M7" s="2">
        <v>4</v>
      </c>
      <c r="N7" s="2">
        <v>2</v>
      </c>
      <c r="O7" s="2">
        <v>2</v>
      </c>
      <c r="P7" s="2">
        <v>3</v>
      </c>
      <c r="Q7" s="35">
        <f t="shared" si="1"/>
        <v>2.8333333333333335</v>
      </c>
    </row>
    <row r="8" spans="1:17" ht="15">
      <c r="A8" s="1">
        <v>2028</v>
      </c>
      <c r="B8" s="2">
        <v>3</v>
      </c>
      <c r="C8" s="2">
        <v>2</v>
      </c>
      <c r="D8" s="2">
        <v>3</v>
      </c>
      <c r="E8" s="2">
        <v>3</v>
      </c>
      <c r="F8" s="2">
        <v>2</v>
      </c>
      <c r="G8" s="2">
        <v>2</v>
      </c>
      <c r="H8" s="35">
        <f t="shared" si="0"/>
        <v>2.5</v>
      </c>
      <c r="J8" s="1">
        <v>2028</v>
      </c>
      <c r="K8" s="2">
        <v>3</v>
      </c>
      <c r="L8" s="2">
        <v>3</v>
      </c>
      <c r="M8" s="2">
        <v>3</v>
      </c>
      <c r="N8" s="2">
        <v>3</v>
      </c>
      <c r="O8" s="2">
        <v>2</v>
      </c>
      <c r="P8" s="2">
        <v>2</v>
      </c>
      <c r="Q8" s="35">
        <f t="shared" si="1"/>
        <v>2.6666666666666665</v>
      </c>
    </row>
    <row r="9" spans="1:17" ht="15">
      <c r="A9" s="1">
        <v>2029</v>
      </c>
      <c r="B9" s="2">
        <v>5</v>
      </c>
      <c r="C9" s="2">
        <v>0</v>
      </c>
      <c r="D9" s="2">
        <v>0</v>
      </c>
      <c r="E9" s="2">
        <v>3</v>
      </c>
      <c r="F9" s="2">
        <v>2</v>
      </c>
      <c r="G9" s="2">
        <v>2</v>
      </c>
      <c r="H9" s="35">
        <f t="shared" si="0"/>
        <v>2</v>
      </c>
      <c r="J9" s="1">
        <v>2029</v>
      </c>
      <c r="K9" s="2">
        <v>2</v>
      </c>
      <c r="L9" s="2">
        <v>0</v>
      </c>
      <c r="M9" s="2">
        <v>0</v>
      </c>
      <c r="N9" s="2">
        <v>3</v>
      </c>
      <c r="O9" s="2">
        <v>2</v>
      </c>
      <c r="P9" s="2">
        <v>3</v>
      </c>
      <c r="Q9" s="35">
        <f t="shared" si="1"/>
        <v>1.6666666666666667</v>
      </c>
    </row>
    <row r="10" spans="1:17" ht="15">
      <c r="A10" s="1">
        <v>2030</v>
      </c>
      <c r="B10" s="2">
        <v>0</v>
      </c>
      <c r="C10" s="2">
        <v>0</v>
      </c>
      <c r="D10" s="2">
        <v>0</v>
      </c>
      <c r="E10" s="2">
        <v>0</v>
      </c>
      <c r="F10" s="2">
        <v>0</v>
      </c>
      <c r="G10" s="2">
        <v>0</v>
      </c>
      <c r="H10" s="35">
        <f t="shared" si="0"/>
        <v>0</v>
      </c>
      <c r="J10" s="1">
        <v>2030</v>
      </c>
      <c r="K10" s="2">
        <v>0</v>
      </c>
      <c r="L10" s="2">
        <v>0</v>
      </c>
      <c r="M10" s="2">
        <v>0</v>
      </c>
      <c r="N10" s="2">
        <v>0</v>
      </c>
      <c r="O10" s="2">
        <v>0</v>
      </c>
      <c r="P10" s="2">
        <v>0</v>
      </c>
      <c r="Q10" s="35">
        <f t="shared" si="1"/>
        <v>0</v>
      </c>
    </row>
    <row r="14" spans="1:17">
      <c r="A14" t="s">
        <v>178</v>
      </c>
      <c r="L14" t="s">
        <v>186</v>
      </c>
    </row>
    <row r="15" spans="1:17" ht="15" customHeight="1">
      <c r="A15" s="247"/>
      <c r="B15" s="247" t="s">
        <v>202</v>
      </c>
      <c r="C15" s="247"/>
      <c r="D15" s="247"/>
      <c r="E15" s="247"/>
      <c r="F15" s="247"/>
      <c r="G15" s="247"/>
      <c r="J15" s="9"/>
      <c r="K15" s="247" t="s">
        <v>201</v>
      </c>
      <c r="L15" s="247"/>
      <c r="M15" s="247"/>
      <c r="N15" s="247"/>
      <c r="O15" s="247"/>
      <c r="P15" s="247"/>
    </row>
    <row r="16" spans="1:17" ht="45">
      <c r="A16" s="247"/>
      <c r="B16" s="1" t="s">
        <v>61</v>
      </c>
      <c r="C16" s="1" t="s">
        <v>62</v>
      </c>
      <c r="D16" s="1" t="s">
        <v>63</v>
      </c>
      <c r="E16" s="1" t="s">
        <v>64</v>
      </c>
      <c r="F16" s="1" t="s">
        <v>65</v>
      </c>
      <c r="G16" s="1" t="s">
        <v>66</v>
      </c>
      <c r="H16" s="1" t="s">
        <v>217</v>
      </c>
      <c r="J16" s="9"/>
      <c r="K16" s="1" t="s">
        <v>61</v>
      </c>
      <c r="L16" s="1" t="s">
        <v>62</v>
      </c>
      <c r="M16" s="1" t="s">
        <v>63</v>
      </c>
      <c r="N16" s="1" t="s">
        <v>64</v>
      </c>
      <c r="O16" s="1" t="s">
        <v>65</v>
      </c>
      <c r="P16" s="1" t="s">
        <v>66</v>
      </c>
      <c r="Q16" s="1" t="s">
        <v>217</v>
      </c>
    </row>
    <row r="17" spans="1:18" ht="15">
      <c r="A17" s="1">
        <v>2024</v>
      </c>
      <c r="B17" s="2">
        <v>2928</v>
      </c>
      <c r="C17" s="2">
        <v>2928</v>
      </c>
      <c r="D17" s="2">
        <v>2928</v>
      </c>
      <c r="E17" s="2">
        <v>2928</v>
      </c>
      <c r="F17" s="2">
        <v>2928</v>
      </c>
      <c r="G17" s="2">
        <v>2760</v>
      </c>
      <c r="H17" s="35">
        <f>SUM(B17:G17)/6</f>
        <v>2900</v>
      </c>
      <c r="J17" s="1">
        <v>2024</v>
      </c>
      <c r="K17" s="2">
        <v>2928</v>
      </c>
      <c r="L17" s="2">
        <v>2928</v>
      </c>
      <c r="M17" s="2">
        <v>2928</v>
      </c>
      <c r="N17" s="2">
        <v>2928</v>
      </c>
      <c r="O17" s="2">
        <v>2928</v>
      </c>
      <c r="P17" s="2">
        <v>2760</v>
      </c>
      <c r="Q17" s="35">
        <f>SUM(K17:P17)/6</f>
        <v>2900</v>
      </c>
    </row>
    <row r="18" spans="1:18" ht="15">
      <c r="A18" s="1">
        <v>2025</v>
      </c>
      <c r="B18" s="2">
        <v>1320</v>
      </c>
      <c r="C18" s="2">
        <v>2568</v>
      </c>
      <c r="D18" s="2">
        <v>2880</v>
      </c>
      <c r="E18" s="2">
        <v>2736</v>
      </c>
      <c r="F18" s="2">
        <v>2736</v>
      </c>
      <c r="G18" s="2">
        <v>2904</v>
      </c>
      <c r="H18" s="35">
        <f t="shared" ref="H18:H23" si="2">SUM(B18:G18)/6</f>
        <v>2524</v>
      </c>
      <c r="J18" s="1">
        <v>2025</v>
      </c>
      <c r="K18" s="2">
        <v>1488</v>
      </c>
      <c r="L18" s="2">
        <v>2904</v>
      </c>
      <c r="M18" s="2">
        <v>2880</v>
      </c>
      <c r="N18" s="2">
        <v>2736</v>
      </c>
      <c r="O18" s="2">
        <v>2736</v>
      </c>
      <c r="P18" s="2">
        <v>2904</v>
      </c>
      <c r="Q18" s="35">
        <f t="shared" ref="Q18:Q23" si="3">SUM(K18:P18)/6</f>
        <v>2608</v>
      </c>
    </row>
    <row r="19" spans="1:18" ht="15">
      <c r="A19" s="1">
        <v>2026</v>
      </c>
      <c r="B19" s="2">
        <v>2400</v>
      </c>
      <c r="C19" s="2">
        <v>2736</v>
      </c>
      <c r="D19" s="2">
        <v>2904</v>
      </c>
      <c r="E19" s="2">
        <v>2736</v>
      </c>
      <c r="F19" s="2">
        <v>2736</v>
      </c>
      <c r="G19" s="2">
        <v>2688</v>
      </c>
      <c r="H19" s="35">
        <f t="shared" si="2"/>
        <v>2700</v>
      </c>
      <c r="J19" s="1">
        <v>2026</v>
      </c>
      <c r="K19" s="2">
        <v>2736</v>
      </c>
      <c r="L19" s="2">
        <v>2736</v>
      </c>
      <c r="M19" s="2">
        <v>2904</v>
      </c>
      <c r="N19" s="2">
        <v>2736</v>
      </c>
      <c r="O19" s="2">
        <v>2904</v>
      </c>
      <c r="P19" s="2">
        <v>2736</v>
      </c>
      <c r="Q19" s="35">
        <f t="shared" si="3"/>
        <v>2792</v>
      </c>
    </row>
    <row r="20" spans="1:18" ht="15">
      <c r="A20" s="1">
        <v>2027</v>
      </c>
      <c r="B20" s="2">
        <v>2232</v>
      </c>
      <c r="C20" s="2">
        <v>2904</v>
      </c>
      <c r="D20" s="2">
        <v>2520</v>
      </c>
      <c r="E20" s="2">
        <v>2904</v>
      </c>
      <c r="F20" s="2">
        <v>2736</v>
      </c>
      <c r="G20" s="2">
        <v>2904</v>
      </c>
      <c r="H20" s="35">
        <f t="shared" si="2"/>
        <v>2700</v>
      </c>
      <c r="J20" s="1">
        <v>2027</v>
      </c>
      <c r="K20" s="2">
        <v>2736</v>
      </c>
      <c r="L20" s="2">
        <v>2736</v>
      </c>
      <c r="M20" s="2">
        <v>2520</v>
      </c>
      <c r="N20" s="2">
        <v>2904</v>
      </c>
      <c r="O20" s="2">
        <v>2904</v>
      </c>
      <c r="P20" s="2">
        <v>2736</v>
      </c>
      <c r="Q20" s="35">
        <f t="shared" si="3"/>
        <v>2756</v>
      </c>
    </row>
    <row r="21" spans="1:18" ht="15">
      <c r="A21" s="1">
        <v>2028</v>
      </c>
      <c r="B21" s="2">
        <v>2760</v>
      </c>
      <c r="C21" s="2">
        <v>2928</v>
      </c>
      <c r="D21" s="2">
        <v>2736</v>
      </c>
      <c r="E21" s="2">
        <v>2640</v>
      </c>
      <c r="F21" s="2">
        <v>2928</v>
      </c>
      <c r="G21" s="2">
        <v>2928</v>
      </c>
      <c r="H21" s="35">
        <f t="shared" si="2"/>
        <v>2820</v>
      </c>
      <c r="J21" s="1">
        <v>2028</v>
      </c>
      <c r="K21" s="2">
        <v>2760</v>
      </c>
      <c r="L21" s="2">
        <v>2760</v>
      </c>
      <c r="M21" s="2">
        <v>2736</v>
      </c>
      <c r="N21" s="2">
        <v>2640</v>
      </c>
      <c r="O21" s="2">
        <v>2928</v>
      </c>
      <c r="P21" s="2">
        <v>2928</v>
      </c>
      <c r="Q21" s="35">
        <f t="shared" si="3"/>
        <v>2792</v>
      </c>
    </row>
    <row r="22" spans="1:18" ht="15">
      <c r="A22" s="1">
        <v>2029</v>
      </c>
      <c r="B22" s="2">
        <v>2400</v>
      </c>
      <c r="C22" s="2">
        <v>0</v>
      </c>
      <c r="D22" s="2">
        <v>0</v>
      </c>
      <c r="E22" s="2">
        <v>2640</v>
      </c>
      <c r="F22" s="2">
        <v>2904</v>
      </c>
      <c r="G22" s="2">
        <v>2904</v>
      </c>
      <c r="H22" s="35">
        <f>SUM(B22:G22)/4</f>
        <v>2712</v>
      </c>
      <c r="J22" s="1">
        <v>2029</v>
      </c>
      <c r="K22" s="2">
        <v>2904</v>
      </c>
      <c r="L22" s="2">
        <v>0</v>
      </c>
      <c r="M22" s="2">
        <v>0</v>
      </c>
      <c r="N22" s="2">
        <v>2640</v>
      </c>
      <c r="O22" s="2">
        <v>2904</v>
      </c>
      <c r="P22" s="2">
        <v>2736</v>
      </c>
      <c r="Q22" s="35">
        <f>SUM(K22:P22)/4</f>
        <v>2796</v>
      </c>
    </row>
    <row r="23" spans="1:18" ht="15">
      <c r="A23" s="1">
        <v>2030</v>
      </c>
      <c r="B23" s="2">
        <v>0</v>
      </c>
      <c r="C23" s="2">
        <v>0</v>
      </c>
      <c r="D23" s="2">
        <v>0</v>
      </c>
      <c r="E23" s="2">
        <v>0</v>
      </c>
      <c r="F23" s="2">
        <v>0</v>
      </c>
      <c r="G23" s="2">
        <v>0</v>
      </c>
      <c r="H23" s="35">
        <f t="shared" si="2"/>
        <v>0</v>
      </c>
      <c r="J23" s="1">
        <v>2030</v>
      </c>
      <c r="K23" s="2">
        <v>0</v>
      </c>
      <c r="L23" s="2">
        <v>0</v>
      </c>
      <c r="M23" s="2">
        <v>0</v>
      </c>
      <c r="N23" s="2">
        <v>0</v>
      </c>
      <c r="O23" s="2">
        <v>0</v>
      </c>
      <c r="P23" s="2">
        <v>0</v>
      </c>
      <c r="Q23" s="35">
        <f t="shared" si="3"/>
        <v>0</v>
      </c>
    </row>
    <row r="27" spans="1:18" ht="15">
      <c r="B27" s="14" t="s">
        <v>204</v>
      </c>
    </row>
    <row r="29" spans="1:18">
      <c r="B29" t="s">
        <v>189</v>
      </c>
      <c r="K29" t="s">
        <v>192</v>
      </c>
    </row>
    <row r="30" spans="1:18" ht="15" customHeight="1">
      <c r="B30" s="247"/>
      <c r="C30" s="247" t="s">
        <v>199</v>
      </c>
      <c r="D30" s="247"/>
      <c r="E30" s="247"/>
      <c r="F30" s="247"/>
      <c r="G30" s="247"/>
      <c r="H30" s="247"/>
      <c r="K30" s="1"/>
      <c r="L30" s="247" t="s">
        <v>203</v>
      </c>
      <c r="M30" s="247"/>
      <c r="N30" s="247"/>
      <c r="O30" s="247"/>
      <c r="P30" s="247"/>
      <c r="Q30" s="247"/>
    </row>
    <row r="31" spans="1:18" ht="45">
      <c r="B31" s="247"/>
      <c r="C31" s="1" t="s">
        <v>61</v>
      </c>
      <c r="D31" s="1" t="s">
        <v>62</v>
      </c>
      <c r="E31" s="1" t="s">
        <v>63</v>
      </c>
      <c r="F31" s="1" t="s">
        <v>64</v>
      </c>
      <c r="G31" s="1" t="s">
        <v>65</v>
      </c>
      <c r="H31" s="1" t="s">
        <v>66</v>
      </c>
      <c r="K31" s="1"/>
      <c r="L31" s="1" t="s">
        <v>61</v>
      </c>
      <c r="M31" s="1" t="s">
        <v>62</v>
      </c>
      <c r="N31" s="1" t="s">
        <v>63</v>
      </c>
      <c r="O31" s="1" t="s">
        <v>64</v>
      </c>
      <c r="P31" s="1" t="s">
        <v>65</v>
      </c>
      <c r="Q31" s="1" t="s">
        <v>66</v>
      </c>
      <c r="R31" s="1" t="s">
        <v>216</v>
      </c>
    </row>
    <row r="32" spans="1:18" ht="15" customHeight="1">
      <c r="B32" s="1">
        <v>2024</v>
      </c>
      <c r="C32" s="2">
        <v>1</v>
      </c>
      <c r="D32" s="2">
        <v>1</v>
      </c>
      <c r="E32" s="2">
        <v>1</v>
      </c>
      <c r="F32" s="2">
        <v>1</v>
      </c>
      <c r="G32" s="2">
        <v>1</v>
      </c>
      <c r="H32" s="2">
        <v>2</v>
      </c>
      <c r="I32" s="6">
        <f>SUM(C32:H32)/6</f>
        <v>1.1666666666666667</v>
      </c>
      <c r="K32" s="1">
        <v>2024</v>
      </c>
      <c r="L32" s="2">
        <v>1</v>
      </c>
      <c r="M32" s="2">
        <v>1</v>
      </c>
      <c r="N32" s="2">
        <v>1</v>
      </c>
      <c r="O32" s="2">
        <v>1</v>
      </c>
      <c r="P32" s="2">
        <v>1</v>
      </c>
      <c r="Q32" s="2">
        <v>2</v>
      </c>
      <c r="R32" s="6">
        <f>SUM(L32:Q32)/6</f>
        <v>1.1666666666666667</v>
      </c>
    </row>
    <row r="33" spans="2:18" ht="15">
      <c r="B33" s="1">
        <v>2025</v>
      </c>
      <c r="C33" s="2">
        <v>2</v>
      </c>
      <c r="D33" s="2">
        <v>4</v>
      </c>
      <c r="E33" s="2">
        <v>2</v>
      </c>
      <c r="F33" s="2">
        <v>3</v>
      </c>
      <c r="G33" s="2">
        <v>3</v>
      </c>
      <c r="H33" s="2">
        <v>2</v>
      </c>
      <c r="I33" s="6">
        <f t="shared" ref="I33:I38" si="4">SUM(C33:H33)/6</f>
        <v>2.6666666666666665</v>
      </c>
      <c r="K33" s="1">
        <v>2025</v>
      </c>
      <c r="L33" s="2">
        <v>1</v>
      </c>
      <c r="M33" s="2">
        <v>2</v>
      </c>
      <c r="N33" s="2">
        <v>2</v>
      </c>
      <c r="O33" s="2">
        <v>3</v>
      </c>
      <c r="P33" s="2">
        <v>3</v>
      </c>
      <c r="Q33" s="2">
        <v>2</v>
      </c>
      <c r="R33" s="6">
        <f t="shared" ref="R33:R38" si="5">SUM(L33:Q33)/6</f>
        <v>2.1666666666666665</v>
      </c>
    </row>
    <row r="34" spans="2:18" ht="15">
      <c r="B34" s="1">
        <v>2026</v>
      </c>
      <c r="C34" s="2">
        <v>5</v>
      </c>
      <c r="D34" s="2">
        <v>3</v>
      </c>
      <c r="E34" s="2">
        <v>2</v>
      </c>
      <c r="F34" s="2">
        <v>3</v>
      </c>
      <c r="G34" s="2">
        <v>3</v>
      </c>
      <c r="H34" s="2">
        <v>2</v>
      </c>
      <c r="I34" s="6">
        <f t="shared" si="4"/>
        <v>3</v>
      </c>
      <c r="K34" s="1">
        <v>2026</v>
      </c>
      <c r="L34" s="2">
        <v>3</v>
      </c>
      <c r="M34" s="2">
        <v>3</v>
      </c>
      <c r="N34" s="2">
        <v>2</v>
      </c>
      <c r="O34" s="2">
        <v>3</v>
      </c>
      <c r="P34" s="2">
        <v>2</v>
      </c>
      <c r="Q34" s="2">
        <v>3</v>
      </c>
      <c r="R34" s="6">
        <f t="shared" si="5"/>
        <v>2.6666666666666665</v>
      </c>
    </row>
    <row r="35" spans="2:18" ht="15">
      <c r="B35" s="1">
        <v>2027</v>
      </c>
      <c r="C35" s="2">
        <v>4</v>
      </c>
      <c r="D35" s="2">
        <v>2</v>
      </c>
      <c r="E35" s="2">
        <v>4</v>
      </c>
      <c r="F35" s="2">
        <v>2</v>
      </c>
      <c r="G35" s="2">
        <v>3</v>
      </c>
      <c r="H35" s="2">
        <v>2</v>
      </c>
      <c r="I35" s="6">
        <f t="shared" si="4"/>
        <v>2.8333333333333335</v>
      </c>
      <c r="K35" s="1">
        <v>2027</v>
      </c>
      <c r="L35" s="2">
        <v>3</v>
      </c>
      <c r="M35" s="2">
        <v>3</v>
      </c>
      <c r="N35" s="2">
        <v>4</v>
      </c>
      <c r="O35" s="2">
        <v>2</v>
      </c>
      <c r="P35" s="2">
        <v>2</v>
      </c>
      <c r="Q35" s="2">
        <v>3</v>
      </c>
      <c r="R35" s="6">
        <f t="shared" si="5"/>
        <v>2.8333333333333335</v>
      </c>
    </row>
    <row r="36" spans="2:18" ht="15">
      <c r="B36" s="1">
        <v>2028</v>
      </c>
      <c r="C36" s="2">
        <v>3</v>
      </c>
      <c r="D36" s="2">
        <v>2</v>
      </c>
      <c r="E36" s="2">
        <v>3</v>
      </c>
      <c r="F36" s="2">
        <v>3</v>
      </c>
      <c r="G36" s="2">
        <v>0</v>
      </c>
      <c r="H36" s="2">
        <v>0</v>
      </c>
      <c r="I36" s="6">
        <f>SUM(C36:H36)/4</f>
        <v>2.75</v>
      </c>
      <c r="K36" s="1">
        <v>2028</v>
      </c>
      <c r="L36" s="2">
        <v>3</v>
      </c>
      <c r="M36" s="2">
        <v>3</v>
      </c>
      <c r="N36" s="2">
        <v>3</v>
      </c>
      <c r="O36" s="2">
        <v>3</v>
      </c>
      <c r="P36" s="2">
        <v>0</v>
      </c>
      <c r="Q36" s="2">
        <v>0</v>
      </c>
      <c r="R36" s="6">
        <f>SUM(L36:Q36)/4</f>
        <v>3</v>
      </c>
    </row>
    <row r="37" spans="2:18" ht="15">
      <c r="B37" s="1">
        <v>2029</v>
      </c>
      <c r="C37" s="2">
        <v>0</v>
      </c>
      <c r="D37" s="2">
        <v>0</v>
      </c>
      <c r="E37" s="2">
        <v>0</v>
      </c>
      <c r="F37" s="2">
        <v>0</v>
      </c>
      <c r="G37" s="2">
        <v>0</v>
      </c>
      <c r="H37" s="2">
        <v>0</v>
      </c>
      <c r="I37" s="35">
        <f t="shared" si="4"/>
        <v>0</v>
      </c>
      <c r="K37" s="1">
        <v>2029</v>
      </c>
      <c r="L37" s="2">
        <v>0</v>
      </c>
      <c r="M37" s="2">
        <v>0</v>
      </c>
      <c r="N37" s="2">
        <v>0</v>
      </c>
      <c r="O37" s="2">
        <v>0</v>
      </c>
      <c r="P37" s="2">
        <v>0</v>
      </c>
      <c r="Q37" s="2">
        <v>0</v>
      </c>
      <c r="R37" s="35">
        <f t="shared" si="5"/>
        <v>0</v>
      </c>
    </row>
    <row r="38" spans="2:18" ht="15">
      <c r="B38" s="1">
        <v>2030</v>
      </c>
      <c r="C38" s="2">
        <v>0</v>
      </c>
      <c r="D38" s="2">
        <v>0</v>
      </c>
      <c r="E38" s="2">
        <v>0</v>
      </c>
      <c r="F38" s="2">
        <v>0</v>
      </c>
      <c r="G38" s="2">
        <v>0</v>
      </c>
      <c r="H38" s="2">
        <v>0</v>
      </c>
      <c r="I38" s="35">
        <f t="shared" si="4"/>
        <v>0</v>
      </c>
      <c r="K38" s="1">
        <v>2030</v>
      </c>
      <c r="L38" s="2">
        <v>0</v>
      </c>
      <c r="M38" s="2">
        <v>0</v>
      </c>
      <c r="N38" s="2">
        <v>0</v>
      </c>
      <c r="O38" s="2">
        <v>0</v>
      </c>
      <c r="P38" s="2">
        <v>0</v>
      </c>
      <c r="Q38" s="2">
        <v>0</v>
      </c>
      <c r="R38" s="35">
        <f t="shared" si="5"/>
        <v>0</v>
      </c>
    </row>
    <row r="41" spans="2:18">
      <c r="B41" t="s">
        <v>189</v>
      </c>
      <c r="K41" t="s">
        <v>192</v>
      </c>
    </row>
    <row r="42" spans="2:18" ht="15" customHeight="1">
      <c r="B42" s="247"/>
      <c r="C42" s="247" t="s">
        <v>205</v>
      </c>
      <c r="D42" s="247"/>
      <c r="E42" s="247"/>
      <c r="F42" s="247"/>
      <c r="G42" s="247"/>
      <c r="H42" s="247"/>
      <c r="K42" s="1"/>
      <c r="L42" s="247" t="s">
        <v>206</v>
      </c>
      <c r="M42" s="247"/>
      <c r="N42" s="247"/>
      <c r="O42" s="247"/>
      <c r="P42" s="247"/>
      <c r="Q42" s="247"/>
    </row>
    <row r="43" spans="2:18" ht="45">
      <c r="B43" s="247"/>
      <c r="C43" s="1" t="s">
        <v>61</v>
      </c>
      <c r="D43" s="1" t="s">
        <v>62</v>
      </c>
      <c r="E43" s="1" t="s">
        <v>63</v>
      </c>
      <c r="F43" s="1" t="s">
        <v>64</v>
      </c>
      <c r="G43" s="1" t="s">
        <v>65</v>
      </c>
      <c r="H43" s="1" t="s">
        <v>66</v>
      </c>
      <c r="K43" s="1"/>
      <c r="L43" s="1" t="s">
        <v>61</v>
      </c>
      <c r="M43" s="1" t="s">
        <v>62</v>
      </c>
      <c r="N43" s="1" t="s">
        <v>63</v>
      </c>
      <c r="O43" s="1" t="s">
        <v>64</v>
      </c>
      <c r="P43" s="1" t="s">
        <v>65</v>
      </c>
      <c r="Q43" s="1" t="s">
        <v>66</v>
      </c>
      <c r="R43" s="1" t="s">
        <v>217</v>
      </c>
    </row>
    <row r="44" spans="2:18" ht="15" customHeight="1">
      <c r="B44" s="1">
        <v>2024</v>
      </c>
      <c r="C44" s="2">
        <v>2928</v>
      </c>
      <c r="D44" s="2">
        <v>2928</v>
      </c>
      <c r="E44" s="2">
        <v>2928</v>
      </c>
      <c r="F44" s="2">
        <v>2928</v>
      </c>
      <c r="G44" s="2">
        <v>2928</v>
      </c>
      <c r="H44" s="2">
        <v>2760</v>
      </c>
      <c r="I44" s="6">
        <f>SUM(C44:H44)/6</f>
        <v>2900</v>
      </c>
      <c r="K44" s="1">
        <v>2024</v>
      </c>
      <c r="L44" s="2">
        <v>2928</v>
      </c>
      <c r="M44" s="2">
        <v>2928</v>
      </c>
      <c r="N44" s="2">
        <v>2928</v>
      </c>
      <c r="O44" s="2">
        <v>2928</v>
      </c>
      <c r="P44" s="2">
        <v>2928</v>
      </c>
      <c r="Q44" s="2">
        <v>2760</v>
      </c>
      <c r="R44" s="6">
        <f>SUM(L44:Q44)/6</f>
        <v>2900</v>
      </c>
    </row>
    <row r="45" spans="2:18" ht="15">
      <c r="B45" s="1">
        <v>2025</v>
      </c>
      <c r="C45" s="2">
        <v>1320</v>
      </c>
      <c r="D45" s="2">
        <v>2568</v>
      </c>
      <c r="E45" s="2">
        <v>2880</v>
      </c>
      <c r="F45" s="2">
        <v>2736</v>
      </c>
      <c r="G45" s="2">
        <v>2736</v>
      </c>
      <c r="H45" s="2">
        <v>2904</v>
      </c>
      <c r="I45" s="6">
        <f t="shared" ref="I45:I50" si="6">SUM(C45:H45)/6</f>
        <v>2524</v>
      </c>
      <c r="K45" s="1">
        <v>2025</v>
      </c>
      <c r="L45" s="2">
        <v>1488</v>
      </c>
      <c r="M45" s="2">
        <v>2904</v>
      </c>
      <c r="N45" s="2">
        <v>2880</v>
      </c>
      <c r="O45" s="2">
        <v>2736</v>
      </c>
      <c r="P45" s="2">
        <v>2736</v>
      </c>
      <c r="Q45" s="2">
        <v>2904</v>
      </c>
      <c r="R45" s="6">
        <f t="shared" ref="R45:R50" si="7">SUM(L45:Q45)/6</f>
        <v>2608</v>
      </c>
    </row>
    <row r="46" spans="2:18" ht="15">
      <c r="B46" s="1">
        <v>2026</v>
      </c>
      <c r="C46" s="2">
        <v>2400</v>
      </c>
      <c r="D46" s="2">
        <v>2736</v>
      </c>
      <c r="E46" s="2">
        <v>2904</v>
      </c>
      <c r="F46" s="2">
        <v>2736</v>
      </c>
      <c r="G46" s="2">
        <v>2736</v>
      </c>
      <c r="H46" s="2">
        <v>2688</v>
      </c>
      <c r="I46" s="6">
        <f t="shared" si="6"/>
        <v>2700</v>
      </c>
      <c r="K46" s="1">
        <v>2026</v>
      </c>
      <c r="L46" s="2">
        <v>2736</v>
      </c>
      <c r="M46" s="2">
        <v>2736</v>
      </c>
      <c r="N46" s="2">
        <v>2904</v>
      </c>
      <c r="O46" s="2">
        <v>2736</v>
      </c>
      <c r="P46" s="2">
        <v>2904</v>
      </c>
      <c r="Q46" s="2">
        <v>2736</v>
      </c>
      <c r="R46" s="6">
        <f t="shared" si="7"/>
        <v>2792</v>
      </c>
    </row>
    <row r="47" spans="2:18" ht="15">
      <c r="B47" s="1">
        <v>2027</v>
      </c>
      <c r="C47" s="2">
        <v>2232</v>
      </c>
      <c r="D47" s="2">
        <v>2904</v>
      </c>
      <c r="E47" s="2">
        <v>2520</v>
      </c>
      <c r="F47" s="2">
        <v>2904</v>
      </c>
      <c r="G47" s="2">
        <v>2736</v>
      </c>
      <c r="H47" s="2">
        <v>2904</v>
      </c>
      <c r="I47" s="6">
        <f t="shared" si="6"/>
        <v>2700</v>
      </c>
      <c r="K47" s="1">
        <v>2027</v>
      </c>
      <c r="L47" s="2">
        <v>2736</v>
      </c>
      <c r="M47" s="2">
        <v>2736</v>
      </c>
      <c r="N47" s="2">
        <v>2520</v>
      </c>
      <c r="O47" s="2">
        <v>2904</v>
      </c>
      <c r="P47" s="2">
        <v>2904</v>
      </c>
      <c r="Q47" s="2">
        <v>2736</v>
      </c>
      <c r="R47" s="6">
        <f t="shared" si="7"/>
        <v>2756</v>
      </c>
    </row>
    <row r="48" spans="2:18" ht="15">
      <c r="B48" s="1">
        <v>2028</v>
      </c>
      <c r="C48" s="2">
        <v>2760</v>
      </c>
      <c r="D48" s="2">
        <v>2928</v>
      </c>
      <c r="E48" s="2">
        <v>2736</v>
      </c>
      <c r="F48" s="2">
        <v>2640</v>
      </c>
      <c r="G48" s="2">
        <v>0</v>
      </c>
      <c r="H48" s="2">
        <v>0</v>
      </c>
      <c r="I48" s="6">
        <f>SUM(C48:H48)/4</f>
        <v>2766</v>
      </c>
      <c r="K48" s="1">
        <v>2028</v>
      </c>
      <c r="L48" s="2">
        <v>2760</v>
      </c>
      <c r="M48" s="2">
        <v>2760</v>
      </c>
      <c r="N48" s="2">
        <v>2736</v>
      </c>
      <c r="O48" s="2">
        <v>2640</v>
      </c>
      <c r="P48" s="2">
        <v>0</v>
      </c>
      <c r="Q48" s="2">
        <v>0</v>
      </c>
      <c r="R48" s="6">
        <f>SUM(L48:Q48)/4</f>
        <v>2724</v>
      </c>
    </row>
    <row r="49" spans="2:18" ht="15">
      <c r="B49" s="1">
        <v>2029</v>
      </c>
      <c r="C49" s="2">
        <v>0</v>
      </c>
      <c r="D49" s="2">
        <v>0</v>
      </c>
      <c r="E49" s="2">
        <v>0</v>
      </c>
      <c r="F49" s="2">
        <v>0</v>
      </c>
      <c r="G49" s="2">
        <v>0</v>
      </c>
      <c r="H49" s="2">
        <v>0</v>
      </c>
      <c r="I49" s="6">
        <f t="shared" si="6"/>
        <v>0</v>
      </c>
      <c r="K49" s="1">
        <v>2029</v>
      </c>
      <c r="L49" s="2">
        <v>0</v>
      </c>
      <c r="M49" s="2">
        <v>0</v>
      </c>
      <c r="N49" s="2">
        <v>0</v>
      </c>
      <c r="O49" s="2">
        <v>0</v>
      </c>
      <c r="P49" s="2">
        <v>0</v>
      </c>
      <c r="Q49" s="2">
        <v>0</v>
      </c>
      <c r="R49" s="6">
        <f t="shared" si="7"/>
        <v>0</v>
      </c>
    </row>
    <row r="50" spans="2:18" ht="15">
      <c r="B50" s="1">
        <v>2030</v>
      </c>
      <c r="C50" s="2">
        <v>0</v>
      </c>
      <c r="D50" s="2">
        <v>0</v>
      </c>
      <c r="E50" s="2">
        <v>0</v>
      </c>
      <c r="F50" s="2">
        <v>0</v>
      </c>
      <c r="G50" s="2">
        <v>0</v>
      </c>
      <c r="H50" s="2">
        <v>0</v>
      </c>
      <c r="I50" s="6">
        <f t="shared" si="6"/>
        <v>0</v>
      </c>
      <c r="K50" s="1">
        <v>2030</v>
      </c>
      <c r="L50" s="2">
        <v>0</v>
      </c>
      <c r="M50" s="2">
        <v>0</v>
      </c>
      <c r="N50" s="2">
        <v>0</v>
      </c>
      <c r="O50" s="2">
        <v>0</v>
      </c>
      <c r="P50" s="2">
        <v>0</v>
      </c>
      <c r="Q50" s="2">
        <v>0</v>
      </c>
      <c r="R50" s="6">
        <f t="shared" si="7"/>
        <v>0</v>
      </c>
    </row>
  </sheetData>
  <mergeCells count="12">
    <mergeCell ref="A2:A3"/>
    <mergeCell ref="B2:G2"/>
    <mergeCell ref="A15:A16"/>
    <mergeCell ref="B15:G15"/>
    <mergeCell ref="L42:Q42"/>
    <mergeCell ref="B42:B43"/>
    <mergeCell ref="C42:H42"/>
    <mergeCell ref="K2:P2"/>
    <mergeCell ref="K15:P15"/>
    <mergeCell ref="B30:B31"/>
    <mergeCell ref="C30:H30"/>
    <mergeCell ref="L30:Q30"/>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Y42"/>
  <sheetViews>
    <sheetView rightToLeft="1" topLeftCell="H1" zoomScaleNormal="100" workbookViewId="0">
      <selection activeCell="B12" sqref="A12:XFD12"/>
    </sheetView>
  </sheetViews>
  <sheetFormatPr defaultRowHeight="14.25"/>
  <cols>
    <col min="1" max="1" width="0" hidden="1" customWidth="1"/>
    <col min="2" max="2" width="46.375" bestFit="1" customWidth="1"/>
    <col min="3" max="3" width="7.375" bestFit="1" customWidth="1"/>
    <col min="4" max="4" width="20" bestFit="1" customWidth="1"/>
    <col min="5" max="5" width="7.5" bestFit="1" customWidth="1"/>
    <col min="6" max="6" width="8.5" bestFit="1" customWidth="1"/>
    <col min="7" max="7" width="8.375" bestFit="1" customWidth="1"/>
    <col min="8" max="8" width="7.375" bestFit="1" customWidth="1"/>
    <col min="9" max="11" width="0" hidden="1" customWidth="1"/>
    <col min="12" max="12" width="47.375" bestFit="1" customWidth="1"/>
    <col min="13" max="13" width="20" bestFit="1" customWidth="1"/>
    <col min="14" max="14" width="9" bestFit="1" customWidth="1"/>
    <col min="15" max="15" width="7.5" bestFit="1" customWidth="1"/>
    <col min="16" max="16" width="8.5" bestFit="1" customWidth="1"/>
    <col min="17" max="18" width="7.375" bestFit="1" customWidth="1"/>
    <col min="19" max="19" width="0" style="31" hidden="1" customWidth="1"/>
    <col min="20" max="21" width="0" hidden="1" customWidth="1"/>
    <col min="22" max="22" width="10.625" bestFit="1" customWidth="1"/>
    <col min="23" max="23" width="7.375" bestFit="1" customWidth="1"/>
    <col min="24" max="24" width="19.125" bestFit="1" customWidth="1"/>
    <col min="25" max="25" width="7.5" bestFit="1" customWidth="1"/>
    <col min="26" max="26" width="53.375" bestFit="1" customWidth="1"/>
    <col min="27" max="27" width="8.375" bestFit="1" customWidth="1"/>
    <col min="28" max="28" width="7.375" bestFit="1" customWidth="1"/>
    <col min="29" max="29" width="14.5" customWidth="1"/>
    <col min="30" max="30" width="7.75" bestFit="1" customWidth="1"/>
    <col min="31" max="31" width="7.375" bestFit="1" customWidth="1"/>
    <col min="32" max="32" width="19.125" bestFit="1" customWidth="1"/>
    <col min="33" max="33" width="55" bestFit="1" customWidth="1"/>
    <col min="34" max="34" width="8.5" bestFit="1" customWidth="1"/>
    <col min="35" max="35" width="8.375" bestFit="1" customWidth="1"/>
    <col min="36" max="36" width="6.375" bestFit="1" customWidth="1"/>
    <col min="39" max="39" width="7.125" bestFit="1" customWidth="1"/>
    <col min="40" max="40" width="7.75" bestFit="1" customWidth="1"/>
    <col min="41" max="41" width="66.375" bestFit="1" customWidth="1"/>
    <col min="42" max="42" width="15.5" bestFit="1" customWidth="1"/>
    <col min="43" max="43" width="9" bestFit="1" customWidth="1"/>
    <col min="44" max="44" width="7.25" bestFit="1" customWidth="1"/>
    <col min="45" max="45" width="8.375" bestFit="1" customWidth="1"/>
    <col min="46" max="46" width="7.375" bestFit="1" customWidth="1"/>
    <col min="48" max="48" width="14.375" bestFit="1" customWidth="1"/>
    <col min="49" max="51" width="11.875" bestFit="1" customWidth="1"/>
  </cols>
  <sheetData>
    <row r="1" spans="2:51" ht="15">
      <c r="B1" s="12" t="s">
        <v>55</v>
      </c>
      <c r="D1" s="28" t="s">
        <v>187</v>
      </c>
      <c r="E1" s="28"/>
      <c r="L1" s="27" t="s">
        <v>56</v>
      </c>
      <c r="M1" s="28" t="s">
        <v>187</v>
      </c>
      <c r="N1" s="28"/>
      <c r="V1" s="12" t="s">
        <v>55</v>
      </c>
      <c r="X1" s="28" t="s">
        <v>190</v>
      </c>
      <c r="Y1" s="28"/>
      <c r="AD1" s="12" t="s">
        <v>56</v>
      </c>
      <c r="AF1" s="28" t="s">
        <v>190</v>
      </c>
      <c r="AG1" s="28"/>
      <c r="AO1" t="s">
        <v>276</v>
      </c>
      <c r="AP1" s="82" t="s">
        <v>277</v>
      </c>
      <c r="AQ1" s="82"/>
      <c r="AR1" s="12"/>
      <c r="AS1" s="12"/>
      <c r="AT1" s="12"/>
    </row>
    <row r="2" spans="2:51" ht="30">
      <c r="B2" t="s">
        <v>178</v>
      </c>
      <c r="L2" t="s">
        <v>186</v>
      </c>
      <c r="Z2" t="s">
        <v>189</v>
      </c>
      <c r="AG2" t="s">
        <v>192</v>
      </c>
      <c r="AM2" s="14" t="s">
        <v>200</v>
      </c>
      <c r="AN2" s="14" t="s">
        <v>56</v>
      </c>
      <c r="AO2" s="1" t="s">
        <v>18</v>
      </c>
      <c r="AP2" s="1" t="s">
        <v>14</v>
      </c>
      <c r="AQ2" s="1" t="s">
        <v>15</v>
      </c>
      <c r="AR2" s="1" t="s">
        <v>5</v>
      </c>
      <c r="AS2" s="1" t="s">
        <v>2</v>
      </c>
      <c r="AT2" s="1" t="s">
        <v>0</v>
      </c>
    </row>
    <row r="3" spans="2:51" ht="30">
      <c r="B3" s="247" t="s">
        <v>19</v>
      </c>
      <c r="C3" s="1" t="s">
        <v>14</v>
      </c>
      <c r="D3" s="1" t="s">
        <v>15</v>
      </c>
      <c r="E3" s="247" t="s">
        <v>2</v>
      </c>
      <c r="F3" s="247"/>
      <c r="G3" s="247"/>
      <c r="H3" s="1" t="s">
        <v>0</v>
      </c>
      <c r="L3" s="247" t="s">
        <v>19</v>
      </c>
      <c r="M3" s="1" t="s">
        <v>14</v>
      </c>
      <c r="N3" s="1" t="s">
        <v>15</v>
      </c>
      <c r="O3" s="247" t="s">
        <v>2</v>
      </c>
      <c r="P3" s="247"/>
      <c r="Q3" s="247"/>
      <c r="R3" s="1" t="s">
        <v>0</v>
      </c>
      <c r="V3" s="247" t="s">
        <v>19</v>
      </c>
      <c r="W3" s="1" t="s">
        <v>14</v>
      </c>
      <c r="X3" s="1" t="s">
        <v>15</v>
      </c>
      <c r="Y3" s="247" t="s">
        <v>2</v>
      </c>
      <c r="Z3" s="247"/>
      <c r="AA3" s="247"/>
      <c r="AB3" s="1" t="s">
        <v>0</v>
      </c>
      <c r="AD3" s="1" t="str">
        <f>V3</f>
        <v>GWH</v>
      </c>
      <c r="AE3" s="1" t="s">
        <v>14</v>
      </c>
      <c r="AF3" s="1" t="s">
        <v>15</v>
      </c>
      <c r="AG3" s="1" t="s">
        <v>2</v>
      </c>
      <c r="AH3" s="1"/>
      <c r="AI3" s="1"/>
      <c r="AJ3" s="1" t="s">
        <v>0</v>
      </c>
      <c r="AO3" s="1" t="s">
        <v>6</v>
      </c>
      <c r="AP3" s="3">
        <v>3.68</v>
      </c>
      <c r="AQ3" s="3">
        <v>0</v>
      </c>
      <c r="AR3" s="3">
        <v>1.1599999999999999</v>
      </c>
      <c r="AS3" s="3">
        <v>9106.2999999999993</v>
      </c>
      <c r="AT3" s="3">
        <v>1788.74</v>
      </c>
    </row>
    <row r="4" spans="2:51" ht="15" customHeight="1">
      <c r="B4" s="247"/>
      <c r="C4" s="1" t="s">
        <v>1</v>
      </c>
      <c r="D4" s="1" t="s">
        <v>1</v>
      </c>
      <c r="E4" s="247" t="s">
        <v>3</v>
      </c>
      <c r="F4" s="247"/>
      <c r="G4" s="1" t="s">
        <v>1</v>
      </c>
      <c r="H4" s="1" t="s">
        <v>1</v>
      </c>
      <c r="L4" s="247"/>
      <c r="M4" s="1" t="s">
        <v>1</v>
      </c>
      <c r="N4" s="1" t="s">
        <v>1</v>
      </c>
      <c r="O4" s="247" t="s">
        <v>3</v>
      </c>
      <c r="P4" s="247"/>
      <c r="Q4" s="1" t="s">
        <v>1</v>
      </c>
      <c r="R4" s="1" t="s">
        <v>1</v>
      </c>
      <c r="V4" s="247"/>
      <c r="W4" s="1" t="s">
        <v>1</v>
      </c>
      <c r="X4" s="1" t="s">
        <v>1</v>
      </c>
      <c r="Y4" s="247" t="s">
        <v>3</v>
      </c>
      <c r="Z4" s="247"/>
      <c r="AA4" s="1" t="s">
        <v>1</v>
      </c>
      <c r="AB4" s="1" t="s">
        <v>1</v>
      </c>
      <c r="AD4" s="1"/>
      <c r="AE4" s="1" t="s">
        <v>1</v>
      </c>
      <c r="AF4" s="1" t="s">
        <v>1</v>
      </c>
      <c r="AG4" s="1" t="s">
        <v>3</v>
      </c>
      <c r="AH4" s="1"/>
      <c r="AI4" s="1" t="s">
        <v>1</v>
      </c>
      <c r="AJ4" s="1" t="s">
        <v>1</v>
      </c>
      <c r="AO4" s="1" t="s">
        <v>7</v>
      </c>
      <c r="AP4" s="3">
        <v>11.83</v>
      </c>
      <c r="AQ4" s="3">
        <v>0.25</v>
      </c>
      <c r="AR4" s="3">
        <v>2.02</v>
      </c>
      <c r="AS4" s="3">
        <v>9407.92</v>
      </c>
      <c r="AT4" s="3">
        <v>969.75</v>
      </c>
      <c r="AV4" t="s">
        <v>311</v>
      </c>
      <c r="AW4">
        <f>' חלופה 1 20% מתחדש -תמג 3 '!H26</f>
        <v>74621.409952607879</v>
      </c>
      <c r="AX4">
        <f>' חלופה 1 20% מתחדש -תמג 3 '!I26</f>
        <v>71159.572819666937</v>
      </c>
      <c r="AY4">
        <f>' חלופה 1 20% מתחדש -תמג 3 '!J26</f>
        <v>71804.093980483172</v>
      </c>
    </row>
    <row r="5" spans="2:51" ht="15" customHeight="1">
      <c r="B5" s="247"/>
      <c r="C5" s="247" t="s">
        <v>1</v>
      </c>
      <c r="D5" s="247"/>
      <c r="E5" s="247" t="s">
        <v>60</v>
      </c>
      <c r="F5" s="247"/>
      <c r="G5" s="247" t="s">
        <v>1</v>
      </c>
      <c r="H5" s="247"/>
      <c r="L5" s="247"/>
      <c r="M5" s="247" t="s">
        <v>1</v>
      </c>
      <c r="N5" s="247"/>
      <c r="O5" s="247" t="s">
        <v>60</v>
      </c>
      <c r="P5" s="247"/>
      <c r="Q5" s="247" t="s">
        <v>1</v>
      </c>
      <c r="R5" s="247"/>
      <c r="V5" s="247"/>
      <c r="W5" s="247" t="s">
        <v>1</v>
      </c>
      <c r="X5" s="247"/>
      <c r="Y5" s="247" t="s">
        <v>60</v>
      </c>
      <c r="Z5" s="247"/>
      <c r="AA5" s="247" t="s">
        <v>1</v>
      </c>
      <c r="AB5" s="247"/>
      <c r="AD5" s="1"/>
      <c r="AE5" s="1" t="s">
        <v>1</v>
      </c>
      <c r="AF5" s="1"/>
      <c r="AG5" s="1" t="s">
        <v>60</v>
      </c>
      <c r="AH5" s="1"/>
      <c r="AI5" s="1" t="s">
        <v>1</v>
      </c>
      <c r="AJ5" s="1"/>
      <c r="AO5" s="1" t="s">
        <v>8</v>
      </c>
      <c r="AP5" s="3">
        <v>10.130000000000001</v>
      </c>
      <c r="AQ5" s="3">
        <v>0.43</v>
      </c>
      <c r="AR5" s="3">
        <v>2.2999999999999998</v>
      </c>
      <c r="AS5" s="3">
        <v>9608.68</v>
      </c>
      <c r="AT5" s="3">
        <v>940.95</v>
      </c>
      <c r="AV5" t="s">
        <v>312</v>
      </c>
    </row>
    <row r="6" spans="2:51" ht="15" customHeight="1">
      <c r="B6" s="247"/>
      <c r="C6" s="247" t="s">
        <v>1</v>
      </c>
      <c r="D6" s="247"/>
      <c r="E6" s="1" t="s">
        <v>16</v>
      </c>
      <c r="F6" s="1" t="s">
        <v>185</v>
      </c>
      <c r="G6" s="247" t="s">
        <v>1</v>
      </c>
      <c r="H6" s="247"/>
      <c r="L6" s="247"/>
      <c r="M6" s="247" t="s">
        <v>1</v>
      </c>
      <c r="N6" s="247"/>
      <c r="O6" s="1" t="s">
        <v>16</v>
      </c>
      <c r="P6" s="1" t="s">
        <v>185</v>
      </c>
      <c r="Q6" s="247" t="s">
        <v>1</v>
      </c>
      <c r="R6" s="247"/>
      <c r="V6" s="247"/>
      <c r="W6" s="247" t="s">
        <v>1</v>
      </c>
      <c r="X6" s="247"/>
      <c r="Y6" s="1" t="s">
        <v>16</v>
      </c>
      <c r="Z6" s="1" t="s">
        <v>185</v>
      </c>
      <c r="AA6" s="247" t="s">
        <v>1</v>
      </c>
      <c r="AB6" s="247"/>
      <c r="AD6" s="1"/>
      <c r="AE6" s="1" t="s">
        <v>1</v>
      </c>
      <c r="AF6" s="1"/>
      <c r="AG6" s="1" t="s">
        <v>16</v>
      </c>
      <c r="AH6" s="1" t="s">
        <v>185</v>
      </c>
      <c r="AI6" s="1" t="s">
        <v>1</v>
      </c>
      <c r="AJ6" s="1"/>
      <c r="AO6" s="1" t="s">
        <v>9</v>
      </c>
      <c r="AP6" s="3">
        <v>11.4</v>
      </c>
      <c r="AQ6" s="3">
        <v>0.26</v>
      </c>
      <c r="AR6" s="3">
        <v>2.2999999999999998</v>
      </c>
      <c r="AS6" s="3">
        <v>9670.6200000000008</v>
      </c>
      <c r="AT6" s="3">
        <v>938.26</v>
      </c>
    </row>
    <row r="7" spans="2:51" ht="15" customHeight="1">
      <c r="B7" s="1" t="s">
        <v>6</v>
      </c>
      <c r="C7" s="2">
        <v>9.0299999999999994</v>
      </c>
      <c r="D7" s="2">
        <v>0</v>
      </c>
      <c r="E7" s="2">
        <v>1485.31</v>
      </c>
      <c r="F7" s="2">
        <v>0</v>
      </c>
      <c r="G7" s="2">
        <v>63654.67</v>
      </c>
      <c r="H7" s="2">
        <v>5601.97</v>
      </c>
      <c r="L7" s="1" t="s">
        <v>6</v>
      </c>
      <c r="M7" s="3">
        <v>9.0299999999999994</v>
      </c>
      <c r="N7" s="3">
        <v>0</v>
      </c>
      <c r="O7" s="3">
        <v>1485.31</v>
      </c>
      <c r="P7" s="3">
        <v>0</v>
      </c>
      <c r="Q7" s="3">
        <v>63654.66</v>
      </c>
      <c r="R7" s="3">
        <v>5601.97</v>
      </c>
      <c r="V7" s="1" t="s">
        <v>6</v>
      </c>
      <c r="W7" s="3">
        <v>9.49</v>
      </c>
      <c r="X7" s="3">
        <v>0</v>
      </c>
      <c r="Y7" s="3">
        <v>1470.69</v>
      </c>
      <c r="Z7" s="3">
        <v>0</v>
      </c>
      <c r="AA7" s="3">
        <v>63662.93</v>
      </c>
      <c r="AB7" s="3">
        <v>5593.78</v>
      </c>
      <c r="AD7" s="1" t="s">
        <v>6</v>
      </c>
      <c r="AE7" s="3">
        <v>9.0299999999999994</v>
      </c>
      <c r="AF7" s="3">
        <v>0</v>
      </c>
      <c r="AG7" s="3">
        <v>1485.31</v>
      </c>
      <c r="AH7" s="3">
        <v>0</v>
      </c>
      <c r="AI7" s="3">
        <v>63654.66</v>
      </c>
      <c r="AJ7" s="3">
        <v>5601.97</v>
      </c>
      <c r="AK7" s="5"/>
      <c r="AO7" s="1" t="s">
        <v>10</v>
      </c>
      <c r="AP7" s="3">
        <v>12.76</v>
      </c>
      <c r="AQ7" s="3">
        <v>0.35</v>
      </c>
      <c r="AR7" s="3">
        <v>2.02</v>
      </c>
      <c r="AS7" s="3">
        <v>9807.59</v>
      </c>
      <c r="AT7" s="3">
        <v>978.99</v>
      </c>
    </row>
    <row r="8" spans="2:51" ht="15">
      <c r="B8" s="1" t="s">
        <v>7</v>
      </c>
      <c r="C8" s="2">
        <v>43.04</v>
      </c>
      <c r="D8" s="2">
        <v>0.6</v>
      </c>
      <c r="E8" s="2">
        <v>2981.01</v>
      </c>
      <c r="F8" s="2">
        <v>0</v>
      </c>
      <c r="G8" s="2">
        <v>67966.179999999993</v>
      </c>
      <c r="H8" s="2">
        <v>1692.7</v>
      </c>
      <c r="L8" s="1" t="s">
        <v>7</v>
      </c>
      <c r="M8" s="3">
        <v>36.32</v>
      </c>
      <c r="N8" s="3">
        <v>0.26</v>
      </c>
      <c r="O8" s="3">
        <v>1771.04</v>
      </c>
      <c r="P8" s="3">
        <v>0</v>
      </c>
      <c r="Q8" s="3">
        <v>66655.850000000006</v>
      </c>
      <c r="R8" s="3">
        <v>3011.28</v>
      </c>
      <c r="V8" s="1" t="s">
        <v>7</v>
      </c>
      <c r="W8" s="3">
        <v>43.49</v>
      </c>
      <c r="X8" s="3">
        <v>0.55000000000000004</v>
      </c>
      <c r="Y8" s="3">
        <v>2972.57</v>
      </c>
      <c r="Z8" s="3">
        <v>0</v>
      </c>
      <c r="AA8" s="3">
        <v>67959.520000000004</v>
      </c>
      <c r="AB8" s="3">
        <v>1691.82</v>
      </c>
      <c r="AD8" s="1" t="s">
        <v>7</v>
      </c>
      <c r="AE8" s="3">
        <v>36.32</v>
      </c>
      <c r="AF8" s="3">
        <v>0.26</v>
      </c>
      <c r="AG8" s="3">
        <v>1771.04</v>
      </c>
      <c r="AH8" s="3">
        <v>0</v>
      </c>
      <c r="AI8" s="3">
        <v>66655.850000000006</v>
      </c>
      <c r="AJ8" s="3">
        <v>3011.28</v>
      </c>
      <c r="AK8" s="5"/>
      <c r="AO8" s="1" t="s">
        <v>11</v>
      </c>
      <c r="AP8" s="3">
        <v>1.18</v>
      </c>
      <c r="AQ8" s="3">
        <v>0</v>
      </c>
      <c r="AR8" s="3">
        <v>1.44</v>
      </c>
      <c r="AS8" s="3">
        <v>9721.09</v>
      </c>
      <c r="AT8" s="3">
        <v>639.79</v>
      </c>
    </row>
    <row r="9" spans="2:51" ht="15">
      <c r="B9" s="1" t="s">
        <v>8</v>
      </c>
      <c r="C9" s="2">
        <v>55.56</v>
      </c>
      <c r="D9" s="2">
        <v>0.99</v>
      </c>
      <c r="E9" s="2">
        <v>3778.09</v>
      </c>
      <c r="F9" s="2">
        <v>1469.56</v>
      </c>
      <c r="G9" s="2">
        <v>70145.990000000005</v>
      </c>
      <c r="H9" s="2">
        <v>418.99</v>
      </c>
      <c r="L9" s="1" t="s">
        <v>8</v>
      </c>
      <c r="M9" s="3">
        <v>46.87</v>
      </c>
      <c r="N9" s="3">
        <v>0.93</v>
      </c>
      <c r="O9" s="3">
        <v>2011.12</v>
      </c>
      <c r="P9" s="3">
        <v>0</v>
      </c>
      <c r="Q9" s="3">
        <v>67231.429999999993</v>
      </c>
      <c r="R9" s="3">
        <v>3332.51</v>
      </c>
      <c r="V9" s="1" t="s">
        <v>8</v>
      </c>
      <c r="W9" s="3">
        <v>53</v>
      </c>
      <c r="X9" s="3">
        <v>1.02</v>
      </c>
      <c r="Y9" s="3">
        <v>3768.32</v>
      </c>
      <c r="Z9" s="3">
        <v>1471.31</v>
      </c>
      <c r="AA9" s="3">
        <v>70151.89</v>
      </c>
      <c r="AB9" s="3">
        <v>418.98</v>
      </c>
      <c r="AD9" s="1" t="s">
        <v>8</v>
      </c>
      <c r="AE9" s="3">
        <v>45.64</v>
      </c>
      <c r="AF9" s="3">
        <v>0.92</v>
      </c>
      <c r="AG9" s="3">
        <v>2008.29</v>
      </c>
      <c r="AH9" s="3">
        <v>0</v>
      </c>
      <c r="AI9" s="3">
        <v>67240.98</v>
      </c>
      <c r="AJ9" s="3">
        <v>3332.2</v>
      </c>
      <c r="AK9" s="5"/>
      <c r="AO9" s="1" t="s">
        <v>12</v>
      </c>
      <c r="AP9" s="3">
        <v>1.84</v>
      </c>
      <c r="AQ9" s="3">
        <v>0.06</v>
      </c>
      <c r="AR9" s="3">
        <v>0</v>
      </c>
      <c r="AS9" s="3">
        <v>9964.2099999999991</v>
      </c>
      <c r="AT9" s="3">
        <v>0</v>
      </c>
    </row>
    <row r="10" spans="2:51" ht="15">
      <c r="B10" s="1" t="s">
        <v>9</v>
      </c>
      <c r="C10" s="2">
        <v>46.5</v>
      </c>
      <c r="D10" s="2">
        <v>0.48</v>
      </c>
      <c r="E10" s="2">
        <v>3800.29</v>
      </c>
      <c r="F10" s="2">
        <v>2021.79</v>
      </c>
      <c r="G10" s="2">
        <v>71601.84</v>
      </c>
      <c r="H10" s="2">
        <v>0</v>
      </c>
      <c r="L10" s="1" t="s">
        <v>9</v>
      </c>
      <c r="M10" s="3">
        <v>50.23</v>
      </c>
      <c r="N10" s="3">
        <v>0.45</v>
      </c>
      <c r="O10" s="3">
        <v>1963.74</v>
      </c>
      <c r="P10" s="3">
        <v>0</v>
      </c>
      <c r="Q10" s="3">
        <v>68251.56</v>
      </c>
      <c r="R10" s="3">
        <v>3334.39</v>
      </c>
      <c r="V10" s="1" t="s">
        <v>9</v>
      </c>
      <c r="W10" s="3">
        <v>47.24</v>
      </c>
      <c r="X10" s="3">
        <v>0.52</v>
      </c>
      <c r="Y10" s="3">
        <v>3798.93</v>
      </c>
      <c r="Z10" s="3">
        <v>2021</v>
      </c>
      <c r="AA10" s="3">
        <v>71603.95</v>
      </c>
      <c r="AB10" s="3">
        <v>0</v>
      </c>
      <c r="AD10" s="1" t="s">
        <v>9</v>
      </c>
      <c r="AE10" s="3">
        <v>21.71</v>
      </c>
      <c r="AF10" s="3">
        <v>0.25</v>
      </c>
      <c r="AG10" s="3">
        <v>1782.3</v>
      </c>
      <c r="AH10" s="3">
        <v>0</v>
      </c>
      <c r="AI10" s="3">
        <v>68334.22</v>
      </c>
      <c r="AJ10" s="3">
        <v>3317.18</v>
      </c>
      <c r="AK10" s="5"/>
      <c r="AP10" s="5">
        <f>SUM(AP3:AP9)</f>
        <v>52.82</v>
      </c>
      <c r="AQ10" s="5">
        <f t="shared" ref="AQ10:AT10" si="0">SUM(AQ3:AQ9)</f>
        <v>1.35</v>
      </c>
      <c r="AR10" s="5">
        <f t="shared" si="0"/>
        <v>11.239999999999998</v>
      </c>
      <c r="AS10" s="5">
        <f>SUM(AS3:AS9)</f>
        <v>67286.41</v>
      </c>
      <c r="AT10" s="5">
        <f t="shared" si="0"/>
        <v>6256.48</v>
      </c>
    </row>
    <row r="11" spans="2:51" ht="15">
      <c r="B11" s="1" t="s">
        <v>10</v>
      </c>
      <c r="C11" s="2">
        <v>37.229999999999997</v>
      </c>
      <c r="D11" s="2">
        <v>0.37</v>
      </c>
      <c r="E11" s="2">
        <v>3997.93</v>
      </c>
      <c r="F11" s="2">
        <v>2137.6999999999998</v>
      </c>
      <c r="G11" s="2">
        <v>72760.100000000006</v>
      </c>
      <c r="H11" s="2">
        <v>0</v>
      </c>
      <c r="L11" s="1" t="s">
        <v>10</v>
      </c>
      <c r="M11" s="3">
        <v>39.07</v>
      </c>
      <c r="N11" s="3">
        <v>0.43</v>
      </c>
      <c r="O11" s="3">
        <v>1903.75</v>
      </c>
      <c r="P11" s="3">
        <v>0</v>
      </c>
      <c r="Q11" s="3">
        <v>69305.179999999993</v>
      </c>
      <c r="R11" s="3">
        <v>3419.76</v>
      </c>
      <c r="V11" s="1" t="s">
        <v>10</v>
      </c>
      <c r="W11" s="3">
        <v>33.909999999999997</v>
      </c>
      <c r="X11" s="3">
        <v>0.33</v>
      </c>
      <c r="Y11" s="3">
        <v>4051.11</v>
      </c>
      <c r="Z11" s="3">
        <v>0</v>
      </c>
      <c r="AA11" s="3">
        <v>72622.240000000005</v>
      </c>
      <c r="AB11" s="3">
        <v>0</v>
      </c>
      <c r="AD11" s="1" t="s">
        <v>10</v>
      </c>
      <c r="AE11" s="3">
        <v>9.36</v>
      </c>
      <c r="AF11" s="3">
        <v>0.13</v>
      </c>
      <c r="AG11" s="3">
        <v>1787.7</v>
      </c>
      <c r="AH11" s="3">
        <v>0</v>
      </c>
      <c r="AI11" s="3">
        <v>70991.16</v>
      </c>
      <c r="AJ11" s="3">
        <v>1666.57</v>
      </c>
      <c r="AK11" s="5"/>
    </row>
    <row r="12" spans="2:51" ht="15">
      <c r="B12" s="1" t="s">
        <v>11</v>
      </c>
      <c r="C12" s="2">
        <v>4.68</v>
      </c>
      <c r="D12" s="2">
        <v>0.06</v>
      </c>
      <c r="E12" s="2">
        <v>1436.44</v>
      </c>
      <c r="F12" s="2">
        <v>1814.24</v>
      </c>
      <c r="G12" s="2">
        <v>74039.929999999993</v>
      </c>
      <c r="H12" s="2">
        <v>0</v>
      </c>
      <c r="L12" s="1" t="s">
        <v>11</v>
      </c>
      <c r="M12" s="3">
        <v>4.32</v>
      </c>
      <c r="N12" s="3">
        <v>0.01</v>
      </c>
      <c r="O12" s="3">
        <v>758.22</v>
      </c>
      <c r="P12" s="3">
        <v>0</v>
      </c>
      <c r="Q12" s="3">
        <v>71493.210000000006</v>
      </c>
      <c r="R12" s="3">
        <v>2533.59</v>
      </c>
      <c r="V12" s="1" t="s">
        <v>11</v>
      </c>
      <c r="W12" s="3">
        <v>30.78</v>
      </c>
      <c r="X12" s="3">
        <v>0.61</v>
      </c>
      <c r="Y12" s="3">
        <v>0</v>
      </c>
      <c r="Z12" s="3">
        <v>0</v>
      </c>
      <c r="AA12" s="3">
        <v>73880</v>
      </c>
      <c r="AB12" s="3">
        <v>0</v>
      </c>
      <c r="AD12" s="1" t="s">
        <v>11</v>
      </c>
      <c r="AE12" s="3">
        <v>21.55</v>
      </c>
      <c r="AF12" s="3">
        <v>0.46</v>
      </c>
      <c r="AG12" s="3">
        <v>0</v>
      </c>
      <c r="AH12" s="3">
        <v>0</v>
      </c>
      <c r="AI12" s="3">
        <v>73895.28</v>
      </c>
      <c r="AJ12" s="3">
        <v>0</v>
      </c>
      <c r="AK12" s="5"/>
      <c r="AO12" t="s">
        <v>276</v>
      </c>
    </row>
    <row r="13" spans="2:51" ht="30">
      <c r="B13" s="1" t="s">
        <v>12</v>
      </c>
      <c r="C13" s="2">
        <v>5.92</v>
      </c>
      <c r="D13" s="2">
        <v>0.15</v>
      </c>
      <c r="E13" s="2">
        <v>0</v>
      </c>
      <c r="F13" s="2">
        <v>0</v>
      </c>
      <c r="G13" s="2">
        <v>75339.320000000007</v>
      </c>
      <c r="H13" s="2">
        <v>0</v>
      </c>
      <c r="L13" s="1" t="s">
        <v>12</v>
      </c>
      <c r="M13" s="3">
        <v>6.15</v>
      </c>
      <c r="N13" s="3">
        <v>7.0000000000000007E-2</v>
      </c>
      <c r="O13" s="3">
        <v>0</v>
      </c>
      <c r="P13" s="3">
        <v>0</v>
      </c>
      <c r="Q13" s="3">
        <v>75335.88</v>
      </c>
      <c r="R13" s="3">
        <v>0</v>
      </c>
      <c r="V13" s="1" t="s">
        <v>12</v>
      </c>
      <c r="W13" s="3">
        <v>6.28</v>
      </c>
      <c r="X13" s="3">
        <v>0.17</v>
      </c>
      <c r="Y13" s="3">
        <v>0</v>
      </c>
      <c r="Z13" s="3">
        <v>0</v>
      </c>
      <c r="AA13" s="3">
        <v>75332.58</v>
      </c>
      <c r="AB13" s="3">
        <v>0</v>
      </c>
      <c r="AD13" s="1" t="s">
        <v>12</v>
      </c>
      <c r="AE13" s="3">
        <v>6.58</v>
      </c>
      <c r="AF13" s="3">
        <v>0.15</v>
      </c>
      <c r="AG13" s="3">
        <v>0</v>
      </c>
      <c r="AH13" s="3">
        <v>0</v>
      </c>
      <c r="AI13" s="3">
        <v>75339.67</v>
      </c>
      <c r="AJ13" s="3">
        <v>0</v>
      </c>
      <c r="AK13" s="5"/>
      <c r="AM13" s="14" t="s">
        <v>200</v>
      </c>
      <c r="AN13" s="14" t="s">
        <v>56</v>
      </c>
      <c r="AO13" s="1" t="s">
        <v>19</v>
      </c>
      <c r="AP13" s="1" t="s">
        <v>14</v>
      </c>
      <c r="AQ13" s="1" t="s">
        <v>15</v>
      </c>
      <c r="AR13" s="1" t="s">
        <v>5</v>
      </c>
      <c r="AS13" s="1" t="s">
        <v>2</v>
      </c>
      <c r="AT13" s="1" t="s">
        <v>0</v>
      </c>
    </row>
    <row r="14" spans="2:51" ht="15">
      <c r="AO14" s="1" t="s">
        <v>6</v>
      </c>
      <c r="AP14" s="3">
        <v>6.86</v>
      </c>
      <c r="AQ14" s="3">
        <v>0</v>
      </c>
      <c r="AR14" s="3">
        <v>0</v>
      </c>
      <c r="AS14" s="3">
        <v>64550.83</v>
      </c>
      <c r="AT14" s="3">
        <v>4727.7299999999996</v>
      </c>
      <c r="AU14" s="5"/>
      <c r="AV14" t="s">
        <v>318</v>
      </c>
      <c r="AW14" t="s">
        <v>315</v>
      </c>
      <c r="AX14" t="s">
        <v>316</v>
      </c>
    </row>
    <row r="15" spans="2:51" ht="15">
      <c r="AI15" s="5">
        <f>SUM(AI7:AI14)</f>
        <v>486111.82</v>
      </c>
      <c r="AO15" s="1" t="s">
        <v>7</v>
      </c>
      <c r="AP15" s="3">
        <v>32.049999999999997</v>
      </c>
      <c r="AQ15" s="3">
        <v>0.32</v>
      </c>
      <c r="AR15" s="3">
        <v>0</v>
      </c>
      <c r="AS15" s="3">
        <v>67127.320000000007</v>
      </c>
      <c r="AT15" s="3">
        <v>2581.36</v>
      </c>
      <c r="AU15" s="5"/>
      <c r="AV15" t="s">
        <v>317</v>
      </c>
      <c r="AW15" s="3">
        <v>15</v>
      </c>
      <c r="AX15" s="3">
        <v>24</v>
      </c>
    </row>
    <row r="16" spans="2:51" ht="15">
      <c r="B16" t="s">
        <v>178</v>
      </c>
      <c r="L16" t="s">
        <v>186</v>
      </c>
      <c r="Z16" t="s">
        <v>189</v>
      </c>
      <c r="AO16" s="1" t="s">
        <v>8</v>
      </c>
      <c r="AP16" s="3">
        <v>28.87</v>
      </c>
      <c r="AQ16" s="3">
        <v>0.6</v>
      </c>
      <c r="AR16" s="3">
        <v>0</v>
      </c>
      <c r="AS16" s="3">
        <v>68122.929999999993</v>
      </c>
      <c r="AT16" s="3">
        <v>2500.35</v>
      </c>
      <c r="AU16" s="5"/>
      <c r="AV16" t="s">
        <v>39</v>
      </c>
      <c r="AW16" s="3">
        <v>15</v>
      </c>
      <c r="AX16" s="3">
        <v>18</v>
      </c>
    </row>
    <row r="17" spans="2:47" ht="30">
      <c r="B17" s="247" t="s">
        <v>18</v>
      </c>
      <c r="C17" s="1" t="s">
        <v>14</v>
      </c>
      <c r="D17" s="1" t="s">
        <v>15</v>
      </c>
      <c r="E17" s="247" t="s">
        <v>2</v>
      </c>
      <c r="F17" s="247"/>
      <c r="G17" s="247"/>
      <c r="H17" s="1" t="s">
        <v>0</v>
      </c>
      <c r="L17" s="247" t="str">
        <f>B17</f>
        <v>אלפי טון</v>
      </c>
      <c r="M17" s="1" t="s">
        <v>14</v>
      </c>
      <c r="N17" s="1" t="s">
        <v>15</v>
      </c>
      <c r="O17" s="247" t="s">
        <v>2</v>
      </c>
      <c r="P17" s="247"/>
      <c r="Q17" s="247"/>
      <c r="R17" s="1" t="s">
        <v>0</v>
      </c>
      <c r="V17" s="247" t="str">
        <f>L17</f>
        <v>אלפי טון</v>
      </c>
      <c r="W17" s="1" t="s">
        <v>14</v>
      </c>
      <c r="X17" s="1" t="s">
        <v>15</v>
      </c>
      <c r="Y17" s="247" t="s">
        <v>2</v>
      </c>
      <c r="Z17" s="247"/>
      <c r="AA17" s="247"/>
      <c r="AB17" s="1" t="s">
        <v>0</v>
      </c>
      <c r="AG17" t="s">
        <v>192</v>
      </c>
      <c r="AO17" s="1" t="s">
        <v>9</v>
      </c>
      <c r="AP17" s="3">
        <v>33.950000000000003</v>
      </c>
      <c r="AQ17" s="3">
        <v>0.35</v>
      </c>
      <c r="AR17" s="3">
        <v>0</v>
      </c>
      <c r="AS17" s="3">
        <v>69200.22</v>
      </c>
      <c r="AT17" s="3">
        <v>2492.38</v>
      </c>
      <c r="AU17" s="5"/>
    </row>
    <row r="18" spans="2:47" ht="15" customHeight="1">
      <c r="B18" s="247"/>
      <c r="C18" s="1" t="s">
        <v>1</v>
      </c>
      <c r="D18" s="1" t="s">
        <v>1</v>
      </c>
      <c r="E18" s="247" t="s">
        <v>3</v>
      </c>
      <c r="F18" s="247"/>
      <c r="G18" s="247"/>
      <c r="H18" s="1" t="s">
        <v>1</v>
      </c>
      <c r="L18" s="247"/>
      <c r="M18" s="1" t="s">
        <v>1</v>
      </c>
      <c r="N18" s="1" t="s">
        <v>1</v>
      </c>
      <c r="O18" s="247" t="s">
        <v>3</v>
      </c>
      <c r="P18" s="247"/>
      <c r="Q18" s="1" t="s">
        <v>1</v>
      </c>
      <c r="R18" s="1" t="s">
        <v>1</v>
      </c>
      <c r="V18" s="247"/>
      <c r="W18" s="1" t="s">
        <v>1</v>
      </c>
      <c r="X18" s="1" t="s">
        <v>1</v>
      </c>
      <c r="Y18" s="247" t="s">
        <v>3</v>
      </c>
      <c r="Z18" s="247"/>
      <c r="AA18" s="1" t="s">
        <v>1</v>
      </c>
      <c r="AB18" s="1" t="s">
        <v>1</v>
      </c>
      <c r="AD18" s="247" t="str">
        <f>V17</f>
        <v>אלפי טון</v>
      </c>
      <c r="AE18" s="1" t="s">
        <v>14</v>
      </c>
      <c r="AF18" s="1" t="s">
        <v>15</v>
      </c>
      <c r="AG18" s="247" t="s">
        <v>2</v>
      </c>
      <c r="AH18" s="247"/>
      <c r="AI18" s="247"/>
      <c r="AJ18" s="1" t="s">
        <v>0</v>
      </c>
      <c r="AO18" s="1" t="s">
        <v>10</v>
      </c>
      <c r="AP18" s="3">
        <v>36.380000000000003</v>
      </c>
      <c r="AQ18" s="3">
        <v>0.49</v>
      </c>
      <c r="AR18" s="3">
        <v>0</v>
      </c>
      <c r="AS18" s="3">
        <v>70195.570000000007</v>
      </c>
      <c r="AT18" s="3">
        <v>2602.91</v>
      </c>
      <c r="AU18" s="5"/>
    </row>
    <row r="19" spans="2:47" ht="15" customHeight="1">
      <c r="B19" s="247"/>
      <c r="C19" s="247" t="s">
        <v>1</v>
      </c>
      <c r="D19" s="247"/>
      <c r="E19" s="247" t="s">
        <v>60</v>
      </c>
      <c r="F19" s="247"/>
      <c r="G19" s="1" t="s">
        <v>1</v>
      </c>
      <c r="H19" s="1" t="s">
        <v>1</v>
      </c>
      <c r="L19" s="247"/>
      <c r="M19" s="247" t="s">
        <v>1</v>
      </c>
      <c r="N19" s="247"/>
      <c r="O19" s="247" t="s">
        <v>60</v>
      </c>
      <c r="P19" s="247"/>
      <c r="Q19" s="247" t="s">
        <v>1</v>
      </c>
      <c r="R19" s="247"/>
      <c r="V19" s="247"/>
      <c r="W19" s="247" t="s">
        <v>1</v>
      </c>
      <c r="X19" s="247"/>
      <c r="Y19" s="247" t="s">
        <v>60</v>
      </c>
      <c r="Z19" s="247"/>
      <c r="AA19" s="247" t="s">
        <v>1</v>
      </c>
      <c r="AB19" s="247"/>
      <c r="AD19" s="247"/>
      <c r="AE19" s="1" t="s">
        <v>1</v>
      </c>
      <c r="AF19" s="1" t="s">
        <v>1</v>
      </c>
      <c r="AG19" s="247" t="s">
        <v>3</v>
      </c>
      <c r="AH19" s="247"/>
      <c r="AI19" s="1" t="s">
        <v>1</v>
      </c>
      <c r="AJ19" s="1" t="s">
        <v>1</v>
      </c>
      <c r="AO19" s="1" t="s">
        <v>11</v>
      </c>
      <c r="AP19" s="3">
        <v>3.24</v>
      </c>
      <c r="AQ19" s="3">
        <v>0</v>
      </c>
      <c r="AR19" s="3">
        <v>0</v>
      </c>
      <c r="AS19" s="3">
        <v>72422.3</v>
      </c>
      <c r="AT19" s="3">
        <v>1668.89</v>
      </c>
      <c r="AU19" s="5"/>
    </row>
    <row r="20" spans="2:47" ht="15" customHeight="1">
      <c r="B20" s="247"/>
      <c r="C20" s="247" t="s">
        <v>1</v>
      </c>
      <c r="D20" s="247"/>
      <c r="E20" s="1" t="s">
        <v>16</v>
      </c>
      <c r="F20" s="1" t="s">
        <v>185</v>
      </c>
      <c r="G20" s="247" t="s">
        <v>1</v>
      </c>
      <c r="H20" s="247"/>
      <c r="L20" s="247"/>
      <c r="M20" s="247" t="s">
        <v>1</v>
      </c>
      <c r="N20" s="247"/>
      <c r="O20" s="1" t="s">
        <v>16</v>
      </c>
      <c r="P20" s="1" t="s">
        <v>185</v>
      </c>
      <c r="Q20" s="247" t="s">
        <v>1</v>
      </c>
      <c r="R20" s="247"/>
      <c r="V20" s="247"/>
      <c r="W20" s="247" t="s">
        <v>1</v>
      </c>
      <c r="X20" s="247"/>
      <c r="Y20" s="1" t="s">
        <v>16</v>
      </c>
      <c r="Z20" s="1" t="s">
        <v>185</v>
      </c>
      <c r="AA20" s="247" t="s">
        <v>1</v>
      </c>
      <c r="AB20" s="247"/>
      <c r="AD20" s="247"/>
      <c r="AE20" s="247" t="s">
        <v>1</v>
      </c>
      <c r="AF20" s="247"/>
      <c r="AG20" s="247" t="s">
        <v>60</v>
      </c>
      <c r="AH20" s="247"/>
      <c r="AI20" s="247" t="s">
        <v>1</v>
      </c>
      <c r="AJ20" s="247"/>
      <c r="AO20" s="1" t="s">
        <v>12</v>
      </c>
      <c r="AP20" s="3">
        <v>5.72</v>
      </c>
      <c r="AQ20" s="3">
        <v>0.08</v>
      </c>
      <c r="AR20" s="3">
        <v>0</v>
      </c>
      <c r="AS20" s="3">
        <v>75375.02</v>
      </c>
      <c r="AT20" s="3">
        <v>0</v>
      </c>
      <c r="AU20" s="5"/>
    </row>
    <row r="21" spans="2:47" ht="15" customHeight="1">
      <c r="B21" s="1" t="s">
        <v>6</v>
      </c>
      <c r="C21" s="3">
        <v>4.55</v>
      </c>
      <c r="D21" s="3">
        <v>0</v>
      </c>
      <c r="E21" s="3">
        <v>280.36</v>
      </c>
      <c r="F21" s="3">
        <v>0</v>
      </c>
      <c r="G21" s="3">
        <v>8989.02</v>
      </c>
      <c r="H21" s="3">
        <v>2105.5</v>
      </c>
      <c r="L21" s="1" t="s">
        <v>6</v>
      </c>
      <c r="M21" s="2">
        <v>4.55</v>
      </c>
      <c r="N21" s="2">
        <v>0</v>
      </c>
      <c r="O21" s="2">
        <v>280.36</v>
      </c>
      <c r="P21" s="2">
        <v>0</v>
      </c>
      <c r="Q21" s="2">
        <v>8989.02</v>
      </c>
      <c r="R21" s="2">
        <v>2105.5</v>
      </c>
      <c r="V21" s="1" t="s">
        <v>6</v>
      </c>
      <c r="W21" s="2">
        <v>4.7</v>
      </c>
      <c r="X21" s="2">
        <v>0</v>
      </c>
      <c r="Y21" s="2">
        <v>277.83</v>
      </c>
      <c r="Z21" s="2">
        <v>0</v>
      </c>
      <c r="AA21" s="2">
        <v>8990.7000000000007</v>
      </c>
      <c r="AB21" s="2">
        <v>2102.37</v>
      </c>
      <c r="AD21" s="247"/>
      <c r="AE21" s="247" t="s">
        <v>1</v>
      </c>
      <c r="AF21" s="247"/>
      <c r="AG21" s="1" t="s">
        <v>16</v>
      </c>
      <c r="AH21" s="1" t="s">
        <v>185</v>
      </c>
      <c r="AI21" s="247" t="s">
        <v>1</v>
      </c>
      <c r="AJ21" s="247"/>
      <c r="AP21" s="6">
        <f>SUM(AP14:AP20)</f>
        <v>147.07000000000002</v>
      </c>
      <c r="AQ21" s="6">
        <f t="shared" ref="AQ21:AT21" si="1">SUM(AQ14:AQ20)</f>
        <v>1.84</v>
      </c>
      <c r="AR21" s="6">
        <f t="shared" si="1"/>
        <v>0</v>
      </c>
      <c r="AS21" s="6">
        <f t="shared" si="1"/>
        <v>486994.19000000006</v>
      </c>
      <c r="AT21" s="6">
        <f t="shared" si="1"/>
        <v>16573.62</v>
      </c>
    </row>
    <row r="22" spans="2:47" ht="15">
      <c r="B22" s="1" t="s">
        <v>7</v>
      </c>
      <c r="C22" s="3">
        <v>15.74</v>
      </c>
      <c r="D22" s="3">
        <v>0.46</v>
      </c>
      <c r="E22" s="3">
        <v>557.9</v>
      </c>
      <c r="F22" s="3">
        <v>0</v>
      </c>
      <c r="G22" s="3">
        <v>9599.56</v>
      </c>
      <c r="H22" s="3">
        <v>647.94000000000005</v>
      </c>
      <c r="L22" s="1" t="s">
        <v>7</v>
      </c>
      <c r="M22" s="2">
        <v>13.49</v>
      </c>
      <c r="N22" s="2">
        <v>0.2</v>
      </c>
      <c r="O22" s="2">
        <v>337.1</v>
      </c>
      <c r="P22" s="2">
        <v>0</v>
      </c>
      <c r="Q22" s="2">
        <v>9375.25</v>
      </c>
      <c r="R22" s="2">
        <v>1125.8599999999999</v>
      </c>
      <c r="V22" s="1" t="s">
        <v>7</v>
      </c>
      <c r="W22" s="2">
        <v>15.92</v>
      </c>
      <c r="X22" s="2">
        <v>0.42</v>
      </c>
      <c r="Y22" s="2">
        <v>556.48</v>
      </c>
      <c r="Z22" s="2">
        <v>0</v>
      </c>
      <c r="AA22" s="2">
        <v>9600.64</v>
      </c>
      <c r="AB22" s="2">
        <v>647.65</v>
      </c>
      <c r="AD22" s="1" t="s">
        <v>6</v>
      </c>
      <c r="AE22" s="3">
        <v>4.55</v>
      </c>
      <c r="AF22" s="3">
        <v>0</v>
      </c>
      <c r="AG22" s="3">
        <v>280.36</v>
      </c>
      <c r="AH22" s="3">
        <v>0</v>
      </c>
      <c r="AI22" s="3">
        <v>8989.02</v>
      </c>
      <c r="AJ22" s="3">
        <v>2105.5</v>
      </c>
    </row>
    <row r="23" spans="2:47" ht="15">
      <c r="B23" s="1" t="s">
        <v>8</v>
      </c>
      <c r="C23" s="3">
        <v>19.91</v>
      </c>
      <c r="D23" s="3">
        <v>0.74</v>
      </c>
      <c r="E23" s="3">
        <v>698.7</v>
      </c>
      <c r="F23" s="3">
        <v>276.33</v>
      </c>
      <c r="G23" s="3">
        <v>10023.75</v>
      </c>
      <c r="H23" s="3">
        <v>160.62</v>
      </c>
      <c r="L23" s="1" t="s">
        <v>8</v>
      </c>
      <c r="M23" s="2">
        <v>16.690000000000001</v>
      </c>
      <c r="N23" s="2">
        <v>0.69</v>
      </c>
      <c r="O23" s="2">
        <v>378.47</v>
      </c>
      <c r="P23" s="2">
        <v>0</v>
      </c>
      <c r="Q23" s="2">
        <v>9514.67</v>
      </c>
      <c r="R23" s="2">
        <v>1242.3900000000001</v>
      </c>
      <c r="V23" s="1" t="s">
        <v>8</v>
      </c>
      <c r="W23" s="2">
        <v>19.12</v>
      </c>
      <c r="X23" s="2">
        <v>0.76</v>
      </c>
      <c r="Y23" s="2">
        <v>697.08</v>
      </c>
      <c r="Z23" s="2">
        <v>276.64999999999998</v>
      </c>
      <c r="AA23" s="2">
        <v>10024.68</v>
      </c>
      <c r="AB23" s="2">
        <v>160.62</v>
      </c>
      <c r="AD23" s="1" t="s">
        <v>7</v>
      </c>
      <c r="AE23" s="3">
        <v>13.49</v>
      </c>
      <c r="AF23" s="3">
        <v>0.2</v>
      </c>
      <c r="AG23" s="3">
        <v>337.1</v>
      </c>
      <c r="AH23" s="3">
        <v>0</v>
      </c>
      <c r="AI23" s="3">
        <v>9375.25</v>
      </c>
      <c r="AJ23" s="3">
        <v>1125.8599999999999</v>
      </c>
    </row>
    <row r="24" spans="2:47" ht="30">
      <c r="B24" s="1" t="s">
        <v>9</v>
      </c>
      <c r="C24" s="3">
        <v>15.93</v>
      </c>
      <c r="D24" s="3">
        <v>0.35</v>
      </c>
      <c r="E24" s="3">
        <v>700.42</v>
      </c>
      <c r="F24" s="3">
        <v>380.54</v>
      </c>
      <c r="G24" s="3">
        <v>10182.700000000001</v>
      </c>
      <c r="H24" s="3">
        <v>0</v>
      </c>
      <c r="L24" s="1" t="s">
        <v>9</v>
      </c>
      <c r="M24" s="2">
        <v>17.43</v>
      </c>
      <c r="N24" s="2">
        <v>0.33</v>
      </c>
      <c r="O24" s="2">
        <v>369.2</v>
      </c>
      <c r="P24" s="2">
        <v>0</v>
      </c>
      <c r="Q24" s="2">
        <v>9588.7000000000007</v>
      </c>
      <c r="R24" s="2">
        <v>1243.06</v>
      </c>
      <c r="V24" s="1" t="s">
        <v>9</v>
      </c>
      <c r="W24" s="2">
        <v>16.2</v>
      </c>
      <c r="X24" s="2">
        <v>0.38</v>
      </c>
      <c r="Y24" s="2">
        <v>700.18</v>
      </c>
      <c r="Z24" s="2">
        <v>380.42</v>
      </c>
      <c r="AA24" s="2">
        <v>10182.959999999999</v>
      </c>
      <c r="AB24" s="2">
        <v>0</v>
      </c>
      <c r="AD24" s="1" t="s">
        <v>8</v>
      </c>
      <c r="AE24" s="3">
        <v>16.149999999999999</v>
      </c>
      <c r="AF24" s="3">
        <v>0.68</v>
      </c>
      <c r="AG24" s="3">
        <v>377.97</v>
      </c>
      <c r="AH24" s="3">
        <v>0</v>
      </c>
      <c r="AI24" s="3">
        <v>9517.27</v>
      </c>
      <c r="AJ24" s="3">
        <v>1242.3</v>
      </c>
      <c r="AM24" s="14" t="s">
        <v>287</v>
      </c>
      <c r="AN24" s="14" t="s">
        <v>56</v>
      </c>
      <c r="AO24" s="1" t="s">
        <v>286</v>
      </c>
      <c r="AP24" s="1" t="s">
        <v>14</v>
      </c>
      <c r="AQ24" s="1" t="s">
        <v>15</v>
      </c>
      <c r="AR24" s="1" t="s">
        <v>5</v>
      </c>
      <c r="AS24" s="1" t="s">
        <v>2</v>
      </c>
      <c r="AT24" s="1" t="s">
        <v>0</v>
      </c>
    </row>
    <row r="25" spans="2:47" ht="15">
      <c r="B25" s="1" t="s">
        <v>10</v>
      </c>
      <c r="C25" s="3">
        <v>13.7</v>
      </c>
      <c r="D25" s="3">
        <v>0.27</v>
      </c>
      <c r="E25" s="3">
        <v>735.67</v>
      </c>
      <c r="F25" s="3">
        <v>401.71</v>
      </c>
      <c r="G25" s="3">
        <v>10332.299999999999</v>
      </c>
      <c r="H25" s="3">
        <v>0</v>
      </c>
      <c r="L25" s="1" t="s">
        <v>10</v>
      </c>
      <c r="M25" s="2">
        <v>14.31</v>
      </c>
      <c r="N25" s="2">
        <v>0.32</v>
      </c>
      <c r="O25" s="2">
        <v>358.81</v>
      </c>
      <c r="P25" s="2">
        <v>0</v>
      </c>
      <c r="Q25" s="2">
        <v>9709.64</v>
      </c>
      <c r="R25" s="2">
        <v>1275.19</v>
      </c>
      <c r="V25" s="1" t="s">
        <v>10</v>
      </c>
      <c r="W25" s="2">
        <v>11.9</v>
      </c>
      <c r="X25" s="2">
        <v>0.23</v>
      </c>
      <c r="Y25" s="2">
        <v>745.69</v>
      </c>
      <c r="Z25" s="2">
        <v>0</v>
      </c>
      <c r="AA25" s="2">
        <v>10200.1</v>
      </c>
      <c r="AB25" s="2">
        <v>0</v>
      </c>
      <c r="AD25" s="1" t="s">
        <v>9</v>
      </c>
      <c r="AE25" s="3">
        <v>7.51</v>
      </c>
      <c r="AF25" s="3">
        <v>0.19</v>
      </c>
      <c r="AG25" s="3">
        <v>338.11</v>
      </c>
      <c r="AH25" s="3">
        <v>0</v>
      </c>
      <c r="AI25" s="3">
        <v>9467.69</v>
      </c>
      <c r="AJ25" s="3">
        <v>1237.18</v>
      </c>
      <c r="AO25" s="1" t="s">
        <v>6</v>
      </c>
      <c r="AP25" s="3">
        <v>6.42</v>
      </c>
      <c r="AQ25" s="3">
        <v>0</v>
      </c>
      <c r="AR25" s="3">
        <v>0</v>
      </c>
      <c r="AS25" s="3">
        <v>64552.93</v>
      </c>
      <c r="AT25" s="3">
        <v>4726.59</v>
      </c>
    </row>
    <row r="26" spans="2:47" ht="15">
      <c r="B26" s="1" t="s">
        <v>11</v>
      </c>
      <c r="C26" s="3">
        <v>1.73</v>
      </c>
      <c r="D26" s="3">
        <v>0.05</v>
      </c>
      <c r="E26" s="3">
        <v>270.86</v>
      </c>
      <c r="F26" s="3">
        <v>346.05</v>
      </c>
      <c r="G26" s="3">
        <v>10068.85</v>
      </c>
      <c r="H26" s="3">
        <v>0</v>
      </c>
      <c r="L26" s="1" t="s">
        <v>11</v>
      </c>
      <c r="M26" s="2">
        <v>1.58</v>
      </c>
      <c r="N26" s="2">
        <v>0.01</v>
      </c>
      <c r="O26" s="2">
        <v>145.91</v>
      </c>
      <c r="P26" s="2">
        <v>0</v>
      </c>
      <c r="Q26" s="2">
        <v>9618.86</v>
      </c>
      <c r="R26" s="2">
        <v>953.39</v>
      </c>
      <c r="V26" s="1" t="s">
        <v>11</v>
      </c>
      <c r="W26" s="2">
        <v>9.68</v>
      </c>
      <c r="X26" s="2">
        <v>0.42</v>
      </c>
      <c r="Y26" s="2">
        <v>0</v>
      </c>
      <c r="Z26" s="2">
        <v>0</v>
      </c>
      <c r="AA26" s="2">
        <v>9914.89</v>
      </c>
      <c r="AB26" s="2">
        <v>0</v>
      </c>
      <c r="AD26" s="1" t="s">
        <v>10</v>
      </c>
      <c r="AE26" s="3">
        <v>3.25</v>
      </c>
      <c r="AF26" s="3">
        <v>0.09</v>
      </c>
      <c r="AG26" s="3">
        <v>338.97</v>
      </c>
      <c r="AH26" s="3">
        <v>0</v>
      </c>
      <c r="AI26" s="3">
        <v>9756.5400000000009</v>
      </c>
      <c r="AJ26" s="3">
        <v>603.94000000000005</v>
      </c>
      <c r="AO26" s="1" t="s">
        <v>7</v>
      </c>
      <c r="AP26" s="3">
        <v>31.79</v>
      </c>
      <c r="AQ26" s="3">
        <v>0.34</v>
      </c>
      <c r="AR26" s="3">
        <v>0</v>
      </c>
      <c r="AS26" s="3">
        <v>67129.66</v>
      </c>
      <c r="AT26" s="3">
        <v>2580.66</v>
      </c>
    </row>
    <row r="27" spans="2:47" ht="15">
      <c r="B27" s="1" t="s">
        <v>12</v>
      </c>
      <c r="C27" s="3">
        <v>1.89</v>
      </c>
      <c r="D27" s="3">
        <v>0.1</v>
      </c>
      <c r="E27" s="3">
        <v>0</v>
      </c>
      <c r="F27" s="3">
        <v>0</v>
      </c>
      <c r="G27" s="3">
        <v>9978.3700000000008</v>
      </c>
      <c r="H27" s="3">
        <v>0</v>
      </c>
      <c r="L27" s="1" t="s">
        <v>12</v>
      </c>
      <c r="M27" s="2">
        <v>2</v>
      </c>
      <c r="N27" s="2">
        <v>0.06</v>
      </c>
      <c r="O27" s="2">
        <v>0</v>
      </c>
      <c r="P27" s="2">
        <v>0</v>
      </c>
      <c r="Q27" s="2">
        <v>9976.7199999999993</v>
      </c>
      <c r="R27" s="2">
        <v>0</v>
      </c>
      <c r="V27" s="1" t="s">
        <v>12</v>
      </c>
      <c r="W27" s="2">
        <v>2.0499999999999998</v>
      </c>
      <c r="X27" s="2">
        <v>0.11</v>
      </c>
      <c r="Y27" s="2">
        <v>0</v>
      </c>
      <c r="Z27" s="2">
        <v>0</v>
      </c>
      <c r="AA27" s="2">
        <v>9981.69</v>
      </c>
      <c r="AB27" s="2">
        <v>0</v>
      </c>
      <c r="AD27" s="1" t="s">
        <v>11</v>
      </c>
      <c r="AE27" s="3">
        <v>6.99</v>
      </c>
      <c r="AF27" s="3">
        <v>0.3</v>
      </c>
      <c r="AG27" s="3">
        <v>0</v>
      </c>
      <c r="AH27" s="3">
        <v>0</v>
      </c>
      <c r="AI27" s="3">
        <v>9878</v>
      </c>
      <c r="AJ27" s="3">
        <v>0</v>
      </c>
      <c r="AO27" s="1" t="s">
        <v>8</v>
      </c>
      <c r="AP27" s="3">
        <v>29.63</v>
      </c>
      <c r="AQ27" s="3">
        <v>0.57999999999999996</v>
      </c>
      <c r="AR27" s="3">
        <v>0</v>
      </c>
      <c r="AS27" s="3">
        <v>68121.36</v>
      </c>
      <c r="AT27" s="3">
        <v>2498.63</v>
      </c>
    </row>
    <row r="28" spans="2:47" ht="15">
      <c r="AD28" s="1" t="s">
        <v>12</v>
      </c>
      <c r="AE28" s="3">
        <v>2.13</v>
      </c>
      <c r="AF28" s="3">
        <v>0.1</v>
      </c>
      <c r="AG28" s="3">
        <v>0</v>
      </c>
      <c r="AH28" s="3">
        <v>0</v>
      </c>
      <c r="AI28" s="3">
        <v>9977.7800000000007</v>
      </c>
      <c r="AJ28" s="3">
        <v>0</v>
      </c>
      <c r="AO28" s="1" t="s">
        <v>9</v>
      </c>
      <c r="AP28" s="3">
        <v>20.11</v>
      </c>
      <c r="AQ28" s="3">
        <v>0.39</v>
      </c>
      <c r="AR28" s="3">
        <v>0</v>
      </c>
      <c r="AS28" s="3">
        <v>69207.19</v>
      </c>
      <c r="AT28" s="3">
        <v>2488.54</v>
      </c>
    </row>
    <row r="29" spans="2:47" ht="15">
      <c r="L29">
        <v>5300</v>
      </c>
      <c r="AO29" s="1" t="s">
        <v>10</v>
      </c>
      <c r="AP29" s="3">
        <v>13.66</v>
      </c>
      <c r="AQ29" s="3">
        <v>0.22</v>
      </c>
      <c r="AR29" s="3">
        <v>0</v>
      </c>
      <c r="AS29" s="3">
        <v>71858.67</v>
      </c>
      <c r="AT29" s="3">
        <v>843.71</v>
      </c>
    </row>
    <row r="30" spans="2:47" ht="15">
      <c r="C30" s="10">
        <f>+C10/C24</f>
        <v>2.9190207156308854</v>
      </c>
      <c r="D30" s="10">
        <f t="shared" ref="D30:G30" si="2">+D10/D24</f>
        <v>1.3714285714285714</v>
      </c>
      <c r="E30" s="10">
        <f t="shared" si="2"/>
        <v>5.4257302761200421</v>
      </c>
      <c r="F30" s="10">
        <f t="shared" si="2"/>
        <v>5.3129500183949121</v>
      </c>
      <c r="G30" s="10">
        <f t="shared" si="2"/>
        <v>7.0317145747198673</v>
      </c>
      <c r="L30">
        <v>5570</v>
      </c>
      <c r="AO30" s="1" t="s">
        <v>11</v>
      </c>
      <c r="AP30" s="3">
        <v>16.68</v>
      </c>
      <c r="AQ30" s="3">
        <v>0.44</v>
      </c>
      <c r="AR30" s="3">
        <v>0</v>
      </c>
      <c r="AS30" s="3">
        <v>73967.69</v>
      </c>
      <c r="AT30" s="3">
        <v>0</v>
      </c>
    </row>
    <row r="31" spans="2:47" ht="15">
      <c r="L31">
        <f>+L30-L29</f>
        <v>270</v>
      </c>
      <c r="AO31" s="1" t="s">
        <v>12</v>
      </c>
      <c r="AP31" s="3">
        <v>5.86</v>
      </c>
      <c r="AQ31" s="3">
        <v>0.14000000000000001</v>
      </c>
      <c r="AR31" s="3">
        <v>0</v>
      </c>
      <c r="AS31" s="3">
        <v>75383.42</v>
      </c>
      <c r="AT31" s="3">
        <v>0</v>
      </c>
    </row>
    <row r="32" spans="2:47">
      <c r="L32">
        <f>+L31*36</f>
        <v>9720</v>
      </c>
      <c r="AP32" s="5">
        <f>SUM(AP25:AP31)</f>
        <v>124.14999999999999</v>
      </c>
      <c r="AQ32" s="5">
        <f t="shared" ref="AQ32" si="3">SUM(AQ25:AQ31)</f>
        <v>2.11</v>
      </c>
      <c r="AR32" s="5">
        <f t="shared" ref="AR32" si="4">SUM(AR25:AR31)</f>
        <v>0</v>
      </c>
      <c r="AS32" s="5">
        <f t="shared" ref="AS32" si="5">SUM(AS25:AS31)</f>
        <v>490220.92</v>
      </c>
      <c r="AT32" s="5">
        <f t="shared" ref="AT32" si="6">SUM(AT25:AT31)</f>
        <v>13138.130000000001</v>
      </c>
    </row>
    <row r="33" spans="39:46">
      <c r="AO33" t="s">
        <v>285</v>
      </c>
    </row>
    <row r="34" spans="39:46" ht="30">
      <c r="AM34" s="14" t="s">
        <v>287</v>
      </c>
      <c r="AN34" s="14" t="s">
        <v>56</v>
      </c>
      <c r="AO34" s="1" t="s">
        <v>18</v>
      </c>
      <c r="AP34" s="1" t="s">
        <v>14</v>
      </c>
      <c r="AQ34" s="1" t="s">
        <v>15</v>
      </c>
      <c r="AR34" s="1" t="s">
        <v>5</v>
      </c>
      <c r="AS34" s="1" t="s">
        <v>2</v>
      </c>
      <c r="AT34" s="1" t="s">
        <v>0</v>
      </c>
    </row>
    <row r="35" spans="39:46" ht="15">
      <c r="AO35" s="1" t="s">
        <v>6</v>
      </c>
      <c r="AP35" s="3">
        <v>3.54</v>
      </c>
      <c r="AQ35" s="3">
        <v>0</v>
      </c>
      <c r="AR35" s="3">
        <v>1.1599999999999999</v>
      </c>
      <c r="AS35" s="3">
        <v>9107.4500000000007</v>
      </c>
      <c r="AT35" s="3">
        <v>1788.32</v>
      </c>
    </row>
    <row r="36" spans="39:46" ht="15">
      <c r="AO36" s="1" t="s">
        <v>7</v>
      </c>
      <c r="AP36" s="3">
        <v>11.73</v>
      </c>
      <c r="AQ36" s="3">
        <v>0.27</v>
      </c>
      <c r="AR36" s="3">
        <v>2.02</v>
      </c>
      <c r="AS36" s="3">
        <v>9408.19</v>
      </c>
      <c r="AT36" s="3">
        <v>969.51</v>
      </c>
    </row>
    <row r="37" spans="39:46" ht="15">
      <c r="AO37" s="1" t="s">
        <v>8</v>
      </c>
      <c r="AP37" s="3">
        <v>10.38</v>
      </c>
      <c r="AQ37" s="3">
        <v>0.42</v>
      </c>
      <c r="AR37" s="3">
        <v>2.2999999999999998</v>
      </c>
      <c r="AS37" s="3">
        <v>9606.17</v>
      </c>
      <c r="AT37" s="3">
        <v>940.37</v>
      </c>
    </row>
    <row r="38" spans="39:46" ht="15">
      <c r="AO38" s="1" t="s">
        <v>9</v>
      </c>
      <c r="AP38" s="3">
        <v>6.68</v>
      </c>
      <c r="AQ38" s="3">
        <v>0.3</v>
      </c>
      <c r="AR38" s="3">
        <v>2.2999999999999998</v>
      </c>
      <c r="AS38" s="3">
        <v>9550.7999999999993</v>
      </c>
      <c r="AT38" s="3">
        <v>936.95</v>
      </c>
    </row>
    <row r="39" spans="39:46" ht="15">
      <c r="AO39" s="1" t="s">
        <v>10</v>
      </c>
      <c r="AP39" s="3">
        <v>4.53</v>
      </c>
      <c r="AQ39" s="3">
        <v>0.15</v>
      </c>
      <c r="AR39" s="3">
        <v>0.86</v>
      </c>
      <c r="AS39" s="3">
        <v>9850.19</v>
      </c>
      <c r="AT39" s="3">
        <v>305.56</v>
      </c>
    </row>
    <row r="40" spans="39:46" ht="15">
      <c r="AO40" s="1" t="s">
        <v>11</v>
      </c>
      <c r="AP40" s="3">
        <v>5.2</v>
      </c>
      <c r="AQ40" s="3">
        <v>0.28000000000000003</v>
      </c>
      <c r="AR40" s="3">
        <v>0</v>
      </c>
      <c r="AS40" s="3">
        <v>9857.0499999999993</v>
      </c>
      <c r="AT40" s="3">
        <v>0</v>
      </c>
    </row>
    <row r="41" spans="39:46" ht="15">
      <c r="AO41" s="1" t="s">
        <v>12</v>
      </c>
      <c r="AP41" s="3">
        <v>1.84</v>
      </c>
      <c r="AQ41" s="3">
        <v>0.09</v>
      </c>
      <c r="AR41" s="3">
        <v>0</v>
      </c>
      <c r="AS41" s="3">
        <v>9966.64</v>
      </c>
      <c r="AT41" s="3">
        <v>0</v>
      </c>
    </row>
    <row r="42" spans="39:46">
      <c r="AP42" s="5">
        <f>SUM(AP35:AP41)</f>
        <v>43.900000000000006</v>
      </c>
      <c r="AQ42" s="5">
        <f t="shared" ref="AQ42:AT42" si="7">SUM(AQ35:AQ41)</f>
        <v>1.51</v>
      </c>
      <c r="AR42" s="5">
        <f t="shared" si="7"/>
        <v>8.6399999999999988</v>
      </c>
      <c r="AS42" s="5">
        <f t="shared" si="7"/>
        <v>67346.490000000005</v>
      </c>
      <c r="AT42" s="5">
        <f t="shared" si="7"/>
        <v>4940.71</v>
      </c>
    </row>
  </sheetData>
  <mergeCells count="55">
    <mergeCell ref="B3:B6"/>
    <mergeCell ref="E3:G3"/>
    <mergeCell ref="E4:F4"/>
    <mergeCell ref="C5:D5"/>
    <mergeCell ref="E5:F5"/>
    <mergeCell ref="G5:H5"/>
    <mergeCell ref="C6:D6"/>
    <mergeCell ref="G6:H6"/>
    <mergeCell ref="B17:B20"/>
    <mergeCell ref="C19:D19"/>
    <mergeCell ref="E19:F19"/>
    <mergeCell ref="C20:D20"/>
    <mergeCell ref="E17:G17"/>
    <mergeCell ref="E18:G18"/>
    <mergeCell ref="G20:H20"/>
    <mergeCell ref="L3:L6"/>
    <mergeCell ref="O3:Q3"/>
    <mergeCell ref="O4:P4"/>
    <mergeCell ref="M5:N5"/>
    <mergeCell ref="O5:P5"/>
    <mergeCell ref="Q5:R5"/>
    <mergeCell ref="M6:N6"/>
    <mergeCell ref="Q6:R6"/>
    <mergeCell ref="L17:L20"/>
    <mergeCell ref="O17:Q17"/>
    <mergeCell ref="O18:P18"/>
    <mergeCell ref="M19:N19"/>
    <mergeCell ref="O19:P19"/>
    <mergeCell ref="Q19:R19"/>
    <mergeCell ref="M20:N20"/>
    <mergeCell ref="Q20:R20"/>
    <mergeCell ref="V3:V6"/>
    <mergeCell ref="Y3:AA3"/>
    <mergeCell ref="Y4:Z4"/>
    <mergeCell ref="W5:X5"/>
    <mergeCell ref="Y5:Z5"/>
    <mergeCell ref="AA5:AB5"/>
    <mergeCell ref="W6:X6"/>
    <mergeCell ref="AA6:AB6"/>
    <mergeCell ref="V17:V20"/>
    <mergeCell ref="Y17:AA17"/>
    <mergeCell ref="Y18:Z18"/>
    <mergeCell ref="W19:X19"/>
    <mergeCell ref="Y19:Z19"/>
    <mergeCell ref="AA19:AB19"/>
    <mergeCell ref="W20:X20"/>
    <mergeCell ref="AA20:AB20"/>
    <mergeCell ref="AD18:AD21"/>
    <mergeCell ref="AG18:AI18"/>
    <mergeCell ref="AG19:AH19"/>
    <mergeCell ref="AE20:AF20"/>
    <mergeCell ref="AG20:AH20"/>
    <mergeCell ref="AI20:AJ20"/>
    <mergeCell ref="AE21:AF21"/>
    <mergeCell ref="AI21:AJ21"/>
  </mergeCells>
  <pageMargins left="0.25" right="0.25"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1"/>
  <sheetViews>
    <sheetView rightToLeft="1" topLeftCell="A58" zoomScale="90" zoomScaleNormal="90" workbookViewId="0">
      <selection activeCell="C74" sqref="C74"/>
    </sheetView>
  </sheetViews>
  <sheetFormatPr defaultRowHeight="14.25"/>
  <cols>
    <col min="1" max="1" width="9.25" customWidth="1"/>
    <col min="2" max="2" width="60.25" customWidth="1"/>
    <col min="3" max="3" width="8.25" bestFit="1" customWidth="1"/>
    <col min="4" max="4" width="9.125" bestFit="1" customWidth="1"/>
    <col min="5" max="5" width="7.5" bestFit="1" customWidth="1"/>
    <col min="6" max="6" width="11.875" customWidth="1"/>
    <col min="7" max="7" width="10.75" bestFit="1" customWidth="1"/>
    <col min="8" max="8" width="13" customWidth="1"/>
    <col min="9" max="9" width="20.875" bestFit="1" customWidth="1"/>
    <col min="10" max="11" width="20.875" customWidth="1"/>
    <col min="12" max="12" width="9.125" bestFit="1" customWidth="1"/>
    <col min="13" max="13" width="9.25" customWidth="1"/>
    <col min="14" max="14" width="9.25" bestFit="1" customWidth="1"/>
    <col min="15" max="15" width="10" bestFit="1" customWidth="1"/>
    <col min="16" max="16" width="9.75" bestFit="1" customWidth="1"/>
    <col min="17" max="17" width="10" bestFit="1" customWidth="1"/>
    <col min="18" max="18" width="9.75" bestFit="1" customWidth="1"/>
    <col min="19" max="19" width="9.125" bestFit="1" customWidth="1"/>
    <col min="20" max="20" width="13.625" bestFit="1" customWidth="1"/>
    <col min="21" max="21" width="11.75" bestFit="1" customWidth="1"/>
    <col min="22" max="24" width="9.125" bestFit="1" customWidth="1"/>
    <col min="25" max="25" width="10" bestFit="1" customWidth="1"/>
    <col min="26" max="26" width="9.125" bestFit="1" customWidth="1"/>
    <col min="27" max="27" width="10" bestFit="1" customWidth="1"/>
  </cols>
  <sheetData>
    <row r="1" spans="1:33" ht="15">
      <c r="B1" s="32" t="s">
        <v>191</v>
      </c>
      <c r="H1" t="s">
        <v>278</v>
      </c>
      <c r="I1" s="80">
        <v>3.6999999999999998E-2</v>
      </c>
      <c r="J1" s="80"/>
      <c r="K1" s="80"/>
    </row>
    <row r="2" spans="1:33" ht="15">
      <c r="B2" s="4" t="s">
        <v>195</v>
      </c>
    </row>
    <row r="4" spans="1:33">
      <c r="B4" t="str">
        <f>'פלט שנתי לאחר תיקון אגירה'!B2</f>
        <v>D:\sal-delek\‏‏2024-2030-Ren20\‏‏Sen0-‏‏Ren-20\Base.ucp</v>
      </c>
    </row>
    <row r="5" spans="1:33" ht="30">
      <c r="B5" s="247" t="s">
        <v>18</v>
      </c>
      <c r="C5" s="1" t="s">
        <v>14</v>
      </c>
      <c r="D5" s="1" t="s">
        <v>15</v>
      </c>
      <c r="E5" s="1" t="s">
        <v>5</v>
      </c>
      <c r="F5" s="1" t="s">
        <v>2</v>
      </c>
      <c r="G5" s="1" t="s">
        <v>0</v>
      </c>
      <c r="H5" s="1" t="s">
        <v>215</v>
      </c>
      <c r="I5" s="1" t="s">
        <v>48</v>
      </c>
      <c r="J5" s="1" t="s">
        <v>47</v>
      </c>
      <c r="L5" s="1" t="s">
        <v>213</v>
      </c>
      <c r="M5" s="1" t="s">
        <v>214</v>
      </c>
      <c r="N5" s="1" t="s">
        <v>210</v>
      </c>
      <c r="O5" s="152" t="s">
        <v>362</v>
      </c>
      <c r="P5" s="152" t="s">
        <v>363</v>
      </c>
      <c r="Q5" s="1" t="s">
        <v>14</v>
      </c>
      <c r="R5" s="1" t="s">
        <v>15</v>
      </c>
      <c r="S5" s="1" t="s">
        <v>5</v>
      </c>
      <c r="T5" s="1" t="s">
        <v>2</v>
      </c>
      <c r="U5" s="1" t="s">
        <v>0</v>
      </c>
      <c r="W5" s="1" t="s">
        <v>14</v>
      </c>
      <c r="X5" s="1" t="s">
        <v>15</v>
      </c>
      <c r="Y5" s="1" t="s">
        <v>5</v>
      </c>
      <c r="Z5" s="1" t="s">
        <v>2</v>
      </c>
      <c r="AA5" s="1" t="s">
        <v>0</v>
      </c>
      <c r="AC5" s="1" t="s">
        <v>14</v>
      </c>
      <c r="AD5" s="1" t="s">
        <v>15</v>
      </c>
      <c r="AE5" s="1" t="s">
        <v>5</v>
      </c>
      <c r="AF5" s="1" t="s">
        <v>2</v>
      </c>
      <c r="AG5" s="1" t="s">
        <v>0</v>
      </c>
    </row>
    <row r="6" spans="1:33" ht="15">
      <c r="B6" s="247"/>
      <c r="C6" s="1" t="s">
        <v>1</v>
      </c>
      <c r="D6" s="1" t="s">
        <v>1</v>
      </c>
      <c r="E6" s="1" t="s">
        <v>1</v>
      </c>
      <c r="F6" s="1" t="s">
        <v>3</v>
      </c>
      <c r="G6" s="1" t="s">
        <v>1</v>
      </c>
      <c r="O6" s="14"/>
      <c r="P6" s="14"/>
    </row>
    <row r="7" spans="1:33" ht="15">
      <c r="A7" t="s">
        <v>280</v>
      </c>
      <c r="B7" s="247"/>
      <c r="C7" s="247" t="s">
        <v>1</v>
      </c>
      <c r="D7" s="247"/>
      <c r="E7" s="247"/>
      <c r="F7" s="1" t="s">
        <v>1</v>
      </c>
      <c r="G7" s="1" t="s">
        <v>1</v>
      </c>
      <c r="O7" s="14"/>
      <c r="P7" s="14"/>
    </row>
    <row r="8" spans="1:33" ht="15">
      <c r="A8">
        <f>1/(1+$I$1)^(B8-2023)</f>
        <v>0.96432015429122475</v>
      </c>
      <c r="B8" s="1">
        <v>2024</v>
      </c>
      <c r="C8" s="3">
        <f>'פלט שנתי לאחר תיקון אגירה'!C21</f>
        <v>4.55</v>
      </c>
      <c r="D8" s="3">
        <f>'פלט שנתי לאחר תיקון אגירה'!D21</f>
        <v>0</v>
      </c>
      <c r="E8" s="3">
        <v>0</v>
      </c>
      <c r="F8" s="3">
        <f>'פלט שנתי לאחר תיקון אגירה'!G21</f>
        <v>8989.02</v>
      </c>
      <c r="G8" s="3">
        <f>'פלט שנתי לאחר תיקון אגירה'!H21</f>
        <v>2105.5</v>
      </c>
      <c r="H8" s="6">
        <f>+SUMPRODUCT(C8:G8,Q8:U8)/1000</f>
        <v>11737.03534272568</v>
      </c>
      <c r="I8" s="6">
        <f>+SUMPRODUCT(C8:G8,W8:AA8)/1000</f>
        <v>11329.381033141488</v>
      </c>
      <c r="J8" s="6">
        <f>+SUMPRODUCT(C8:G8,AC8:AG8)/1000</f>
        <v>11818.062992428268</v>
      </c>
      <c r="L8" s="6">
        <f>+'תרחיש הפעלה 3% 20% ללא צמצום פח'!F3</f>
        <v>8198.75</v>
      </c>
      <c r="M8" s="5">
        <f>+F8-L8</f>
        <v>790.27000000000044</v>
      </c>
      <c r="N8" s="10">
        <f>+('מחירי דלקים '!$D$5*L8+'מחירי דלקים '!$D$7*M8)/SUM(L8:M8)</f>
        <v>1205.9943299131251</v>
      </c>
      <c r="O8" s="14"/>
      <c r="P8" s="14"/>
      <c r="Q8" s="8">
        <f>+'מחירי דלקים '!$D$6</f>
        <v>8657.0750000000007</v>
      </c>
      <c r="R8" s="8">
        <f>+'מחירי דלקים '!$D$6</f>
        <v>8657.0750000000007</v>
      </c>
      <c r="S8">
        <v>0</v>
      </c>
      <c r="T8" s="10">
        <f>+N8+P8</f>
        <v>1205.9943299131251</v>
      </c>
      <c r="U8">
        <f>+'מחירי דלקים '!$E$4+O8</f>
        <v>407</v>
      </c>
      <c r="W8" s="8">
        <f>+'מחירי דלקים '!$D$6</f>
        <v>8657.0750000000007</v>
      </c>
      <c r="X8" s="8">
        <f>+'מחירי דלקים '!$D$6</f>
        <v>8657.0750000000007</v>
      </c>
      <c r="Y8">
        <v>0</v>
      </c>
      <c r="Z8" s="10">
        <f>+('מחירי דלקים '!$D$5)+P8</f>
        <v>1160.6440793202694</v>
      </c>
      <c r="AA8">
        <f>+'מחירי דלקים '!$E$4+O8</f>
        <v>407</v>
      </c>
      <c r="AC8" s="8">
        <f>+'מחירי דלקים '!$D$6</f>
        <v>8657.0750000000007</v>
      </c>
      <c r="AD8" s="8">
        <f>+'מחירי דלקים '!$D$6</f>
        <v>8657.0750000000007</v>
      </c>
      <c r="AE8">
        <v>0</v>
      </c>
      <c r="AF8" s="10">
        <f>+('מחירי דלקים '!$D$5)+P8</f>
        <v>1160.6440793202694</v>
      </c>
      <c r="AG8">
        <f>+'מחירי דלקים '!$D$4+O8</f>
        <v>639.0978196565087</v>
      </c>
    </row>
    <row r="9" spans="1:33" ht="15">
      <c r="A9">
        <f t="shared" ref="A9:A14" si="0">1/(1+$I$1)^(B9-2023)</f>
        <v>0.92991335997225155</v>
      </c>
      <c r="B9" s="1">
        <v>2025</v>
      </c>
      <c r="C9" s="3">
        <f>'פלט שנתי לאחר תיקון אגירה'!C22</f>
        <v>15.74</v>
      </c>
      <c r="D9" s="3">
        <f>'פלט שנתי לאחר תיקון אגירה'!D22</f>
        <v>0.46</v>
      </c>
      <c r="E9" s="3">
        <v>0</v>
      </c>
      <c r="F9" s="3">
        <f>'פלט שנתי לאחר תיקון אגירה'!G22</f>
        <v>9599.56</v>
      </c>
      <c r="G9" s="3">
        <f>'פלט שנתי לאחר תיקון אגירה'!H22</f>
        <v>647.94000000000005</v>
      </c>
      <c r="H9" s="6">
        <f t="shared" ref="H9:H14" si="1">+SUMPRODUCT(C9:G9,Q9:U9)/1000</f>
        <v>12500.780861184006</v>
      </c>
      <c r="I9" s="6">
        <f>+SUMPRODUCT(C9:G9,W9:AA9)/1000</f>
        <v>11957.661333079684</v>
      </c>
      <c r="J9" s="6">
        <f t="shared" ref="J9:J14" si="2">+SUMPRODUCT(C9:G9,AC9:AG9)/1000</f>
        <v>12108.046794347923</v>
      </c>
      <c r="L9" s="6">
        <f>+'תרחיש הפעלה 3% 20% ללא צמצום פח'!F4</f>
        <v>8546.68</v>
      </c>
      <c r="M9" s="5">
        <f t="shared" ref="M9:M14" si="3">+F9-L9</f>
        <v>1052.8799999999992</v>
      </c>
      <c r="N9" s="10">
        <f>+('מחירי דלקים '!$D$5*L9+'מחירי דלקים '!$D$7*M9)/SUM(L9:M9)</f>
        <v>1217.2216233019021</v>
      </c>
      <c r="O9" s="14">
        <v>147</v>
      </c>
      <c r="P9" s="14">
        <v>33</v>
      </c>
      <c r="Q9" s="8">
        <f>+'מחירי דלקים '!$D$6</f>
        <v>8657.0750000000007</v>
      </c>
      <c r="R9" s="8">
        <f>+'מחירי דלקים '!$D$6</f>
        <v>8657.0750000000007</v>
      </c>
      <c r="S9">
        <v>0</v>
      </c>
      <c r="T9" s="10">
        <f>+N9+P9</f>
        <v>1250.2216233019021</v>
      </c>
      <c r="U9">
        <f>+'מחירי דלקים '!$E$4+O9</f>
        <v>554</v>
      </c>
      <c r="W9" s="8">
        <f>+'מחירי דלקים '!$D$6</f>
        <v>8657.0750000000007</v>
      </c>
      <c r="X9" s="8">
        <f>+'מחירי דלקים '!$D$6</f>
        <v>8657.0750000000007</v>
      </c>
      <c r="Y9">
        <v>0</v>
      </c>
      <c r="Z9" s="10">
        <f>+('מחירי דלקים '!$D$5)+P9</f>
        <v>1193.6440793202694</v>
      </c>
      <c r="AA9">
        <f>+'מחירי דלקים '!$E$4+O9</f>
        <v>554</v>
      </c>
      <c r="AC9" s="8">
        <f>+'מחירי דלקים '!$D$6</f>
        <v>8657.0750000000007</v>
      </c>
      <c r="AD9" s="8">
        <f>+'מחירי דלקים '!$D$6</f>
        <v>8657.0750000000007</v>
      </c>
      <c r="AE9">
        <v>0</v>
      </c>
      <c r="AF9" s="10">
        <f>+('מחירי דלקים '!$D$5)+P9</f>
        <v>1193.6440793202694</v>
      </c>
      <c r="AG9">
        <f>+'מחירי דלקים '!$D$4+O9</f>
        <v>786.0978196565087</v>
      </c>
    </row>
    <row r="10" spans="1:33" ht="15">
      <c r="A10">
        <f t="shared" si="0"/>
        <v>0.89673419476591276</v>
      </c>
      <c r="B10" s="1">
        <v>2026</v>
      </c>
      <c r="C10" s="3">
        <f>'פלט שנתי לאחר תיקון אגירה'!C23</f>
        <v>19.91</v>
      </c>
      <c r="D10" s="3">
        <f>'פלט שנתי לאחר תיקון אגירה'!D23</f>
        <v>0.74</v>
      </c>
      <c r="E10" s="3">
        <v>0</v>
      </c>
      <c r="F10" s="3">
        <f>'פלט שנתי לאחר תיקון אגירה'!G23</f>
        <v>10023.75</v>
      </c>
      <c r="G10" s="3">
        <f>'פלט שנתי לאחר תיקון אגירה'!H23</f>
        <v>160.62</v>
      </c>
      <c r="H10" s="6">
        <f t="shared" si="1"/>
        <v>13095.588804052502</v>
      </c>
      <c r="I10" s="6">
        <f t="shared" ref="I10:I14" si="4">+SUMPRODUCT(C10:G10,W10:AA10)/1000</f>
        <v>12450.750428836551</v>
      </c>
      <c r="J10" s="6">
        <f t="shared" si="2"/>
        <v>12488.029980629779</v>
      </c>
      <c r="L10" s="6">
        <f>+'תרחיש הפעלה 3% 20% ללא צמצום פח'!F5</f>
        <v>8773.68</v>
      </c>
      <c r="M10" s="5">
        <f t="shared" si="3"/>
        <v>1250.0699999999997</v>
      </c>
      <c r="N10" s="10">
        <f>+('מחירי דלקים '!$D$5*L10+'מחירי דלקים '!$D$7*M10)/SUM(L10:M10)</f>
        <v>1224.9751305950867</v>
      </c>
      <c r="O10" s="14">
        <v>195</v>
      </c>
      <c r="P10" s="14">
        <v>54</v>
      </c>
      <c r="Q10" s="8">
        <f>+'מחירי דלקים '!$D$6</f>
        <v>8657.0750000000007</v>
      </c>
      <c r="R10" s="8">
        <f>+'מחירי דלקים '!$D$6</f>
        <v>8657.0750000000007</v>
      </c>
      <c r="S10">
        <v>0</v>
      </c>
      <c r="T10" s="10">
        <f t="shared" ref="T10:T14" si="5">+N10+P10</f>
        <v>1278.9751305950867</v>
      </c>
      <c r="U10">
        <f>+'מחירי דלקים '!$E$4+O10</f>
        <v>602</v>
      </c>
      <c r="W10" s="8">
        <f>+'מחירי דלקים '!$D$6</f>
        <v>8657.0750000000007</v>
      </c>
      <c r="X10" s="8">
        <f>+'מחירי דלקים '!$D$6</f>
        <v>8657.0750000000007</v>
      </c>
      <c r="Y10">
        <v>0</v>
      </c>
      <c r="Z10" s="10">
        <f>+('מחירי דלקים '!$D$5)+P10</f>
        <v>1214.6440793202694</v>
      </c>
      <c r="AA10">
        <f>+'מחירי דלקים '!$E$4+O10</f>
        <v>602</v>
      </c>
      <c r="AC10" s="8">
        <f>+'מחירי דלקים '!$D$6</f>
        <v>8657.0750000000007</v>
      </c>
      <c r="AD10" s="8">
        <f>+'מחירי דלקים '!$D$6</f>
        <v>8657.0750000000007</v>
      </c>
      <c r="AE10">
        <v>0</v>
      </c>
      <c r="AF10" s="10">
        <f>+('מחירי דלקים '!$D$5)+P10</f>
        <v>1214.6440793202694</v>
      </c>
      <c r="AG10">
        <f>+'מחירי דלקים '!$D$4+O10</f>
        <v>834.0978196565087</v>
      </c>
    </row>
    <row r="11" spans="1:33" ht="15">
      <c r="A11">
        <f t="shared" si="0"/>
        <v>0.86473885705488229</v>
      </c>
      <c r="B11" s="1">
        <v>2027</v>
      </c>
      <c r="C11" s="3">
        <f>'פלט שנתי לאחר תיקון אגירה'!C24</f>
        <v>15.93</v>
      </c>
      <c r="D11" s="3">
        <f>'פלט שנתי לאחר תיקון אגירה'!D24</f>
        <v>0.35</v>
      </c>
      <c r="E11" s="3">
        <v>0</v>
      </c>
      <c r="F11" s="3">
        <f>'פלט שנתי לאחר תיקון אגירה'!G24</f>
        <v>10182.700000000001</v>
      </c>
      <c r="G11" s="3">
        <f>'פלט שנתי לאחר תיקון אגירה'!H24</f>
        <v>0</v>
      </c>
      <c r="H11" s="6">
        <f t="shared" si="1"/>
        <v>13466.60254883398</v>
      </c>
      <c r="I11" s="6">
        <f t="shared" si="4"/>
        <v>12774.043647494507</v>
      </c>
      <c r="J11" s="6">
        <f t="shared" si="2"/>
        <v>12774.043647494507</v>
      </c>
      <c r="L11" s="6">
        <f>+'תרחיש הפעלה 3% 20% ללא צמצום פח'!F6</f>
        <v>8840.1200000000008</v>
      </c>
      <c r="M11" s="5">
        <f t="shared" si="3"/>
        <v>1342.58</v>
      </c>
      <c r="N11" s="10">
        <f>+('מחירי דלקים '!$D$5*L11+'מחירי דלקים '!$D$7*M11)/SUM(L11:M11)</f>
        <v>1228.6573666939003</v>
      </c>
      <c r="O11" s="14">
        <v>255</v>
      </c>
      <c r="P11" s="14">
        <v>80</v>
      </c>
      <c r="Q11" s="8">
        <f>+'מחירי דלקים '!$D$6</f>
        <v>8657.0750000000007</v>
      </c>
      <c r="R11" s="8">
        <f>+'מחירי דלקים '!$D$6</f>
        <v>8657.0750000000007</v>
      </c>
      <c r="S11">
        <v>0</v>
      </c>
      <c r="T11" s="10">
        <f t="shared" si="5"/>
        <v>1308.6573666939003</v>
      </c>
      <c r="U11">
        <f>+'מחירי דלקים '!$E$4+O11</f>
        <v>662</v>
      </c>
      <c r="W11" s="8">
        <f>+'מחירי דלקים '!$D$6</f>
        <v>8657.0750000000007</v>
      </c>
      <c r="X11" s="8">
        <f>+'מחירי דלקים '!$D$6</f>
        <v>8657.0750000000007</v>
      </c>
      <c r="Y11">
        <v>0</v>
      </c>
      <c r="Z11" s="10">
        <f>+('מחירי דלקים '!$D$5)+P11</f>
        <v>1240.6440793202694</v>
      </c>
      <c r="AA11">
        <f>+'מחירי דלקים '!$E$4+O11</f>
        <v>662</v>
      </c>
      <c r="AC11" s="8">
        <f>+'מחירי דלקים '!$D$6</f>
        <v>8657.0750000000007</v>
      </c>
      <c r="AD11" s="8">
        <f>+'מחירי דלקים '!$D$6</f>
        <v>8657.0750000000007</v>
      </c>
      <c r="AE11">
        <v>0</v>
      </c>
      <c r="AF11" s="10">
        <f>+('מחירי דלקים '!$D$5)+P11</f>
        <v>1240.6440793202694</v>
      </c>
      <c r="AG11">
        <f>+'מחירי דלקים '!$D$4+O11</f>
        <v>894.0978196565087</v>
      </c>
    </row>
    <row r="12" spans="1:33" ht="15">
      <c r="A12">
        <f t="shared" si="0"/>
        <v>0.8338851080567814</v>
      </c>
      <c r="B12" s="1">
        <v>2028</v>
      </c>
      <c r="C12" s="3">
        <f>'פלט שנתי לאחר תיקון אגירה'!C25</f>
        <v>13.7</v>
      </c>
      <c r="D12" s="3">
        <f>'פלט שנתי לאחר תיקון אגירה'!D25</f>
        <v>0.27</v>
      </c>
      <c r="E12" s="3">
        <v>0</v>
      </c>
      <c r="F12" s="3">
        <f>'פלט שנתי לאחר תיקון אגירה'!G25</f>
        <v>10332.299999999999</v>
      </c>
      <c r="G12" s="3">
        <f>'פלט שנתי לאחר תיקון אגירה'!H25</f>
        <v>0</v>
      </c>
      <c r="H12" s="6">
        <f t="shared" si="1"/>
        <v>13979.02059449505</v>
      </c>
      <c r="I12" s="6">
        <f t="shared" si="4"/>
        <v>13290.94435851082</v>
      </c>
      <c r="J12" s="6">
        <f t="shared" si="2"/>
        <v>13290.94435851082</v>
      </c>
      <c r="L12" s="6">
        <f>+'תרחיש הפעלה 3% 20% ללא צמצום פח'!F7</f>
        <v>8998.41</v>
      </c>
      <c r="M12" s="5">
        <f t="shared" si="3"/>
        <v>1333.8899999999994</v>
      </c>
      <c r="N12" s="10">
        <f>+('מחירי דלקים '!$D$5*L12+'מחירי דלקים '!$D$7*M12)/SUM(L12:M12)</f>
        <v>1227.2387616256835</v>
      </c>
      <c r="O12" s="14">
        <v>335</v>
      </c>
      <c r="P12" s="14">
        <v>114</v>
      </c>
      <c r="Q12" s="8">
        <f>+'מחירי דלקים '!$D$6</f>
        <v>8657.0750000000007</v>
      </c>
      <c r="R12" s="8">
        <f>+'מחירי דלקים '!$D$6</f>
        <v>8657.0750000000007</v>
      </c>
      <c r="S12">
        <v>0</v>
      </c>
      <c r="T12" s="10">
        <f t="shared" si="5"/>
        <v>1341.2387616256835</v>
      </c>
      <c r="U12">
        <f>+'מחירי דלקים '!$E$4+O12</f>
        <v>742</v>
      </c>
      <c r="W12" s="8">
        <f>+'מחירי דלקים '!$D$6</f>
        <v>8657.0750000000007</v>
      </c>
      <c r="X12" s="8">
        <f>+'מחירי דלקים '!$D$6</f>
        <v>8657.0750000000007</v>
      </c>
      <c r="Y12">
        <v>0</v>
      </c>
      <c r="Z12" s="10">
        <f>+('מחירי דלקים '!$D$5)+P12</f>
        <v>1274.6440793202694</v>
      </c>
      <c r="AA12">
        <f>+'מחירי דלקים '!$E$4+O12</f>
        <v>742</v>
      </c>
      <c r="AC12" s="8">
        <f>+'מחירי דלקים '!$D$6</f>
        <v>8657.0750000000007</v>
      </c>
      <c r="AD12" s="8">
        <f>+'מחירי דלקים '!$D$6</f>
        <v>8657.0750000000007</v>
      </c>
      <c r="AE12">
        <v>0</v>
      </c>
      <c r="AF12" s="10">
        <f>+('מחירי דלקים '!$D$5)+P12</f>
        <v>1274.6440793202694</v>
      </c>
      <c r="AG12">
        <f>+'מחירי דלקים '!$D$4+O12</f>
        <v>974.0978196565087</v>
      </c>
    </row>
    <row r="13" spans="1:33" ht="15">
      <c r="A13">
        <f t="shared" si="0"/>
        <v>0.8041322160624701</v>
      </c>
      <c r="B13" s="1">
        <v>2029</v>
      </c>
      <c r="C13" s="3">
        <f>'פלט שנתי לאחר תיקון אגירה'!C26</f>
        <v>1.73</v>
      </c>
      <c r="D13" s="3">
        <f>'פלט שנתי לאחר תיקון אגירה'!D26</f>
        <v>0.05</v>
      </c>
      <c r="E13" s="3">
        <v>0</v>
      </c>
      <c r="F13" s="3">
        <f>'פלט שנתי לאחר תיקון אגירה'!G26</f>
        <v>10068.85</v>
      </c>
      <c r="G13" s="3">
        <f>'פלט שנתי לאחר תיקון אגירה'!H26</f>
        <v>0</v>
      </c>
      <c r="H13" s="6">
        <f t="shared" si="1"/>
        <v>13778.513874971337</v>
      </c>
      <c r="I13" s="6">
        <f t="shared" si="4"/>
        <v>13202.019381563894</v>
      </c>
      <c r="J13" s="6">
        <f t="shared" si="2"/>
        <v>13202.019381563894</v>
      </c>
      <c r="L13" s="6">
        <f>+'תרחיש הפעלה 3% 20% ללא צמצום פח'!F8</f>
        <v>8951.27</v>
      </c>
      <c r="M13" s="5">
        <f t="shared" si="3"/>
        <v>1117.58</v>
      </c>
      <c r="N13" s="10">
        <f>+('מחירי דלקים '!$D$5*L13+'מחירי דלקים '!$D$7*M13)/SUM(L13:M13)</f>
        <v>1217.899326285657</v>
      </c>
      <c r="O13" s="14">
        <v>415</v>
      </c>
      <c r="P13" s="14">
        <v>149</v>
      </c>
      <c r="Q13" s="8">
        <f>+'מחירי דלקים '!$D$6</f>
        <v>8657.0750000000007</v>
      </c>
      <c r="R13" s="8">
        <f>+'מחירי דלקים '!$D$6</f>
        <v>8657.0750000000007</v>
      </c>
      <c r="S13">
        <v>0</v>
      </c>
      <c r="T13" s="10">
        <f t="shared" si="5"/>
        <v>1366.899326285657</v>
      </c>
      <c r="U13">
        <f>+'מחירי דלקים '!$E$4+O13</f>
        <v>822</v>
      </c>
      <c r="W13" s="8">
        <f>+'מחירי דלקים '!$D$6</f>
        <v>8657.0750000000007</v>
      </c>
      <c r="X13" s="8">
        <f>+'מחירי דלקים '!$D$6</f>
        <v>8657.0750000000007</v>
      </c>
      <c r="Y13">
        <v>0</v>
      </c>
      <c r="Z13" s="10">
        <f>+('מחירי דלקים '!$D$5)+P13</f>
        <v>1309.6440793202694</v>
      </c>
      <c r="AA13">
        <f>+'מחירי דלקים '!$E$4+O13</f>
        <v>822</v>
      </c>
      <c r="AC13" s="8">
        <f>+'מחירי דלקים '!$D$6</f>
        <v>8657.0750000000007</v>
      </c>
      <c r="AD13" s="8">
        <f>+'מחירי דלקים '!$D$6</f>
        <v>8657.0750000000007</v>
      </c>
      <c r="AE13">
        <v>0</v>
      </c>
      <c r="AF13" s="10">
        <f>+('מחירי דלקים '!$D$5)+P13</f>
        <v>1309.6440793202694</v>
      </c>
      <c r="AG13">
        <f>+'מחירי דלקים '!$D$4+O13</f>
        <v>1054.0978196565088</v>
      </c>
    </row>
    <row r="14" spans="1:33" ht="15">
      <c r="A14">
        <f t="shared" si="0"/>
        <v>0.77544090266390553</v>
      </c>
      <c r="B14" s="29">
        <v>2030</v>
      </c>
      <c r="C14" s="30">
        <f>'פלט שנתי לאחר תיקון אגירה'!C27</f>
        <v>1.89</v>
      </c>
      <c r="D14" s="30">
        <f>'פלט שנתי לאחר תיקון אגירה'!D27</f>
        <v>0.1</v>
      </c>
      <c r="E14" s="30">
        <v>0</v>
      </c>
      <c r="F14" s="30">
        <f>'פלט שנתי לאחר תיקון אגירה'!G27</f>
        <v>9978.3700000000008</v>
      </c>
      <c r="G14" s="30">
        <f>'פלט שנתי לאחר תיקון אגירה'!H27</f>
        <v>0</v>
      </c>
      <c r="H14" s="6">
        <f t="shared" si="1"/>
        <v>13964.71995012074</v>
      </c>
      <c r="I14" s="6">
        <f t="shared" si="4"/>
        <v>13514.410681016998</v>
      </c>
      <c r="J14" s="6">
        <f t="shared" si="2"/>
        <v>13514.410681016998</v>
      </c>
      <c r="L14" s="6">
        <f>+'תרחיש הפעלה 3% 20% ללא צמצום פח'!F9</f>
        <v>9105.41</v>
      </c>
      <c r="M14" s="5">
        <f t="shared" si="3"/>
        <v>872.96000000000095</v>
      </c>
      <c r="N14" s="10">
        <f>+('מחירי דלקים '!$D$5*L14+'מחירי דלקים '!$D$7*M14)/SUM(L14:M14)</f>
        <v>1205.7726192625387</v>
      </c>
      <c r="O14" s="14">
        <v>515</v>
      </c>
      <c r="P14" s="14">
        <v>192</v>
      </c>
      <c r="Q14" s="8">
        <f>+'מחירי דלקים '!$D$6</f>
        <v>8657.0750000000007</v>
      </c>
      <c r="R14" s="8">
        <f>+'מחירי דלקים '!$D$6</f>
        <v>8657.0750000000007</v>
      </c>
      <c r="S14">
        <v>0</v>
      </c>
      <c r="T14" s="10">
        <f t="shared" si="5"/>
        <v>1397.7726192625387</v>
      </c>
      <c r="U14">
        <f>+'מחירי דלקים '!$E$4+O14</f>
        <v>922</v>
      </c>
      <c r="W14" s="8">
        <f>+'מחירי דלקים '!$D$6</f>
        <v>8657.0750000000007</v>
      </c>
      <c r="X14" s="8">
        <f>+'מחירי דלקים '!$D$6</f>
        <v>8657.0750000000007</v>
      </c>
      <c r="Y14">
        <v>0</v>
      </c>
      <c r="Z14" s="10">
        <f>+('מחירי דלקים '!$D$5)+P14</f>
        <v>1352.6440793202694</v>
      </c>
      <c r="AA14">
        <f>+'מחירי דלקים '!$E$4+O14</f>
        <v>922</v>
      </c>
      <c r="AC14" s="8">
        <f>+'מחירי דלקים '!$D$6</f>
        <v>8657.0750000000007</v>
      </c>
      <c r="AD14" s="8">
        <f>+'מחירי דלקים '!$D$6</f>
        <v>8657.0750000000007</v>
      </c>
      <c r="AE14">
        <v>0</v>
      </c>
      <c r="AF14" s="10">
        <f>+('מחירי דלקים '!$D$5)+P14</f>
        <v>1352.6440793202694</v>
      </c>
      <c r="AG14">
        <f>+'מחירי דלקים '!$D$4+O14</f>
        <v>1154.0978196565088</v>
      </c>
    </row>
    <row r="15" spans="1:33" ht="15">
      <c r="B15" s="1" t="s">
        <v>46</v>
      </c>
      <c r="C15" s="5">
        <f>SUM(C8:C14)</f>
        <v>73.45</v>
      </c>
      <c r="D15" s="5">
        <f>SUM(D8:D14)</f>
        <v>1.97</v>
      </c>
      <c r="E15" s="5">
        <f>SUM(E8:E14)</f>
        <v>0</v>
      </c>
      <c r="F15" s="5">
        <f>SUM(F8:F14)</f>
        <v>69174.55</v>
      </c>
      <c r="G15" s="5">
        <f>SUM(G8:G14)</f>
        <v>2914.06</v>
      </c>
      <c r="R15" t="s">
        <v>211</v>
      </c>
      <c r="S15" t="s">
        <v>212</v>
      </c>
      <c r="T15" t="s">
        <v>208</v>
      </c>
    </row>
    <row r="16" spans="1:33" ht="15">
      <c r="B16" s="1" t="s">
        <v>47</v>
      </c>
      <c r="C16" s="6">
        <f>C15*'מחירי דלקים '!$D$6/1000</f>
        <v>635.86215875000005</v>
      </c>
      <c r="D16" s="6">
        <f>D15*'מחירי דלקים '!$D$6/1000</f>
        <v>17.054437750000002</v>
      </c>
      <c r="E16" s="6"/>
      <c r="F16" s="6">
        <f>F15*'מחירי דלקים '!$D$5/1000</f>
        <v>80287.031897143941</v>
      </c>
      <c r="G16" s="6">
        <f>G15*'מחירי דלקים '!$D$4/1000</f>
        <v>1862.3693923482458</v>
      </c>
      <c r="H16" s="6">
        <f>SUM(C16:G16)</f>
        <v>82802.31788599219</v>
      </c>
      <c r="P16" t="s">
        <v>207</v>
      </c>
      <c r="R16" s="6">
        <f>+'תרחיש הפעלה 3% 20% ללא צמצום פח'!$F$10</f>
        <v>61414.320000000007</v>
      </c>
      <c r="S16" s="7">
        <f>+R16/R18</f>
        <v>0.8878166898086074</v>
      </c>
      <c r="T16" s="6">
        <f>+'מחירי דלקים '!$D$5</f>
        <v>1160.6440793202694</v>
      </c>
    </row>
    <row r="17" spans="1:33" ht="15">
      <c r="B17" s="1" t="s">
        <v>48</v>
      </c>
      <c r="C17" s="6">
        <f>C16</f>
        <v>635.86215875000005</v>
      </c>
      <c r="D17" s="6">
        <f>D16</f>
        <v>17.054437750000002</v>
      </c>
      <c r="E17" s="6">
        <f>E16</f>
        <v>0</v>
      </c>
      <c r="F17" s="6">
        <f>F16</f>
        <v>80287.031897143941</v>
      </c>
      <c r="G17" s="6">
        <f>G15*'מחירי דלקים '!$E$4/1000</f>
        <v>1186.02242</v>
      </c>
      <c r="H17" s="6">
        <f>SUM(C17:G17)</f>
        <v>82125.970913643934</v>
      </c>
      <c r="P17" s="7" t="s">
        <v>209</v>
      </c>
      <c r="R17" s="5">
        <f>+F15-R16</f>
        <v>7760.2299999999959</v>
      </c>
      <c r="S17" s="7">
        <f>+R17/R18</f>
        <v>0.11218331019139258</v>
      </c>
      <c r="T17" s="6">
        <f>+'מחירי דלקים '!$D$7</f>
        <v>1676.4858923515003</v>
      </c>
    </row>
    <row r="18" spans="1:33" ht="15">
      <c r="B18" s="1" t="s">
        <v>51</v>
      </c>
      <c r="C18" s="6">
        <f>C17</f>
        <v>635.86215875000005</v>
      </c>
      <c r="D18" s="6">
        <f>D17</f>
        <v>17.054437750000002</v>
      </c>
      <c r="E18" s="6">
        <f>E17</f>
        <v>0</v>
      </c>
      <c r="F18" s="6">
        <f>F15*T18/1000</f>
        <v>84290.083009883281</v>
      </c>
      <c r="G18" s="6">
        <f>G17</f>
        <v>1186.02242</v>
      </c>
      <c r="H18" s="6">
        <f>SUM(C18:G18)</f>
        <v>86129.022026383274</v>
      </c>
      <c r="P18" t="s">
        <v>210</v>
      </c>
      <c r="Q18" s="5"/>
      <c r="R18" s="5">
        <f>SUM(R16:R17)</f>
        <v>69174.55</v>
      </c>
      <c r="S18" s="7">
        <f>SUM(S16:S17)</f>
        <v>1</v>
      </c>
      <c r="T18" s="6">
        <f>+SUMPRODUCT(T16:T17,S16:S17)</f>
        <v>1218.5129214412423</v>
      </c>
    </row>
    <row r="19" spans="1:33" ht="15">
      <c r="B19" s="1"/>
      <c r="C19" s="6"/>
      <c r="D19" s="6"/>
      <c r="E19" s="6"/>
      <c r="F19" s="114"/>
      <c r="H19" s="6"/>
    </row>
    <row r="20" spans="1:33" ht="28.5">
      <c r="B20" s="1"/>
      <c r="C20" s="6"/>
      <c r="D20" s="6"/>
      <c r="E20" s="6"/>
      <c r="F20" s="118" t="s">
        <v>314</v>
      </c>
      <c r="G20" s="119" t="s">
        <v>313</v>
      </c>
      <c r="H20" s="117"/>
    </row>
    <row r="21" spans="1:33" ht="15">
      <c r="B21" s="1"/>
      <c r="C21" s="6"/>
      <c r="D21" s="6"/>
      <c r="E21" s="6"/>
      <c r="F21" s="116">
        <f>F16/'פלט שנתי לאחר תיקון אגירה'!$AS$32*100</f>
        <v>16.37772453634658</v>
      </c>
      <c r="G21" s="117">
        <f>G16/'פלט שנתי לאחר תיקון אגירה'!$AT$32*100</f>
        <v>14.17530038405957</v>
      </c>
      <c r="H21" s="117"/>
    </row>
    <row r="22" spans="1:33" ht="15">
      <c r="B22" s="1"/>
      <c r="C22" s="6"/>
      <c r="D22" s="6"/>
      <c r="E22" s="6"/>
      <c r="F22" s="116">
        <f>F17/'פלט שנתי לאחר תיקון אגירה'!$AS$32*100</f>
        <v>16.37772453634658</v>
      </c>
      <c r="G22" s="117">
        <f>G17/'פלט שנתי לאחר תיקון אגירה'!$AT$32*100</f>
        <v>9.0273305257293082</v>
      </c>
      <c r="H22" s="117"/>
    </row>
    <row r="23" spans="1:33" ht="15">
      <c r="B23" s="1"/>
      <c r="C23" s="6"/>
      <c r="D23" s="6"/>
      <c r="E23" s="6"/>
      <c r="F23" s="116">
        <f>F18/'פלט שנתי לאחר תיקון אגירה'!$AS$32*100</f>
        <v>17.194305581631092</v>
      </c>
      <c r="G23" s="117">
        <f>G18/'פלט שנתי לאחר תיקון אגירה'!$AT$32*100</f>
        <v>9.0273305257293082</v>
      </c>
      <c r="H23" s="117"/>
    </row>
    <row r="24" spans="1:33" ht="15">
      <c r="B24" s="1"/>
      <c r="C24" s="6"/>
      <c r="D24" s="6"/>
      <c r="E24" s="6"/>
      <c r="F24" s="115"/>
      <c r="G24" s="116"/>
      <c r="H24" s="117"/>
    </row>
    <row r="25" spans="1:33" ht="15">
      <c r="B25" s="1"/>
      <c r="C25" s="6"/>
      <c r="D25" s="6"/>
      <c r="E25" s="6"/>
      <c r="F25" s="114"/>
      <c r="G25" s="35"/>
      <c r="H25" s="6"/>
    </row>
    <row r="26" spans="1:33" ht="30">
      <c r="A26" s="1" t="s">
        <v>279</v>
      </c>
      <c r="B26" s="1" t="s">
        <v>279</v>
      </c>
      <c r="F26" s="114"/>
      <c r="G26" s="35"/>
      <c r="H26" s="6">
        <f>+SUMPRODUCT(H8:H14,$A$8:$A$14)</f>
        <v>79896.718682064733</v>
      </c>
      <c r="I26" s="6">
        <f t="shared" ref="I26" si="6">+SUMPRODUCT(I8:I14,$A$8:$A$14)</f>
        <v>76434.881549123806</v>
      </c>
      <c r="J26" s="6">
        <f>+SUMPRODUCT(J8:J14,$A$8:$A$14)</f>
        <v>77079.402709940026</v>
      </c>
    </row>
    <row r="27" spans="1:33" ht="15">
      <c r="B27" s="1"/>
      <c r="C27" s="6"/>
      <c r="D27" s="6"/>
      <c r="E27" s="6"/>
      <c r="F27" s="114"/>
      <c r="G27" s="35"/>
      <c r="H27" s="6"/>
    </row>
    <row r="28" spans="1:33" ht="15">
      <c r="B28" s="4" t="s">
        <v>188</v>
      </c>
      <c r="F28" s="10">
        <f>+F17/T17</f>
        <v>47.890073076923073</v>
      </c>
    </row>
    <row r="29" spans="1:33" ht="30">
      <c r="H29" s="1" t="s">
        <v>215</v>
      </c>
      <c r="I29" s="1" t="s">
        <v>48</v>
      </c>
      <c r="J29" s="1" t="s">
        <v>47</v>
      </c>
      <c r="L29" s="1" t="s">
        <v>213</v>
      </c>
      <c r="M29" s="1" t="s">
        <v>214</v>
      </c>
      <c r="N29" s="1" t="s">
        <v>210</v>
      </c>
      <c r="Q29" s="1" t="s">
        <v>14</v>
      </c>
      <c r="R29" s="1" t="s">
        <v>15</v>
      </c>
      <c r="S29" s="1" t="s">
        <v>5</v>
      </c>
      <c r="T29" s="1" t="s">
        <v>2</v>
      </c>
      <c r="U29" s="1" t="s">
        <v>0</v>
      </c>
      <c r="W29" s="1" t="s">
        <v>14</v>
      </c>
      <c r="X29" s="1" t="s">
        <v>15</v>
      </c>
      <c r="Y29" s="1" t="s">
        <v>5</v>
      </c>
      <c r="Z29" s="1" t="s">
        <v>2</v>
      </c>
      <c r="AA29" s="1" t="s">
        <v>0</v>
      </c>
      <c r="AC29" s="1" t="s">
        <v>14</v>
      </c>
      <c r="AD29" s="1" t="s">
        <v>15</v>
      </c>
      <c r="AE29" s="1" t="s">
        <v>5</v>
      </c>
      <c r="AF29" s="1" t="s">
        <v>2</v>
      </c>
      <c r="AG29" s="1" t="s">
        <v>0</v>
      </c>
    </row>
    <row r="30" spans="1:33">
      <c r="B30" t="str">
        <f>'פלט שנתי לאחר תיקון אגירה'!B16</f>
        <v>D:\sal-delek\‏‏2024-2030-Ren20\‏‏Sen0-‏‏Ren-20\Base.ucp</v>
      </c>
    </row>
    <row r="31" spans="1:33" ht="30">
      <c r="A31" t="s">
        <v>280</v>
      </c>
      <c r="B31" s="1" t="s">
        <v>18</v>
      </c>
      <c r="C31" s="1" t="s">
        <v>14</v>
      </c>
      <c r="D31" s="1" t="s">
        <v>15</v>
      </c>
      <c r="E31" s="1" t="s">
        <v>5</v>
      </c>
      <c r="F31" s="1" t="s">
        <v>2</v>
      </c>
      <c r="G31" s="1" t="s">
        <v>0</v>
      </c>
    </row>
    <row r="32" spans="1:33" ht="15">
      <c r="A32">
        <f>1/(1+$I$1)^(B32-2023)</f>
        <v>0.96432015429122475</v>
      </c>
      <c r="B32" s="1">
        <v>2024</v>
      </c>
      <c r="C32" s="3">
        <f>+'פלט שנתי לאחר תיקון אגירה'!AP3</f>
        <v>3.68</v>
      </c>
      <c r="D32" s="3">
        <f>+'פלט שנתי לאחר תיקון אגירה'!AQ3</f>
        <v>0</v>
      </c>
      <c r="E32" s="3">
        <f>+'פלט שנתי לאחר תיקון אגירה'!AR3</f>
        <v>1.1599999999999999</v>
      </c>
      <c r="F32" s="3">
        <f>+'פלט שנתי לאחר תיקון אגירה'!AS3</f>
        <v>9106.2999999999993</v>
      </c>
      <c r="G32" s="3">
        <f>+'פלט שנתי לאחר תיקון אגירה'!AT3</f>
        <v>1788.74</v>
      </c>
      <c r="H32" s="6">
        <f>+SUMPRODUCT(C32:G32,Q32:U32)/1000</f>
        <v>11742.02138248789</v>
      </c>
      <c r="I32" s="6">
        <f>+SUMPRODUCT(C32:G32,W32:AA32)/1000</f>
        <v>11329.048395514168</v>
      </c>
      <c r="J32" s="6">
        <f>+SUMPRODUCT(C32:G32,AC32:AG32)/1000</f>
        <v>11744.211049446551</v>
      </c>
      <c r="L32" s="6">
        <f t="shared" ref="L32:L38" si="7">+L8</f>
        <v>8198.75</v>
      </c>
      <c r="M32" s="5">
        <f>+F32-L32</f>
        <v>907.54999999999927</v>
      </c>
      <c r="N32" s="10">
        <f>+('מחירי דלקים '!$D$5*L32+'מחירי דלקים '!$D$7*M32)/SUM(L32:M32)</f>
        <v>1212.0537887979378</v>
      </c>
      <c r="Q32" s="8">
        <f>+'מחירי דלקים '!$D$6</f>
        <v>8657.0750000000007</v>
      </c>
      <c r="R32" s="8">
        <f>+'מחירי דלקים '!$D$6</f>
        <v>8657.0750000000007</v>
      </c>
      <c r="S32">
        <v>0</v>
      </c>
      <c r="T32">
        <f>T8</f>
        <v>1205.9943299131251</v>
      </c>
      <c r="U32">
        <f>U8</f>
        <v>407</v>
      </c>
      <c r="W32" s="8">
        <f>+'מחירי דלקים '!$D$6</f>
        <v>8657.0750000000007</v>
      </c>
      <c r="X32" s="8">
        <f>+'מחירי דלקים '!$D$6</f>
        <v>8657.0750000000007</v>
      </c>
      <c r="Y32">
        <v>0</v>
      </c>
      <c r="Z32">
        <f>Z8</f>
        <v>1160.6440793202694</v>
      </c>
      <c r="AA32">
        <f>AA8</f>
        <v>407</v>
      </c>
      <c r="AC32" s="8">
        <f>+'מחירי דלקים '!$D$6</f>
        <v>8657.0750000000007</v>
      </c>
      <c r="AD32" s="8">
        <f>+'מחירי דלקים '!$D$6</f>
        <v>8657.0750000000007</v>
      </c>
      <c r="AE32">
        <v>0</v>
      </c>
      <c r="AF32">
        <f>AF8</f>
        <v>1160.6440793202694</v>
      </c>
      <c r="AG32">
        <f>AG8</f>
        <v>639.0978196565087</v>
      </c>
    </row>
    <row r="33" spans="1:33" ht="15">
      <c r="A33">
        <f t="shared" ref="A33:A38" si="8">1/(1+$I$1)^(B33-2023)</f>
        <v>0.92991335997225155</v>
      </c>
      <c r="B33" s="1">
        <v>2025</v>
      </c>
      <c r="C33" s="3">
        <f>+'פלט שנתי לאחר תיקון אגירה'!AP4</f>
        <v>11.83</v>
      </c>
      <c r="D33" s="3">
        <f>+'פלט שנתי לאחר תיקון אגירה'!AQ4</f>
        <v>0.25</v>
      </c>
      <c r="E33" s="3">
        <f>+'פלט שנתי לאחר תיקון אגירה'!AR4</f>
        <v>2.02</v>
      </c>
      <c r="F33" s="3">
        <f>+'פלט שנתי לאחר תיקון אגירה'!AS4</f>
        <v>9407.92</v>
      </c>
      <c r="G33" s="3">
        <f>+'פלט שנתי לאחר תיקון אגירה'!AT4</f>
        <v>969.75</v>
      </c>
      <c r="H33" s="6">
        <f t="shared" ref="H33:H38" si="9">+SUMPRODUCT(C33:G33,Q33:U33)/1000</f>
        <v>12403.803980294431</v>
      </c>
      <c r="I33" s="6">
        <f t="shared" ref="I33:I38" si="10">+SUMPRODUCT(C33:G33,W33:AA33)/1000</f>
        <v>11871.52697271875</v>
      </c>
      <c r="J33" s="6">
        <f t="shared" ref="J33:J38" si="11">+SUMPRODUCT(C33:G33,AC33:AG33)/1000</f>
        <v>12096.603833330648</v>
      </c>
      <c r="L33" s="6">
        <f t="shared" si="7"/>
        <v>8546.68</v>
      </c>
      <c r="M33" s="5">
        <f t="shared" ref="M33:M38" si="12">+F33-L33</f>
        <v>861.23999999999978</v>
      </c>
      <c r="N33" s="10">
        <f>+('מחירי דלקים '!$D$5*L33+'מחירי דלקים '!$D$7*M33)/SUM(L33:M33)</f>
        <v>1207.8663774536524</v>
      </c>
      <c r="Q33" s="8">
        <f>+'מחירי דלקים '!$D$6</f>
        <v>8657.0750000000007</v>
      </c>
      <c r="R33" s="8">
        <f>+'מחירי דלקים '!$D$6</f>
        <v>8657.0750000000007</v>
      </c>
      <c r="S33">
        <v>0</v>
      </c>
      <c r="T33">
        <f t="shared" ref="T33:U38" si="13">T9</f>
        <v>1250.2216233019021</v>
      </c>
      <c r="U33">
        <f t="shared" si="13"/>
        <v>554</v>
      </c>
      <c r="W33" s="8">
        <f>+'מחירי דלקים '!$D$6</f>
        <v>8657.0750000000007</v>
      </c>
      <c r="X33" s="8">
        <f>+'מחירי דלקים '!$D$6</f>
        <v>8657.0750000000007</v>
      </c>
      <c r="Y33">
        <v>0</v>
      </c>
      <c r="Z33">
        <f t="shared" ref="Z33:AA38" si="14">Z9</f>
        <v>1193.6440793202694</v>
      </c>
      <c r="AA33">
        <f t="shared" si="14"/>
        <v>554</v>
      </c>
      <c r="AC33" s="8">
        <f>+'מחירי דלקים '!$D$6</f>
        <v>8657.0750000000007</v>
      </c>
      <c r="AD33" s="8">
        <f>+'מחירי דלקים '!$D$6</f>
        <v>8657.0750000000007</v>
      </c>
      <c r="AE33">
        <v>0</v>
      </c>
      <c r="AF33">
        <f t="shared" ref="AF33:AG38" si="15">AF9</f>
        <v>1193.6440793202694</v>
      </c>
      <c r="AG33">
        <f t="shared" si="15"/>
        <v>786.0978196565087</v>
      </c>
    </row>
    <row r="34" spans="1:33" ht="15">
      <c r="A34">
        <f t="shared" si="8"/>
        <v>0.89673419476591276</v>
      </c>
      <c r="B34" s="1">
        <v>2026</v>
      </c>
      <c r="C34" s="3">
        <f>+'פלט שנתי לאחר תיקון אגירה'!AP5</f>
        <v>10.130000000000001</v>
      </c>
      <c r="D34" s="3">
        <f>+'פלט שנתי לאחר תיקון אגירה'!AQ5</f>
        <v>0.43</v>
      </c>
      <c r="E34" s="3">
        <f>+'פלט שנתי לאחר תיקון אגירה'!AR5</f>
        <v>2.2999999999999998</v>
      </c>
      <c r="F34" s="3">
        <f>+'פלט שנתי לאחר תיקון אגירה'!AS5</f>
        <v>9608.68</v>
      </c>
      <c r="G34" s="3">
        <f>+'פלט שנתי לאחר תיקון אגירה'!AT5</f>
        <v>940.95</v>
      </c>
      <c r="H34" s="6">
        <f t="shared" si="9"/>
        <v>12947.133369846399</v>
      </c>
      <c r="I34" s="6">
        <f t="shared" si="10"/>
        <v>12328.996884083086</v>
      </c>
      <c r="J34" s="6">
        <f t="shared" si="11"/>
        <v>12547.38932748888</v>
      </c>
      <c r="L34" s="6">
        <f t="shared" si="7"/>
        <v>8773.68</v>
      </c>
      <c r="M34" s="5">
        <f t="shared" si="12"/>
        <v>835</v>
      </c>
      <c r="N34" s="10">
        <f>+('מחירי דלקים '!$D$5*L34+'מחירי דלקים '!$D$7*M34)/SUM(L34:M34)</f>
        <v>1205.4710393065607</v>
      </c>
      <c r="Q34" s="8">
        <f>+'מחירי דלקים '!$D$6</f>
        <v>8657.0750000000007</v>
      </c>
      <c r="R34" s="8">
        <f>+'מחירי דלקים '!$D$6</f>
        <v>8657.0750000000007</v>
      </c>
      <c r="S34">
        <v>0</v>
      </c>
      <c r="T34">
        <f t="shared" si="13"/>
        <v>1278.9751305950867</v>
      </c>
      <c r="U34">
        <f t="shared" si="13"/>
        <v>602</v>
      </c>
      <c r="W34" s="8">
        <f>+'מחירי דלקים '!$D$6</f>
        <v>8657.0750000000007</v>
      </c>
      <c r="X34" s="8">
        <f>+'מחירי דלקים '!$D$6</f>
        <v>8657.0750000000007</v>
      </c>
      <c r="Y34">
        <v>0</v>
      </c>
      <c r="Z34">
        <f t="shared" si="14"/>
        <v>1214.6440793202694</v>
      </c>
      <c r="AA34">
        <f t="shared" si="14"/>
        <v>602</v>
      </c>
      <c r="AC34" s="8">
        <f>+'מחירי דלקים '!$D$6</f>
        <v>8657.0750000000007</v>
      </c>
      <c r="AD34" s="8">
        <f>+'מחירי דלקים '!$D$6</f>
        <v>8657.0750000000007</v>
      </c>
      <c r="AE34">
        <v>0</v>
      </c>
      <c r="AF34">
        <f t="shared" si="15"/>
        <v>1214.6440793202694</v>
      </c>
      <c r="AG34">
        <f t="shared" si="15"/>
        <v>834.0978196565087</v>
      </c>
    </row>
    <row r="35" spans="1:33" ht="15">
      <c r="A35">
        <f t="shared" si="8"/>
        <v>0.86473885705488229</v>
      </c>
      <c r="B35" s="1">
        <v>2027</v>
      </c>
      <c r="C35" s="3">
        <f>+'פלט שנתי לאחר תיקון אגירה'!AP6</f>
        <v>11.4</v>
      </c>
      <c r="D35" s="3">
        <f>+'פלט שנתי לאחר תיקון אגירה'!AQ6</f>
        <v>0.26</v>
      </c>
      <c r="E35" s="3">
        <f>+'פלט שנתי לאחר תיקון אגירה'!AR6</f>
        <v>2.2999999999999998</v>
      </c>
      <c r="F35" s="3">
        <f>+'פלט שנתי לאחר תיקון אגירה'!AS6</f>
        <v>9670.6200000000008</v>
      </c>
      <c r="G35" s="3">
        <f>+'פלט שנתי לאחר תיקון אגירה'!AT6</f>
        <v>938.26</v>
      </c>
      <c r="H35" s="6">
        <f t="shared" si="9"/>
        <v>13377.597717997367</v>
      </c>
      <c r="I35" s="6">
        <f t="shared" si="10"/>
        <v>12719.867060856184</v>
      </c>
      <c r="J35" s="6">
        <f t="shared" si="11"/>
        <v>12937.635161127102</v>
      </c>
      <c r="L35" s="6">
        <f t="shared" si="7"/>
        <v>8840.1200000000008</v>
      </c>
      <c r="M35" s="5">
        <f t="shared" si="12"/>
        <v>830.5</v>
      </c>
      <c r="N35" s="10">
        <f>+('מחירי דלקים '!$D$5*L35+'מחירי דלקים '!$D$7*M35)/SUM(L35:M35)</f>
        <v>1204.9438890245528</v>
      </c>
      <c r="Q35" s="8">
        <f>+'מחירי דלקים '!$D$6</f>
        <v>8657.0750000000007</v>
      </c>
      <c r="R35" s="8">
        <f>+'מחירי דלקים '!$D$6</f>
        <v>8657.0750000000007</v>
      </c>
      <c r="S35">
        <v>0</v>
      </c>
      <c r="T35">
        <f t="shared" si="13"/>
        <v>1308.6573666939003</v>
      </c>
      <c r="U35">
        <f t="shared" si="13"/>
        <v>662</v>
      </c>
      <c r="W35" s="8">
        <f>+'מחירי דלקים '!$D$6</f>
        <v>8657.0750000000007</v>
      </c>
      <c r="X35" s="8">
        <f>+'מחירי דלקים '!$D$6</f>
        <v>8657.0750000000007</v>
      </c>
      <c r="Y35">
        <v>0</v>
      </c>
      <c r="Z35">
        <f t="shared" si="14"/>
        <v>1240.6440793202694</v>
      </c>
      <c r="AA35">
        <f t="shared" si="14"/>
        <v>662</v>
      </c>
      <c r="AC35" s="8">
        <f>+'מחירי דלקים '!$D$6</f>
        <v>8657.0750000000007</v>
      </c>
      <c r="AD35" s="8">
        <f>+'מחירי דלקים '!$D$6</f>
        <v>8657.0750000000007</v>
      </c>
      <c r="AE35">
        <v>0</v>
      </c>
      <c r="AF35">
        <f t="shared" si="15"/>
        <v>1240.6440793202694</v>
      </c>
      <c r="AG35">
        <f t="shared" si="15"/>
        <v>894.0978196565087</v>
      </c>
    </row>
    <row r="36" spans="1:33" ht="15">
      <c r="A36">
        <f t="shared" si="8"/>
        <v>0.8338851080567814</v>
      </c>
      <c r="B36" s="1">
        <v>2028</v>
      </c>
      <c r="C36" s="3">
        <f>+'פלט שנתי לאחר תיקון אגירה'!AP7</f>
        <v>12.76</v>
      </c>
      <c r="D36" s="3">
        <f>+'פלט שנתי לאחר תיקון אגירה'!AQ7</f>
        <v>0.35</v>
      </c>
      <c r="E36" s="3">
        <f>+'פלט שנתי לאחר תיקון אגירה'!AR7</f>
        <v>2.02</v>
      </c>
      <c r="F36" s="3">
        <f>+'פלט שנתי לאחר תיקון אגירה'!AS7</f>
        <v>9807.59</v>
      </c>
      <c r="G36" s="3">
        <f>+'פלט שנתי לאחר תיקון אגירה'!AT7</f>
        <v>978.99</v>
      </c>
      <c r="H36" s="6">
        <f t="shared" si="9"/>
        <v>13994.224699382437</v>
      </c>
      <c r="I36" s="6">
        <f t="shared" si="10"/>
        <v>13341.09135915068</v>
      </c>
      <c r="J36" s="6">
        <f t="shared" si="11"/>
        <v>13568.312803616205</v>
      </c>
      <c r="L36" s="6">
        <f t="shared" si="7"/>
        <v>8998.41</v>
      </c>
      <c r="M36" s="5">
        <f t="shared" si="12"/>
        <v>809.18000000000029</v>
      </c>
      <c r="N36" s="10">
        <f>+('מחירי דלקים '!$D$5*L36+'מחירי דלקים '!$D$7*M36)/SUM(L36:M36)</f>
        <v>1203.2038598849761</v>
      </c>
      <c r="Q36" s="8">
        <f>+'מחירי דלקים '!$D$6</f>
        <v>8657.0750000000007</v>
      </c>
      <c r="R36" s="8">
        <f>+'מחירי דלקים '!$D$6</f>
        <v>8657.0750000000007</v>
      </c>
      <c r="S36">
        <v>0</v>
      </c>
      <c r="T36">
        <f t="shared" si="13"/>
        <v>1341.2387616256835</v>
      </c>
      <c r="U36">
        <f t="shared" si="13"/>
        <v>742</v>
      </c>
      <c r="W36" s="8">
        <f>+'מחירי דלקים '!$D$6</f>
        <v>8657.0750000000007</v>
      </c>
      <c r="X36" s="8">
        <f>+'מחירי דלקים '!$D$6</f>
        <v>8657.0750000000007</v>
      </c>
      <c r="Y36">
        <v>0</v>
      </c>
      <c r="Z36">
        <f t="shared" si="14"/>
        <v>1274.6440793202694</v>
      </c>
      <c r="AA36">
        <f t="shared" si="14"/>
        <v>742</v>
      </c>
      <c r="AC36" s="8">
        <f>+'מחירי דלקים '!$D$6</f>
        <v>8657.0750000000007</v>
      </c>
      <c r="AD36" s="8">
        <f>+'מחירי דלקים '!$D$6</f>
        <v>8657.0750000000007</v>
      </c>
      <c r="AE36">
        <v>0</v>
      </c>
      <c r="AF36">
        <f t="shared" si="15"/>
        <v>1274.6440793202694</v>
      </c>
      <c r="AG36">
        <f t="shared" si="15"/>
        <v>974.0978196565087</v>
      </c>
    </row>
    <row r="37" spans="1:33" ht="15">
      <c r="A37">
        <f t="shared" si="8"/>
        <v>0.8041322160624701</v>
      </c>
      <c r="B37" s="1">
        <v>2029</v>
      </c>
      <c r="C37" s="3">
        <f>+'פלט שנתי לאחר תיקון אגירה'!AP8</f>
        <v>1.18</v>
      </c>
      <c r="D37" s="3">
        <f>+'פלט שנתי לאחר תיקון אגירה'!AQ8</f>
        <v>0</v>
      </c>
      <c r="E37" s="3">
        <f>+'פלט שנתי לאחר תיקון אגירה'!AR8</f>
        <v>1.44</v>
      </c>
      <c r="F37" s="3">
        <f>+'פלט שנתי לאחר תיקון אגירה'!AS8</f>
        <v>9721.09</v>
      </c>
      <c r="G37" s="3">
        <f>+'פלט שנתי לאחר תיקון אגירה'!AT8</f>
        <v>639.79</v>
      </c>
      <c r="H37" s="6">
        <f t="shared" si="9"/>
        <v>13823.874100262239</v>
      </c>
      <c r="I37" s="6">
        <f t="shared" si="10"/>
        <v>13267.29069153948</v>
      </c>
      <c r="J37" s="6">
        <f t="shared" si="11"/>
        <v>13415.784555577517</v>
      </c>
      <c r="L37" s="6">
        <f t="shared" si="7"/>
        <v>8951.27</v>
      </c>
      <c r="M37" s="5">
        <f t="shared" si="12"/>
        <v>769.81999999999971</v>
      </c>
      <c r="N37" s="10">
        <f>+('מחירי דלקים '!$D$5*L37+'מחירי דלקים '!$D$7*M37)/SUM(L37:M37)</f>
        <v>1201.4939577297584</v>
      </c>
      <c r="Q37" s="8">
        <f>+'מחירי דלקים '!$D$6</f>
        <v>8657.0750000000007</v>
      </c>
      <c r="R37" s="8">
        <f>+'מחירי דלקים '!$D$6</f>
        <v>8657.0750000000007</v>
      </c>
      <c r="S37">
        <v>0</v>
      </c>
      <c r="T37">
        <f t="shared" si="13"/>
        <v>1366.899326285657</v>
      </c>
      <c r="U37">
        <f t="shared" si="13"/>
        <v>822</v>
      </c>
      <c r="W37" s="8">
        <f>+'מחירי דלקים '!$D$6</f>
        <v>8657.0750000000007</v>
      </c>
      <c r="X37" s="8">
        <f>+'מחירי דלקים '!$D$6</f>
        <v>8657.0750000000007</v>
      </c>
      <c r="Y37">
        <v>0</v>
      </c>
      <c r="Z37">
        <f t="shared" si="14"/>
        <v>1309.6440793202694</v>
      </c>
      <c r="AA37">
        <f t="shared" si="14"/>
        <v>822</v>
      </c>
      <c r="AC37" s="8">
        <f>+'מחירי דלקים '!$D$6</f>
        <v>8657.0750000000007</v>
      </c>
      <c r="AD37" s="8">
        <f>+'מחירי דלקים '!$D$6</f>
        <v>8657.0750000000007</v>
      </c>
      <c r="AE37">
        <v>0</v>
      </c>
      <c r="AF37">
        <f t="shared" si="15"/>
        <v>1309.6440793202694</v>
      </c>
      <c r="AG37">
        <f t="shared" si="15"/>
        <v>1054.0978196565088</v>
      </c>
    </row>
    <row r="38" spans="1:33" ht="15">
      <c r="A38">
        <f t="shared" si="8"/>
        <v>0.77544090266390553</v>
      </c>
      <c r="B38" s="29">
        <v>2030</v>
      </c>
      <c r="C38" s="30">
        <f>+'פלט שנתי לאחר תיקון אגירה'!AP9</f>
        <v>1.84</v>
      </c>
      <c r="D38" s="30">
        <f>+'פלט שנתי לאחר תיקון אגירה'!AQ9</f>
        <v>0.06</v>
      </c>
      <c r="E38" s="30">
        <f>+'פלט שנתי לאחר תיקון אגירה'!AR9</f>
        <v>0</v>
      </c>
      <c r="F38" s="30">
        <f>+'פלט שנתי לאחר תיקון אגירה'!AS9</f>
        <v>9964.2099999999991</v>
      </c>
      <c r="G38" s="30">
        <f>+'פלט שנתי לאחר תיקון אגירה'!AT9</f>
        <v>0</v>
      </c>
      <c r="H38" s="6">
        <f t="shared" si="9"/>
        <v>13944.148353081981</v>
      </c>
      <c r="I38" s="6">
        <f t="shared" si="10"/>
        <v>13494.47810410382</v>
      </c>
      <c r="J38" s="6">
        <f t="shared" si="11"/>
        <v>13494.47810410382</v>
      </c>
      <c r="L38" s="6">
        <f t="shared" si="7"/>
        <v>9105.41</v>
      </c>
      <c r="M38" s="5">
        <f t="shared" si="12"/>
        <v>858.79999999999927</v>
      </c>
      <c r="N38" s="10">
        <f>+('מחירי דלקים '!$D$5*L38+'מחירי דלקים '!$D$7*M38)/SUM(L38:M38)</f>
        <v>1205.103695188584</v>
      </c>
      <c r="Q38" s="8">
        <f>+'מחירי דלקים '!$D$6</f>
        <v>8657.0750000000007</v>
      </c>
      <c r="R38" s="8">
        <f>+'מחירי דלקים '!$D$6</f>
        <v>8657.0750000000007</v>
      </c>
      <c r="S38">
        <v>0</v>
      </c>
      <c r="T38">
        <f t="shared" si="13"/>
        <v>1397.7726192625387</v>
      </c>
      <c r="U38">
        <f t="shared" si="13"/>
        <v>922</v>
      </c>
      <c r="W38" s="8">
        <f>+'מחירי דלקים '!$D$6</f>
        <v>8657.0750000000007</v>
      </c>
      <c r="X38" s="8">
        <f>+'מחירי דלקים '!$D$6</f>
        <v>8657.0750000000007</v>
      </c>
      <c r="Y38">
        <v>0</v>
      </c>
      <c r="Z38">
        <f t="shared" si="14"/>
        <v>1352.6440793202694</v>
      </c>
      <c r="AA38">
        <f t="shared" si="14"/>
        <v>922</v>
      </c>
      <c r="AC38" s="8">
        <f>+'מחירי דלקים '!$D$6</f>
        <v>8657.0750000000007</v>
      </c>
      <c r="AD38" s="8">
        <f>+'מחירי דלקים '!$D$6</f>
        <v>8657.0750000000007</v>
      </c>
      <c r="AE38">
        <v>0</v>
      </c>
      <c r="AF38">
        <f t="shared" si="15"/>
        <v>1352.6440793202694</v>
      </c>
      <c r="AG38">
        <f t="shared" si="15"/>
        <v>1154.0978196565088</v>
      </c>
    </row>
    <row r="39" spans="1:33" ht="15">
      <c r="B39" s="1" t="s">
        <v>46</v>
      </c>
      <c r="C39" s="5">
        <f>SUM(C32:C38)</f>
        <v>52.82</v>
      </c>
      <c r="D39" s="5">
        <f>SUM(D32:D38)</f>
        <v>1.35</v>
      </c>
      <c r="E39" s="5">
        <f>SUM(E32:E38)</f>
        <v>11.239999999999998</v>
      </c>
      <c r="F39" s="5">
        <f>SUM(F32:F38)</f>
        <v>67286.41</v>
      </c>
      <c r="G39" s="5">
        <f>SUM(G32:G38)</f>
        <v>6256.48</v>
      </c>
      <c r="L39" s="34"/>
      <c r="R39" t="s">
        <v>211</v>
      </c>
      <c r="S39" t="s">
        <v>212</v>
      </c>
      <c r="T39" t="s">
        <v>208</v>
      </c>
    </row>
    <row r="40" spans="1:33" ht="15">
      <c r="B40" s="1" t="s">
        <v>47</v>
      </c>
      <c r="C40" s="6">
        <f>C39*'מחירי דלקים '!$D$6/1000</f>
        <v>457.26670150000001</v>
      </c>
      <c r="D40" s="6">
        <f>D39*'מחירי דלקים '!$D$6/1000</f>
        <v>11.687051250000001</v>
      </c>
      <c r="E40" s="6"/>
      <c r="F40" s="6">
        <f>F39*'מחירי דלקים '!$D$5/1000</f>
        <v>78095.573385216179</v>
      </c>
      <c r="G40" s="6">
        <f>G39*'מחירי דלקים '!$D$4/1000</f>
        <v>3998.5027267245532</v>
      </c>
      <c r="H40" s="6">
        <f>SUM(C40:G40)</f>
        <v>82563.029864690732</v>
      </c>
      <c r="I40" s="5"/>
      <c r="J40" s="5"/>
      <c r="K40" s="5"/>
      <c r="P40" t="s">
        <v>207</v>
      </c>
      <c r="R40" s="6">
        <f>+'תרחיש הפעלה 3% 20% ללא צמצום פח'!$F$10</f>
        <v>61414.320000000007</v>
      </c>
      <c r="S40" s="7">
        <f>+R40/R42</f>
        <v>0.91272992570119293</v>
      </c>
      <c r="T40" s="6">
        <f>+'מחירי דלקים '!$D$5</f>
        <v>1160.6440793202694</v>
      </c>
    </row>
    <row r="41" spans="1:33" ht="15">
      <c r="B41" s="1" t="s">
        <v>48</v>
      </c>
      <c r="C41" s="6">
        <f>C40</f>
        <v>457.26670150000001</v>
      </c>
      <c r="D41" s="6">
        <f>D40</f>
        <v>11.687051250000001</v>
      </c>
      <c r="E41" s="6">
        <f>E40</f>
        <v>0</v>
      </c>
      <c r="F41" s="6">
        <f>F40</f>
        <v>78095.573385216179</v>
      </c>
      <c r="G41" s="6">
        <f>G39*'מחירי דלקים '!$E$4/1000</f>
        <v>2546.3873599999997</v>
      </c>
      <c r="H41" s="6">
        <f>SUM(C41:G41)</f>
        <v>81110.91449796618</v>
      </c>
      <c r="I41" s="5"/>
      <c r="J41" s="5"/>
      <c r="K41" s="5"/>
      <c r="P41" s="7" t="s">
        <v>209</v>
      </c>
      <c r="R41" s="5">
        <f>+F39-R40</f>
        <v>5872.0899999999965</v>
      </c>
      <c r="S41" s="7">
        <f>+R41/R42</f>
        <v>8.7270074298807093E-2</v>
      </c>
      <c r="T41" s="6">
        <f>+'מחירי דלקים '!$D$7</f>
        <v>1676.4858923515003</v>
      </c>
    </row>
    <row r="42" spans="1:33" ht="15">
      <c r="B42" s="1" t="s">
        <v>51</v>
      </c>
      <c r="C42" s="6">
        <f>C41</f>
        <v>457.26670150000001</v>
      </c>
      <c r="D42" s="6">
        <f>D41</f>
        <v>11.687051250000001</v>
      </c>
      <c r="E42" s="6"/>
      <c r="F42" s="6">
        <f>F39*T42/1000</f>
        <v>81124.642937098746</v>
      </c>
      <c r="G42" s="6">
        <f>G41</f>
        <v>2546.3873599999997</v>
      </c>
      <c r="H42" s="6">
        <f>SUM(C42:G42)</f>
        <v>84139.984049848747</v>
      </c>
      <c r="I42" s="5"/>
      <c r="J42" s="5"/>
      <c r="K42" s="5"/>
      <c r="N42" s="5"/>
      <c r="O42" s="5"/>
      <c r="P42" t="s">
        <v>210</v>
      </c>
      <c r="Q42" s="5"/>
      <c r="R42" s="5">
        <f>SUM(R40:R41)</f>
        <v>67286.41</v>
      </c>
      <c r="S42" s="7">
        <f>SUM(S40:S41)</f>
        <v>1</v>
      </c>
      <c r="T42" s="6">
        <f>+SUMPRODUCT(T40:T41,S40:S41)</f>
        <v>1205.6616326699364</v>
      </c>
    </row>
    <row r="43" spans="1:33" ht="15">
      <c r="B43" s="4"/>
    </row>
    <row r="44" spans="1:33" ht="15">
      <c r="B44" s="1" t="s">
        <v>279</v>
      </c>
      <c r="H44" s="6">
        <f>+SUMPRODUCT(H32:H38,$A$32:$A$38)</f>
        <v>79634.457760962658</v>
      </c>
      <c r="I44" s="6">
        <f t="shared" ref="I44" si="16">+SUMPRODUCT(I32:I38,$A$32:$A$38)</f>
        <v>76277.281185729546</v>
      </c>
      <c r="J44" s="6">
        <f>+SUMPRODUCT(J32:J38,$A$32:$A$38)</f>
        <v>77579.970668672468</v>
      </c>
    </row>
    <row r="45" spans="1:33" ht="28.5">
      <c r="F45" s="118" t="s">
        <v>314</v>
      </c>
      <c r="G45" s="119" t="s">
        <v>313</v>
      </c>
      <c r="H45" s="117"/>
    </row>
    <row r="46" spans="1:33" ht="15">
      <c r="B46" s="1"/>
      <c r="C46" s="1"/>
      <c r="D46" s="1"/>
      <c r="E46" s="1"/>
      <c r="F46" s="116">
        <f>F40/'פלט שנתי לאחר תיקון אגירה'!$AS$21*100</f>
        <v>16.0362433451652</v>
      </c>
      <c r="G46" s="116">
        <f>G40/'פלט שנתי לאחר תיקון אגירה'!$AT$21*100</f>
        <v>24.125705348165059</v>
      </c>
      <c r="H46" s="117"/>
      <c r="M46" s="1"/>
      <c r="N46" s="1"/>
      <c r="O46" s="1"/>
      <c r="P46" s="1"/>
      <c r="Q46" s="1"/>
      <c r="R46" s="1"/>
      <c r="T46" s="6"/>
      <c r="U46" s="6"/>
    </row>
    <row r="47" spans="1:33" ht="15">
      <c r="B47" s="1"/>
      <c r="C47" s="3"/>
      <c r="D47" s="3"/>
      <c r="E47" s="3"/>
      <c r="F47" s="116">
        <f>F41/'פלט שנתי לאחר תיקון אגירה'!$AS$21*100</f>
        <v>16.0362433451652</v>
      </c>
      <c r="G47" s="116">
        <f>G41/'פלט שנתי לאחר תיקון אגירה'!$AT$21*100</f>
        <v>15.36409885106573</v>
      </c>
      <c r="H47" s="117"/>
      <c r="M47" s="1"/>
      <c r="N47" s="3"/>
      <c r="O47" s="3"/>
      <c r="P47" s="3"/>
      <c r="Q47" s="3"/>
      <c r="R47" s="3"/>
    </row>
    <row r="48" spans="1:33" ht="15">
      <c r="B48" s="1"/>
      <c r="C48" s="3"/>
      <c r="D48" s="3"/>
      <c r="E48" s="3"/>
      <c r="F48" s="116">
        <f>F42/'פלט שנתי לאחר תיקון אגירה'!$AS$21*100</f>
        <v>16.658236299923566</v>
      </c>
      <c r="G48" s="116">
        <f>G42/'פלט שנתי לאחר תיקון אגירה'!$AT$21*100</f>
        <v>15.36409885106573</v>
      </c>
      <c r="H48" s="117"/>
      <c r="M48" s="1"/>
      <c r="N48" s="3"/>
      <c r="O48" s="3"/>
      <c r="P48" s="3"/>
      <c r="Q48" s="3"/>
      <c r="R48" s="3"/>
    </row>
    <row r="49" spans="2:19" ht="18.75">
      <c r="B49" s="1"/>
      <c r="C49" s="3"/>
      <c r="D49" s="3"/>
      <c r="E49" s="3"/>
      <c r="F49" s="115"/>
      <c r="G49" s="116"/>
      <c r="H49" s="117"/>
      <c r="I49" s="57">
        <v>6.4099999999999997E-4</v>
      </c>
      <c r="J49" s="57"/>
      <c r="K49" s="57"/>
      <c r="M49" s="1"/>
      <c r="N49" s="3"/>
      <c r="O49" s="3">
        <v>641</v>
      </c>
      <c r="P49" s="3"/>
      <c r="Q49" s="3"/>
      <c r="R49" s="3"/>
    </row>
    <row r="50" spans="2:19" ht="15">
      <c r="B50" s="1"/>
      <c r="C50" s="3"/>
      <c r="D50" s="3"/>
      <c r="E50" s="3"/>
      <c r="F50" s="3"/>
      <c r="G50" s="3"/>
      <c r="I50">
        <v>78000000000</v>
      </c>
      <c r="M50" s="1"/>
      <c r="N50" s="3"/>
      <c r="O50" s="58">
        <f>+O49/1000000</f>
        <v>6.4099999999999997E-4</v>
      </c>
      <c r="P50" s="3"/>
      <c r="Q50" s="3"/>
      <c r="R50" s="3"/>
    </row>
    <row r="51" spans="2:19" ht="15">
      <c r="B51" s="1"/>
      <c r="C51" s="3"/>
      <c r="D51" s="3"/>
      <c r="E51" s="3"/>
      <c r="F51" s="3"/>
      <c r="G51" s="3"/>
      <c r="I51" s="6">
        <f>+I50*I49</f>
        <v>49998000</v>
      </c>
      <c r="J51" s="6"/>
      <c r="K51" s="6"/>
      <c r="M51" s="1"/>
      <c r="N51" s="3"/>
      <c r="O51" s="3"/>
      <c r="P51" s="3"/>
      <c r="Q51" s="3"/>
      <c r="R51" s="3"/>
    </row>
    <row r="52" spans="2:19" ht="15">
      <c r="B52" s="1"/>
      <c r="C52" s="3"/>
      <c r="D52" s="3"/>
      <c r="E52" s="3"/>
      <c r="F52" s="3"/>
      <c r="G52" s="3"/>
      <c r="I52">
        <v>189</v>
      </c>
      <c r="M52" s="1"/>
      <c r="N52" s="3"/>
      <c r="O52" s="3"/>
      <c r="P52" s="3"/>
      <c r="Q52" s="3"/>
      <c r="R52" s="3"/>
    </row>
    <row r="53" spans="2:19" ht="15">
      <c r="B53" s="1"/>
      <c r="C53" s="3"/>
      <c r="D53" s="3"/>
      <c r="E53" s="3"/>
      <c r="F53" s="3"/>
      <c r="G53" s="3"/>
      <c r="I53" s="5">
        <f>+I52*I51</f>
        <v>9449622000</v>
      </c>
      <c r="J53" s="5"/>
      <c r="K53" s="5"/>
      <c r="M53" s="1"/>
      <c r="N53" s="3"/>
      <c r="O53" s="3"/>
      <c r="P53" s="3"/>
      <c r="Q53" s="3"/>
      <c r="R53" s="3"/>
    </row>
    <row r="54" spans="2:19" ht="15">
      <c r="B54" s="1"/>
      <c r="C54" s="6"/>
      <c r="D54" s="6"/>
      <c r="E54" s="6"/>
      <c r="F54" s="6"/>
      <c r="G54" s="6"/>
      <c r="N54" s="6"/>
      <c r="O54" s="6"/>
      <c r="P54" s="6"/>
      <c r="Q54" s="6"/>
      <c r="R54" s="6"/>
      <c r="S54" s="7"/>
    </row>
    <row r="55" spans="2:19" ht="15">
      <c r="B55" s="1"/>
      <c r="C55" s="6"/>
      <c r="D55" s="6"/>
      <c r="E55" s="6"/>
      <c r="F55" s="36" t="s">
        <v>366</v>
      </c>
      <c r="G55" s="36"/>
      <c r="H55" s="153">
        <f>H26-H44</f>
        <v>262.26092110207537</v>
      </c>
      <c r="I55" s="153">
        <f>I26-I44</f>
        <v>157.60036339426006</v>
      </c>
      <c r="J55" s="153">
        <f t="shared" ref="J55" si="17">J26-J44</f>
        <v>-500.56795873244118</v>
      </c>
      <c r="N55" s="6"/>
      <c r="O55" s="6"/>
      <c r="P55" s="6"/>
      <c r="Q55" s="6"/>
      <c r="R55" s="6"/>
    </row>
    <row r="56" spans="2:19" ht="15">
      <c r="B56" s="1"/>
      <c r="C56" s="6"/>
      <c r="D56" s="6"/>
      <c r="E56" s="6"/>
      <c r="F56" s="6"/>
      <c r="G56" s="6"/>
      <c r="H56" s="6"/>
    </row>
    <row r="57" spans="2:19" ht="15">
      <c r="B57" s="1"/>
      <c r="C57" s="6"/>
      <c r="D57" s="6"/>
      <c r="E57" s="6"/>
      <c r="F57" s="6"/>
      <c r="G57" s="6"/>
      <c r="H57" s="6"/>
    </row>
    <row r="58" spans="2:19">
      <c r="C58" s="5"/>
      <c r="D58" s="5"/>
      <c r="E58" s="5"/>
      <c r="F58" s="5"/>
      <c r="G58" s="5"/>
    </row>
    <row r="59" spans="2:19">
      <c r="C59" s="6"/>
      <c r="G59" s="10"/>
    </row>
    <row r="63" spans="2:19">
      <c r="B63" t="s">
        <v>42</v>
      </c>
    </row>
    <row r="64" spans="2:19" ht="15">
      <c r="B64" s="4" t="s">
        <v>17</v>
      </c>
    </row>
    <row r="65" spans="2:5" ht="15">
      <c r="B65" s="4" t="s">
        <v>21</v>
      </c>
    </row>
    <row r="66" spans="2:5" ht="15">
      <c r="B66" s="4" t="s">
        <v>22</v>
      </c>
    </row>
    <row r="68" spans="2:5" ht="105">
      <c r="C68" s="1" t="s">
        <v>52</v>
      </c>
      <c r="D68" s="1" t="s">
        <v>53</v>
      </c>
      <c r="E68" s="1" t="s">
        <v>51</v>
      </c>
    </row>
    <row r="69" spans="2:5" ht="15">
      <c r="B69" s="1" t="s">
        <v>55</v>
      </c>
      <c r="C69" s="5">
        <f>+H16</f>
        <v>82802.31788599219</v>
      </c>
      <c r="D69" s="5">
        <f>+H17</f>
        <v>82125.970913643934</v>
      </c>
      <c r="E69" s="5">
        <f>+H18</f>
        <v>86129.022026383274</v>
      </c>
    </row>
    <row r="70" spans="2:5" ht="15">
      <c r="B70" s="1" t="s">
        <v>56</v>
      </c>
      <c r="C70" s="5">
        <f>+H40</f>
        <v>82563.029864690732</v>
      </c>
      <c r="D70" s="5">
        <f>+H41</f>
        <v>81110.91449796618</v>
      </c>
      <c r="E70" s="5">
        <f>+H42</f>
        <v>84139.984049848747</v>
      </c>
    </row>
    <row r="71" spans="2:5" ht="15">
      <c r="B71" s="1" t="s">
        <v>57</v>
      </c>
      <c r="C71" s="5">
        <f>+' חלופה 2 20% תמג 3'!C64</f>
        <v>81716.019645806839</v>
      </c>
      <c r="D71" s="5">
        <f>+' חלופה 2 20% תמג 3'!D64</f>
        <v>80569.291627251732</v>
      </c>
      <c r="E71" s="5">
        <f>+' חלופה 2 20% תמג 3'!E64</f>
        <v>83616.280772011203</v>
      </c>
    </row>
  </sheetData>
  <mergeCells count="2">
    <mergeCell ref="B5:B7"/>
    <mergeCell ref="C7:E7"/>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5"/>
  <sheetViews>
    <sheetView rightToLeft="1" topLeftCell="M10" workbookViewId="0">
      <selection activeCell="AC42" sqref="AC42"/>
    </sheetView>
  </sheetViews>
  <sheetFormatPr defaultRowHeight="14.25"/>
  <cols>
    <col min="1" max="1" width="9.25" customWidth="1"/>
    <col min="2" max="2" width="60.25" customWidth="1"/>
    <col min="3" max="3" width="8.25" bestFit="1" customWidth="1"/>
    <col min="4" max="4" width="9.125" bestFit="1" customWidth="1"/>
    <col min="5" max="5" width="7.5" bestFit="1" customWidth="1"/>
    <col min="6" max="6" width="9.625" bestFit="1" customWidth="1"/>
    <col min="7" max="7" width="10.75" bestFit="1" customWidth="1"/>
    <col min="8" max="8" width="13" customWidth="1"/>
    <col min="9" max="9" width="17.875" customWidth="1"/>
    <col min="10" max="10" width="15.75" customWidth="1"/>
    <col min="11" max="11" width="9.125" customWidth="1"/>
    <col min="12" max="12" width="9.125" bestFit="1" customWidth="1"/>
    <col min="13" max="13" width="9.25" customWidth="1"/>
    <col min="14" max="14" width="9.25" bestFit="1" customWidth="1"/>
    <col min="15" max="15" width="10" bestFit="1" customWidth="1"/>
    <col min="16" max="16" width="9.75" bestFit="1" customWidth="1"/>
    <col min="17" max="17" width="10" bestFit="1" customWidth="1"/>
    <col min="18" max="18" width="9.75" bestFit="1" customWidth="1"/>
    <col min="19" max="19" width="9.125" bestFit="1" customWidth="1"/>
    <col min="20" max="20" width="13.625" bestFit="1" customWidth="1"/>
    <col min="21" max="21" width="11.75" bestFit="1" customWidth="1"/>
    <col min="22" max="24" width="9.125" bestFit="1" customWidth="1"/>
    <col min="25" max="25" width="10" bestFit="1" customWidth="1"/>
    <col min="26" max="26" width="9.125" bestFit="1" customWidth="1"/>
    <col min="27" max="27" width="10" bestFit="1" customWidth="1"/>
  </cols>
  <sheetData>
    <row r="1" spans="1:33" ht="15">
      <c r="B1" s="32" t="s">
        <v>193</v>
      </c>
      <c r="H1" t="s">
        <v>278</v>
      </c>
      <c r="I1" s="80">
        <v>3.6999999999999998E-2</v>
      </c>
      <c r="J1" s="80"/>
      <c r="K1" s="80"/>
    </row>
    <row r="2" spans="1:33" ht="15">
      <c r="B2" s="4" t="s">
        <v>195</v>
      </c>
    </row>
    <row r="4" spans="1:33">
      <c r="B4" t="str">
        <f>'פלט שנתי לאחר תיקון אגירה'!Z2</f>
        <v>D:\sal-delek\‏‏2024-2030-Ren20\‏‏‏‏Sen0-‏‏Ren-20 -adv-inv\Base.ucp</v>
      </c>
    </row>
    <row r="5" spans="1:33" ht="45">
      <c r="B5" s="247" t="s">
        <v>18</v>
      </c>
      <c r="C5" s="1" t="s">
        <v>14</v>
      </c>
      <c r="D5" s="1" t="s">
        <v>15</v>
      </c>
      <c r="E5" s="1" t="s">
        <v>5</v>
      </c>
      <c r="F5" s="1" t="s">
        <v>2</v>
      </c>
      <c r="G5" s="1" t="s">
        <v>0</v>
      </c>
      <c r="H5" s="1" t="s">
        <v>215</v>
      </c>
      <c r="I5" s="1" t="s">
        <v>48</v>
      </c>
      <c r="J5" s="1" t="s">
        <v>47</v>
      </c>
      <c r="L5" s="1" t="s">
        <v>213</v>
      </c>
      <c r="M5" s="1" t="s">
        <v>214</v>
      </c>
      <c r="N5" s="1" t="s">
        <v>210</v>
      </c>
      <c r="O5" s="152" t="s">
        <v>362</v>
      </c>
      <c r="P5" s="152" t="s">
        <v>363</v>
      </c>
      <c r="Q5" s="1" t="s">
        <v>14</v>
      </c>
      <c r="R5" s="1" t="s">
        <v>15</v>
      </c>
      <c r="S5" s="1" t="s">
        <v>5</v>
      </c>
      <c r="T5" s="1" t="s">
        <v>2</v>
      </c>
      <c r="U5" s="1" t="s">
        <v>0</v>
      </c>
      <c r="W5" s="1" t="s">
        <v>14</v>
      </c>
      <c r="X5" s="1" t="s">
        <v>15</v>
      </c>
      <c r="Y5" s="1" t="s">
        <v>5</v>
      </c>
      <c r="Z5" s="1" t="s">
        <v>2</v>
      </c>
      <c r="AA5" s="1" t="s">
        <v>0</v>
      </c>
      <c r="AC5" s="1" t="s">
        <v>14</v>
      </c>
      <c r="AD5" s="1" t="s">
        <v>15</v>
      </c>
      <c r="AE5" s="1" t="s">
        <v>5</v>
      </c>
      <c r="AF5" s="1" t="s">
        <v>2</v>
      </c>
      <c r="AG5" s="1" t="s">
        <v>0</v>
      </c>
    </row>
    <row r="6" spans="1:33" ht="15" customHeight="1">
      <c r="B6" s="247"/>
      <c r="C6" s="1" t="s">
        <v>1</v>
      </c>
      <c r="D6" s="1" t="s">
        <v>1</v>
      </c>
      <c r="E6" s="1" t="s">
        <v>1</v>
      </c>
      <c r="F6" s="1" t="s">
        <v>3</v>
      </c>
      <c r="G6" s="1" t="s">
        <v>1</v>
      </c>
      <c r="O6" s="14"/>
      <c r="P6" s="14"/>
    </row>
    <row r="7" spans="1:33" ht="15" customHeight="1">
      <c r="B7" s="247"/>
      <c r="C7" s="247" t="s">
        <v>1</v>
      </c>
      <c r="D7" s="247"/>
      <c r="E7" s="247"/>
      <c r="F7" s="1" t="s">
        <v>1</v>
      </c>
      <c r="G7" s="1" t="s">
        <v>1</v>
      </c>
      <c r="O7" s="14"/>
      <c r="P7" s="14"/>
    </row>
    <row r="8" spans="1:33" ht="15" customHeight="1">
      <c r="A8">
        <f>1/(1+$I$1)^(B8-2023)</f>
        <v>0.96432015429122475</v>
      </c>
      <c r="B8" s="1">
        <v>2024</v>
      </c>
      <c r="C8" s="3">
        <f>'פלט שנתי לאחר תיקון אגירה'!W21</f>
        <v>4.7</v>
      </c>
      <c r="D8" s="3">
        <f>'פלט שנתי לאחר תיקון אגירה'!X21</f>
        <v>0</v>
      </c>
      <c r="E8" s="3">
        <v>0</v>
      </c>
      <c r="F8" s="3">
        <f>'פלט שנתי לאחר תיקון אגירה'!AA21</f>
        <v>8990.7000000000007</v>
      </c>
      <c r="G8" s="3">
        <f>'פלט שנתי לאחר תיקון אגירה'!AB21</f>
        <v>2102.37</v>
      </c>
      <c r="H8" s="6">
        <f>+SUMPRODUCT(C8:G8,Q8:U8)/1000</f>
        <v>11739.87649027483</v>
      </c>
      <c r="I8" s="6">
        <f>+SUMPRODUCT(C8:G8,W8:AA8)/1000</f>
        <v>11331.355566444745</v>
      </c>
      <c r="J8" s="6">
        <f>+SUMPRODUCT(C8:G8,AC8:AG8)/1000</f>
        <v>11819.311059555999</v>
      </c>
      <c r="L8" s="6">
        <f>+'תרחיש הפעלה 3% 20% ללא צמצום פח'!F3</f>
        <v>8198.75</v>
      </c>
      <c r="M8" s="5">
        <f>+F8-L8</f>
        <v>791.95000000000073</v>
      </c>
      <c r="N8" s="10">
        <f>+('מחירי דלקים '!$D$5*L8+'מחירי דלקים '!$D$7*M8)/SUM(L8:M8)</f>
        <v>1206.0822458512496</v>
      </c>
      <c r="O8" s="14"/>
      <c r="P8" s="14"/>
      <c r="Q8" s="8">
        <f>+'מחירי דלקים '!$D$6</f>
        <v>8657.0750000000007</v>
      </c>
      <c r="R8" s="8">
        <f>+'מחירי דלקים '!$D$6</f>
        <v>8657.0750000000007</v>
      </c>
      <c r="S8">
        <v>0</v>
      </c>
      <c r="T8" s="10">
        <f>+N8+P8</f>
        <v>1206.0822458512496</v>
      </c>
      <c r="U8">
        <f>+'מחירי דלקים '!$E$4+O8</f>
        <v>407</v>
      </c>
      <c r="W8" s="8">
        <f>+'מחירי דלקים '!$D$6</f>
        <v>8657.0750000000007</v>
      </c>
      <c r="X8" s="8">
        <f>+'מחירי דלקים '!$D$6</f>
        <v>8657.0750000000007</v>
      </c>
      <c r="Y8">
        <v>0</v>
      </c>
      <c r="Z8" s="10">
        <f>+('מחירי דלקים '!$D$5)+P8</f>
        <v>1160.6440793202694</v>
      </c>
      <c r="AA8">
        <f>+'מחירי דלקים '!$E$4+O8</f>
        <v>407</v>
      </c>
      <c r="AC8" s="8">
        <f>+'מחירי דלקים '!$D$6</f>
        <v>8657.0750000000007</v>
      </c>
      <c r="AD8" s="8">
        <f>+'מחירי דלקים '!$D$6</f>
        <v>8657.0750000000007</v>
      </c>
      <c r="AE8">
        <v>0</v>
      </c>
      <c r="AF8" s="10">
        <f>+('מחירי דלקים '!$D$5)+P8</f>
        <v>1160.6440793202694</v>
      </c>
      <c r="AG8">
        <f>+'מחירי דלקים '!$D$4+O8</f>
        <v>639.0978196565087</v>
      </c>
    </row>
    <row r="9" spans="1:33" ht="15" customHeight="1">
      <c r="A9">
        <f t="shared" ref="A9:A14" si="0">1/(1+$I$1)^(B9-2023)</f>
        <v>0.92991335997225155</v>
      </c>
      <c r="B9" s="1">
        <v>2025</v>
      </c>
      <c r="C9" s="3">
        <f>'פלט שנתי לאחר תיקון אגירה'!W22</f>
        <v>15.92</v>
      </c>
      <c r="D9" s="3">
        <f>'פלט שנתי לאחר תיקון אגירה'!X22</f>
        <v>0.42</v>
      </c>
      <c r="E9" s="3">
        <v>0</v>
      </c>
      <c r="F9" s="3">
        <f>'פלט שנתי לאחר תיקון אגירה'!AA22</f>
        <v>9600.64</v>
      </c>
      <c r="G9" s="3">
        <f>'פלט שנתי לאחר תיקון אגירה'!AB22</f>
        <v>647.65</v>
      </c>
      <c r="H9" s="6">
        <f t="shared" ref="H9:H14" si="1">+SUMPRODUCT(C9:G9,Q9:U9)/1000</f>
        <v>12503.678436447746</v>
      </c>
      <c r="I9" s="6">
        <f t="shared" ref="I9:I14" si="2">+SUMPRODUCT(C9:G9,W9:AA9)/1000</f>
        <v>11960.001799185349</v>
      </c>
      <c r="J9" s="6">
        <f t="shared" ref="J9:J14" si="3">+SUMPRODUCT(C9:G9,AC9:AG9)/1000</f>
        <v>12110.319952085887</v>
      </c>
      <c r="L9" s="6">
        <f>+'תרחיש הפעלה 3% 20% ללא צמצום פח'!F4</f>
        <v>8546.68</v>
      </c>
      <c r="M9" s="5">
        <f t="shared" ref="M9:M14" si="4">+F9-L9</f>
        <v>1053.9599999999991</v>
      </c>
      <c r="N9" s="10">
        <f>+('מחירי דלקים '!$D$5*L9+'מחירי דלקים '!$D$7*M9)/SUM(L9:M9)</f>
        <v>1217.2732870879179</v>
      </c>
      <c r="O9" s="14">
        <v>147</v>
      </c>
      <c r="P9" s="14">
        <v>33</v>
      </c>
      <c r="Q9" s="8">
        <f>+'מחירי דלקים '!$D$6</f>
        <v>8657.0750000000007</v>
      </c>
      <c r="R9" s="8">
        <f>+'מחירי דלקים '!$D$6</f>
        <v>8657.0750000000007</v>
      </c>
      <c r="S9">
        <v>0</v>
      </c>
      <c r="T9" s="10">
        <f t="shared" ref="T9:T14" si="5">+N9+P9</f>
        <v>1250.2732870879179</v>
      </c>
      <c r="U9">
        <f>+'מחירי דלקים '!$E$4+O9</f>
        <v>554</v>
      </c>
      <c r="W9" s="8">
        <f>+'מחירי דלקים '!$D$6</f>
        <v>8657.0750000000007</v>
      </c>
      <c r="X9" s="8">
        <f>+'מחירי דלקים '!$D$6</f>
        <v>8657.0750000000007</v>
      </c>
      <c r="Y9">
        <v>0</v>
      </c>
      <c r="Z9" s="10">
        <f>+('מחירי דלקים '!$D$5)+P9</f>
        <v>1193.6440793202694</v>
      </c>
      <c r="AA9">
        <f>+'מחירי דלקים '!$E$4+O9</f>
        <v>554</v>
      </c>
      <c r="AC9" s="8">
        <f>+'מחירי דלקים '!$D$6</f>
        <v>8657.0750000000007</v>
      </c>
      <c r="AD9" s="8">
        <f>+'מחירי דלקים '!$D$6</f>
        <v>8657.0750000000007</v>
      </c>
      <c r="AE9">
        <v>0</v>
      </c>
      <c r="AF9" s="10">
        <f>+('מחירי דלקים '!$D$5)+P9</f>
        <v>1193.6440793202694</v>
      </c>
      <c r="AG9">
        <f>+'מחירי דלקים '!$D$4+O9</f>
        <v>786.0978196565087</v>
      </c>
    </row>
    <row r="10" spans="1:33" ht="15">
      <c r="A10">
        <f t="shared" si="0"/>
        <v>0.89673419476591276</v>
      </c>
      <c r="B10" s="1">
        <v>2026</v>
      </c>
      <c r="C10" s="3">
        <f>'פלט שנתי לאחר תיקון אגירה'!W23</f>
        <v>19.12</v>
      </c>
      <c r="D10" s="3">
        <f>'פלט שנתי לאחר תיקון אגירה'!X23</f>
        <v>0.76</v>
      </c>
      <c r="E10" s="3">
        <v>0</v>
      </c>
      <c r="F10" s="3">
        <f>'פלט שנתי לאחר תיקון אגירה'!AA23</f>
        <v>10024.68</v>
      </c>
      <c r="G10" s="3">
        <f>'פלט שנתי לאחר תיקון אגירה'!AB23</f>
        <v>160.62</v>
      </c>
      <c r="H10" s="6">
        <f t="shared" si="1"/>
        <v>13090.532208182389</v>
      </c>
      <c r="I10" s="6">
        <f t="shared" si="2"/>
        <v>12445.214100080319</v>
      </c>
      <c r="J10" s="6">
        <f t="shared" si="3"/>
        <v>12482.493651873547</v>
      </c>
      <c r="L10" s="6">
        <f>+'תרחיש הפעלה 3% 20% ללא צמצום פח'!F5</f>
        <v>8773.68</v>
      </c>
      <c r="M10" s="5">
        <f t="shared" si="4"/>
        <v>1251</v>
      </c>
      <c r="N10" s="10">
        <f>+('מחירי דלקים '!$D$5*L10+'מחירי דלקים '!$D$7*M10)/SUM(L10:M10)</f>
        <v>1225.0170177185096</v>
      </c>
      <c r="O10" s="14">
        <v>195</v>
      </c>
      <c r="P10" s="14">
        <v>54</v>
      </c>
      <c r="Q10" s="8">
        <f>+'מחירי דלקים '!$D$6</f>
        <v>8657.0750000000007</v>
      </c>
      <c r="R10" s="8">
        <f>+'מחירי דלקים '!$D$6</f>
        <v>8657.0750000000007</v>
      </c>
      <c r="S10">
        <v>0</v>
      </c>
      <c r="T10" s="10">
        <f t="shared" si="5"/>
        <v>1279.0170177185096</v>
      </c>
      <c r="U10">
        <f>+'מחירי דלקים '!$E$4+O10</f>
        <v>602</v>
      </c>
      <c r="W10" s="8">
        <f>+'מחירי דלקים '!$D$6</f>
        <v>8657.0750000000007</v>
      </c>
      <c r="X10" s="8">
        <f>+'מחירי דלקים '!$D$6</f>
        <v>8657.0750000000007</v>
      </c>
      <c r="Y10">
        <v>0</v>
      </c>
      <c r="Z10" s="10">
        <f>+('מחירי דלקים '!$D$5)+P10</f>
        <v>1214.6440793202694</v>
      </c>
      <c r="AA10">
        <f>+'מחירי דלקים '!$E$4+O10</f>
        <v>602</v>
      </c>
      <c r="AC10" s="8">
        <f>+'מחירי דלקים '!$D$6</f>
        <v>8657.0750000000007</v>
      </c>
      <c r="AD10" s="8">
        <f>+'מחירי דלקים '!$D$6</f>
        <v>8657.0750000000007</v>
      </c>
      <c r="AE10">
        <v>0</v>
      </c>
      <c r="AF10" s="10">
        <f>+('מחירי דלקים '!$D$5)+P10</f>
        <v>1214.6440793202694</v>
      </c>
      <c r="AG10">
        <f>+'מחירי דלקים '!$D$4+O10</f>
        <v>834.0978196565087</v>
      </c>
    </row>
    <row r="11" spans="1:33" ht="15">
      <c r="A11">
        <f t="shared" si="0"/>
        <v>0.86473885705488229</v>
      </c>
      <c r="B11" s="1">
        <v>2027</v>
      </c>
      <c r="C11" s="3">
        <f>'פלט שנתי לאחר תיקון אגירה'!W24</f>
        <v>16.2</v>
      </c>
      <c r="D11" s="3">
        <f>'פלט שנתי לאחר תיקון אגירה'!X24</f>
        <v>0.38</v>
      </c>
      <c r="E11" s="3">
        <v>0</v>
      </c>
      <c r="F11" s="3">
        <f>'פלט שנתי לאחר תיקון אגירה'!AA24</f>
        <v>10182.959999999999</v>
      </c>
      <c r="G11" s="3">
        <f>'פלט שנתי לאחר תיקון אגירה'!AB24</f>
        <v>0</v>
      </c>
      <c r="H11" s="6">
        <f t="shared" si="1"/>
        <v>13469.656357665986</v>
      </c>
      <c r="I11" s="6">
        <f t="shared" si="2"/>
        <v>12776.963337455129</v>
      </c>
      <c r="J11" s="6">
        <f t="shared" si="3"/>
        <v>12776.963337455129</v>
      </c>
      <c r="L11" s="6">
        <f>+'תרחיש הפעלה 3% 20% ללא צמצום פח'!F6</f>
        <v>8840.1200000000008</v>
      </c>
      <c r="M11" s="5">
        <f t="shared" si="4"/>
        <v>1342.8399999999983</v>
      </c>
      <c r="N11" s="10">
        <f>+('מחירי דלקים '!$D$5*L11+'מחירי דלקים '!$D$7*M11)/SUM(L11:M11)</f>
        <v>1228.6688010329008</v>
      </c>
      <c r="O11" s="14">
        <v>255</v>
      </c>
      <c r="P11" s="14">
        <v>80</v>
      </c>
      <c r="Q11" s="8">
        <f>+'מחירי דלקים '!$D$6</f>
        <v>8657.0750000000007</v>
      </c>
      <c r="R11" s="8">
        <f>+'מחירי דלקים '!$D$6</f>
        <v>8657.0750000000007</v>
      </c>
      <c r="S11">
        <v>0</v>
      </c>
      <c r="T11" s="10">
        <f t="shared" si="5"/>
        <v>1308.6688010329008</v>
      </c>
      <c r="U11">
        <f>+'מחירי דלקים '!$E$4+O11</f>
        <v>662</v>
      </c>
      <c r="W11" s="8">
        <f>+'מחירי דלקים '!$D$6</f>
        <v>8657.0750000000007</v>
      </c>
      <c r="X11" s="8">
        <f>+'מחירי דלקים '!$D$6</f>
        <v>8657.0750000000007</v>
      </c>
      <c r="Y11">
        <v>0</v>
      </c>
      <c r="Z11" s="10">
        <f>+('מחירי דלקים '!$D$5)+P11</f>
        <v>1240.6440793202694</v>
      </c>
      <c r="AA11">
        <f>+'מחירי דלקים '!$E$4+O11</f>
        <v>662</v>
      </c>
      <c r="AC11" s="8">
        <f>+'מחירי דלקים '!$D$6</f>
        <v>8657.0750000000007</v>
      </c>
      <c r="AD11" s="8">
        <f>+'מחירי דלקים '!$D$6</f>
        <v>8657.0750000000007</v>
      </c>
      <c r="AE11">
        <v>0</v>
      </c>
      <c r="AF11" s="10">
        <f>+('מחירי דלקים '!$D$5)+P11</f>
        <v>1240.6440793202694</v>
      </c>
      <c r="AG11">
        <f>+'מחירי דלקים '!$D$4+O11</f>
        <v>894.0978196565087</v>
      </c>
    </row>
    <row r="12" spans="1:33" ht="15">
      <c r="A12">
        <f t="shared" si="0"/>
        <v>0.8338851080567814</v>
      </c>
      <c r="B12" s="1">
        <v>2028</v>
      </c>
      <c r="C12" s="3">
        <f>'פלט שנתי לאחר תיקון אגירה'!W25</f>
        <v>11.9</v>
      </c>
      <c r="D12" s="3">
        <f>'פלט שנתי לאחר תיקון אגירה'!X25</f>
        <v>0.23</v>
      </c>
      <c r="E12" s="3">
        <v>0</v>
      </c>
      <c r="F12" s="3">
        <f>'פלט שנתי לאחר תיקון אגירה'!AA25</f>
        <v>10200.1</v>
      </c>
      <c r="G12" s="3">
        <f>'פלט שנתי לאחר תיקון אגירה'!AB25</f>
        <v>0</v>
      </c>
      <c r="H12" s="6">
        <f t="shared" si="1"/>
        <v>13726.389341526179</v>
      </c>
      <c r="I12" s="6">
        <f t="shared" si="2"/>
        <v>13106.507393224681</v>
      </c>
      <c r="J12" s="6">
        <f t="shared" si="3"/>
        <v>13106.507393224681</v>
      </c>
      <c r="L12" s="6">
        <f>+'תרחיש הפעלה 3% 20% ללא צמצום פח'!F7</f>
        <v>8998.41</v>
      </c>
      <c r="M12" s="5">
        <f t="shared" si="4"/>
        <v>1201.6900000000005</v>
      </c>
      <c r="N12" s="10">
        <f>+('מחירי דלקים '!$D$5*L12+'מחירי דלקים '!$D$7*M12)/SUM(L12:M12)</f>
        <v>1221.4162235444926</v>
      </c>
      <c r="O12" s="14">
        <v>335</v>
      </c>
      <c r="P12" s="14">
        <v>114</v>
      </c>
      <c r="Q12" s="8">
        <f>+'מחירי דלקים '!$D$6</f>
        <v>8657.0750000000007</v>
      </c>
      <c r="R12" s="8">
        <f>+'מחירי דלקים '!$D$6</f>
        <v>8657.0750000000007</v>
      </c>
      <c r="S12">
        <v>0</v>
      </c>
      <c r="T12" s="10">
        <f t="shared" si="5"/>
        <v>1335.4162235444926</v>
      </c>
      <c r="U12">
        <f>+'מחירי דלקים '!$E$4+O12</f>
        <v>742</v>
      </c>
      <c r="W12" s="8">
        <f>+'מחירי דלקים '!$D$6</f>
        <v>8657.0750000000007</v>
      </c>
      <c r="X12" s="8">
        <f>+'מחירי דלקים '!$D$6</f>
        <v>8657.0750000000007</v>
      </c>
      <c r="Y12">
        <v>0</v>
      </c>
      <c r="Z12" s="10">
        <f>+('מחירי דלקים '!$D$5)+P12</f>
        <v>1274.6440793202694</v>
      </c>
      <c r="AA12">
        <f>+'מחירי דלקים '!$E$4+O12</f>
        <v>742</v>
      </c>
      <c r="AC12" s="8">
        <f>+'מחירי דלקים '!$D$6</f>
        <v>8657.0750000000007</v>
      </c>
      <c r="AD12" s="8">
        <f>+'מחירי דלקים '!$D$6</f>
        <v>8657.0750000000007</v>
      </c>
      <c r="AE12">
        <v>0</v>
      </c>
      <c r="AF12" s="10">
        <f>+('מחירי דלקים '!$D$5)+P12</f>
        <v>1274.6440793202694</v>
      </c>
      <c r="AG12">
        <f>+'מחירי דלקים '!$D$4+O12</f>
        <v>974.0978196565087</v>
      </c>
    </row>
    <row r="13" spans="1:33" ht="15">
      <c r="A13">
        <f t="shared" si="0"/>
        <v>0.8041322160624701</v>
      </c>
      <c r="B13" s="1">
        <v>2029</v>
      </c>
      <c r="C13" s="33">
        <f>'פלט שנתי לאחר תיקון אגירה'!W26</f>
        <v>9.68</v>
      </c>
      <c r="D13" s="33">
        <f>'פלט שנתי לאחר תיקון אגירה'!X26</f>
        <v>0.42</v>
      </c>
      <c r="E13" s="33">
        <v>0</v>
      </c>
      <c r="F13" s="33">
        <f>'פלט שנתי לאחר תיקון אגירה'!AA26</f>
        <v>9914.89</v>
      </c>
      <c r="G13" s="33">
        <f>'פלט שנתי לאחר תיקון אגירה'!AB26</f>
        <v>0</v>
      </c>
      <c r="H13" s="6">
        <f t="shared" si="1"/>
        <v>13569.488930984897</v>
      </c>
      <c r="I13" s="6">
        <f t="shared" si="2"/>
        <v>13072.413443111744</v>
      </c>
      <c r="J13" s="6">
        <f t="shared" si="3"/>
        <v>13072.413443111744</v>
      </c>
      <c r="L13" s="6">
        <f>+'תרחיש הפעלה 3% 20% ללא צמצום פח'!F8</f>
        <v>8951.27</v>
      </c>
      <c r="M13" s="5">
        <f t="shared" si="4"/>
        <v>963.61999999999898</v>
      </c>
      <c r="N13" s="10">
        <f>+('מחירי דלקים '!$D$5*L13+'מחירי דלקים '!$D$7*M13)/SUM(L13:M13)</f>
        <v>1210.7783206354179</v>
      </c>
      <c r="O13" s="14">
        <v>415</v>
      </c>
      <c r="P13" s="14">
        <v>149</v>
      </c>
      <c r="Q13" s="8">
        <f>+'מחירי דלקים '!$D$6</f>
        <v>8657.0750000000007</v>
      </c>
      <c r="R13" s="8">
        <f>+'מחירי דלקים '!$D$6</f>
        <v>8657.0750000000007</v>
      </c>
      <c r="S13">
        <v>0</v>
      </c>
      <c r="T13" s="10">
        <f t="shared" si="5"/>
        <v>1359.7783206354179</v>
      </c>
      <c r="U13">
        <f>+'מחירי דלקים '!$E$4+O13</f>
        <v>822</v>
      </c>
      <c r="W13" s="8">
        <f>+'מחירי דלקים '!$D$6</f>
        <v>8657.0750000000007</v>
      </c>
      <c r="X13" s="8">
        <f>+'מחירי דלקים '!$D$6</f>
        <v>8657.0750000000007</v>
      </c>
      <c r="Y13">
        <v>0</v>
      </c>
      <c r="Z13" s="10">
        <f>+('מחירי דלקים '!$D$5)+P13</f>
        <v>1309.6440793202694</v>
      </c>
      <c r="AA13">
        <f>+'מחירי דלקים '!$E$4+O13</f>
        <v>822</v>
      </c>
      <c r="AC13" s="8">
        <f>+'מחירי דלקים '!$D$6</f>
        <v>8657.0750000000007</v>
      </c>
      <c r="AD13" s="8">
        <f>+'מחירי דלקים '!$D$6</f>
        <v>8657.0750000000007</v>
      </c>
      <c r="AE13">
        <v>0</v>
      </c>
      <c r="AF13" s="10">
        <f>+('מחירי דלקים '!$D$5)+P13</f>
        <v>1309.6440793202694</v>
      </c>
      <c r="AG13">
        <f>+'מחירי דלקים '!$D$4+O13</f>
        <v>1054.0978196565088</v>
      </c>
    </row>
    <row r="14" spans="1:33" ht="15">
      <c r="A14">
        <f t="shared" si="0"/>
        <v>0.77544090266390553</v>
      </c>
      <c r="B14" s="29">
        <v>2030</v>
      </c>
      <c r="C14" s="30">
        <f>'פלט שנתי לאחר תיקון אגירה'!W27</f>
        <v>2.0499999999999998</v>
      </c>
      <c r="D14" s="30">
        <f>'פלט שנתי לאחר תיקון אגירה'!X27</f>
        <v>0.11</v>
      </c>
      <c r="E14" s="30">
        <v>0</v>
      </c>
      <c r="F14" s="30">
        <f>'פלט שנתי לאחר תיקון אגירה'!AA27</f>
        <v>9981.69</v>
      </c>
      <c r="G14" s="30">
        <f>'פלט שנתי לאחר תיקון אגירה'!AB27</f>
        <v>0</v>
      </c>
      <c r="H14" s="6">
        <f t="shared" si="1"/>
        <v>13972.395026033346</v>
      </c>
      <c r="I14" s="6">
        <f t="shared" si="2"/>
        <v>13520.37316211034</v>
      </c>
      <c r="J14" s="6">
        <f t="shared" si="3"/>
        <v>13520.37316211034</v>
      </c>
      <c r="L14" s="6">
        <f>+'תרחיש הפעלה 3% 20% ללא צמצום פח'!F9</f>
        <v>9105.41</v>
      </c>
      <c r="M14" s="5">
        <f t="shared" si="4"/>
        <v>876.28000000000065</v>
      </c>
      <c r="N14" s="10">
        <f>+('מחירי דלקים '!$D$5*L14+'מחירי דלקים '!$D$7*M14)/SUM(L14:M14)</f>
        <v>1205.9291827369259</v>
      </c>
      <c r="O14" s="14">
        <v>515</v>
      </c>
      <c r="P14" s="14">
        <v>192</v>
      </c>
      <c r="Q14" s="8">
        <f>+'מחירי דלקים '!$D$6</f>
        <v>8657.0750000000007</v>
      </c>
      <c r="R14" s="8">
        <f>+'מחירי דלקים '!$D$6</f>
        <v>8657.0750000000007</v>
      </c>
      <c r="S14">
        <v>0</v>
      </c>
      <c r="T14" s="10">
        <f t="shared" si="5"/>
        <v>1397.9291827369259</v>
      </c>
      <c r="U14">
        <f>+'מחירי דלקים '!$E$4+O14</f>
        <v>922</v>
      </c>
      <c r="W14" s="8">
        <f>+'מחירי דלקים '!$D$6</f>
        <v>8657.0750000000007</v>
      </c>
      <c r="X14" s="8">
        <f>+'מחירי דלקים '!$D$6</f>
        <v>8657.0750000000007</v>
      </c>
      <c r="Y14">
        <v>0</v>
      </c>
      <c r="Z14" s="10">
        <f>+('מחירי דלקים '!$D$5)+P14</f>
        <v>1352.6440793202694</v>
      </c>
      <c r="AA14">
        <f>+'מחירי דלקים '!$E$4+O14</f>
        <v>922</v>
      </c>
      <c r="AC14" s="8">
        <f>+'מחירי דלקים '!$D$6</f>
        <v>8657.0750000000007</v>
      </c>
      <c r="AD14" s="8">
        <f>+'מחירי דלקים '!$D$6</f>
        <v>8657.0750000000007</v>
      </c>
      <c r="AE14">
        <v>0</v>
      </c>
      <c r="AF14" s="10">
        <f>+('מחירי דלקים '!$D$5)+P14</f>
        <v>1352.6440793202694</v>
      </c>
      <c r="AG14">
        <f>+'מחירי דלקים '!$D$4+O14</f>
        <v>1154.0978196565088</v>
      </c>
    </row>
    <row r="15" spans="1:33" ht="15">
      <c r="B15" s="1" t="s">
        <v>46</v>
      </c>
      <c r="C15" s="5">
        <f>SUM(C8:C14)</f>
        <v>79.570000000000007</v>
      </c>
      <c r="D15" s="5">
        <f>SUM(D8:D14)</f>
        <v>2.3199999999999998</v>
      </c>
      <c r="E15" s="5">
        <f>SUM(E8:E14)</f>
        <v>0</v>
      </c>
      <c r="F15" s="5">
        <f>SUM(F8:F14)</f>
        <v>68895.659999999989</v>
      </c>
      <c r="G15" s="5">
        <f>SUM(G8:G14)</f>
        <v>2910.64</v>
      </c>
      <c r="R15" t="s">
        <v>211</v>
      </c>
      <c r="S15" t="s">
        <v>212</v>
      </c>
      <c r="T15" t="s">
        <v>208</v>
      </c>
    </row>
    <row r="16" spans="1:33" ht="15">
      <c r="B16" s="1" t="s">
        <v>47</v>
      </c>
      <c r="C16" s="6">
        <f>C15*'מחירי דלקים '!$D$6/1000</f>
        <v>688.8434577500002</v>
      </c>
      <c r="D16" s="6">
        <f>D15*'מחירי דלקים '!$D$6/1000</f>
        <v>20.084414000000002</v>
      </c>
      <c r="E16" s="6"/>
      <c r="F16" s="6">
        <f>F15*'מחירי דלקים '!$D$5/1000</f>
        <v>79963.339869862306</v>
      </c>
      <c r="G16" s="6">
        <f>G15*'מחירי דלקים '!$D$4/1000</f>
        <v>1860.1836778050206</v>
      </c>
      <c r="H16" s="36">
        <f>SUM(C16:G16)</f>
        <v>82532.451419417324</v>
      </c>
      <c r="P16" t="s">
        <v>207</v>
      </c>
      <c r="R16" s="6">
        <f>+'תרחיש הפעלה 3% 20% ללא צמצום פח'!$F$10</f>
        <v>61414.320000000007</v>
      </c>
      <c r="S16" s="7">
        <f>+R16/R18</f>
        <v>0.89141057651526989</v>
      </c>
      <c r="T16" s="6">
        <f>+'מחירי דלקים '!$D$5</f>
        <v>1160.6440793202694</v>
      </c>
    </row>
    <row r="17" spans="1:33" ht="15">
      <c r="B17" s="1" t="s">
        <v>48</v>
      </c>
      <c r="C17" s="6">
        <f>C16</f>
        <v>688.8434577500002</v>
      </c>
      <c r="D17" s="6">
        <f>D16</f>
        <v>20.084414000000002</v>
      </c>
      <c r="E17" s="6">
        <f>E16</f>
        <v>0</v>
      </c>
      <c r="F17" s="6">
        <f>F16</f>
        <v>79963.339869862306</v>
      </c>
      <c r="G17" s="6">
        <f>G15*'מחירי דלקים '!$E$4/1000</f>
        <v>1184.63048</v>
      </c>
      <c r="H17" s="36">
        <f>SUM(C17:G17)</f>
        <v>81856.898221612311</v>
      </c>
      <c r="P17" s="7" t="s">
        <v>209</v>
      </c>
      <c r="R17" s="5">
        <f>+F15-R16</f>
        <v>7481.339999999982</v>
      </c>
      <c r="S17" s="7">
        <f>+R17/R18</f>
        <v>0.10858942348473015</v>
      </c>
      <c r="T17" s="6">
        <f>+'מחירי דלקים '!$D$7</f>
        <v>1676.4858923515003</v>
      </c>
    </row>
    <row r="18" spans="1:33" ht="15">
      <c r="B18" s="1" t="s">
        <v>51</v>
      </c>
      <c r="C18" s="6">
        <f>C17</f>
        <v>688.8434577500002</v>
      </c>
      <c r="D18" s="6">
        <f>D17</f>
        <v>20.084414000000002</v>
      </c>
      <c r="E18" s="6">
        <f>E17</f>
        <v>0</v>
      </c>
      <c r="F18" s="6">
        <f>F15*T18/1000</f>
        <v>83822.527859365364</v>
      </c>
      <c r="G18" s="6">
        <f>G17</f>
        <v>1184.63048</v>
      </c>
      <c r="H18" s="36">
        <f>SUM(C18:G18)</f>
        <v>85716.086211115369</v>
      </c>
      <c r="P18" t="s">
        <v>210</v>
      </c>
      <c r="Q18" s="5"/>
      <c r="R18" s="5">
        <f>SUM(R16:R17)</f>
        <v>68895.659999999989</v>
      </c>
      <c r="S18" s="7">
        <f>SUM(S16:S17)</f>
        <v>1</v>
      </c>
      <c r="T18" s="6">
        <f>+SUMPRODUCT(T16:T17,S16:S17)</f>
        <v>1216.6590444066487</v>
      </c>
    </row>
    <row r="19" spans="1:33" ht="15">
      <c r="B19" s="1"/>
      <c r="C19" s="6"/>
      <c r="D19" s="6"/>
      <c r="E19" s="6"/>
      <c r="F19" s="6"/>
      <c r="G19" s="6"/>
      <c r="H19" s="6"/>
    </row>
    <row r="20" spans="1:33" ht="15">
      <c r="B20" s="1" t="s">
        <v>279</v>
      </c>
      <c r="H20" s="6">
        <f>+SUMPRODUCT(H8:H14,A8:A14)</f>
        <v>79527.46171328325</v>
      </c>
      <c r="I20" s="6">
        <f t="shared" ref="I20:J20" si="6">+SUMPRODUCT(I8:I14,$A$8:$A$14)</f>
        <v>76183.126218625461</v>
      </c>
      <c r="J20" s="6">
        <f t="shared" si="6"/>
        <v>76826.884242516855</v>
      </c>
    </row>
    <row r="21" spans="1:33" ht="15">
      <c r="B21" s="1"/>
      <c r="C21" s="6"/>
      <c r="D21" s="6"/>
      <c r="E21" s="6"/>
      <c r="F21" s="6"/>
      <c r="G21" s="6"/>
      <c r="H21" s="6"/>
    </row>
    <row r="22" spans="1:33" ht="15">
      <c r="B22" s="4" t="s">
        <v>188</v>
      </c>
    </row>
    <row r="23" spans="1:33" ht="45">
      <c r="H23" s="1" t="s">
        <v>215</v>
      </c>
      <c r="I23" s="1" t="s">
        <v>48</v>
      </c>
      <c r="J23" s="1" t="s">
        <v>47</v>
      </c>
      <c r="L23" s="1" t="s">
        <v>213</v>
      </c>
      <c r="M23" s="1" t="s">
        <v>214</v>
      </c>
      <c r="N23" s="1" t="s">
        <v>210</v>
      </c>
      <c r="Q23" s="1" t="s">
        <v>14</v>
      </c>
      <c r="R23" s="1" t="s">
        <v>15</v>
      </c>
      <c r="S23" s="1" t="s">
        <v>5</v>
      </c>
      <c r="T23" s="1" t="s">
        <v>2</v>
      </c>
      <c r="U23" s="1" t="s">
        <v>0</v>
      </c>
      <c r="W23" s="1" t="s">
        <v>14</v>
      </c>
      <c r="X23" s="1" t="s">
        <v>15</v>
      </c>
      <c r="Y23" s="1" t="s">
        <v>5</v>
      </c>
      <c r="Z23" s="1" t="s">
        <v>2</v>
      </c>
      <c r="AA23" s="1" t="s">
        <v>0</v>
      </c>
      <c r="AC23" s="1" t="s">
        <v>14</v>
      </c>
      <c r="AD23" s="1" t="s">
        <v>15</v>
      </c>
      <c r="AE23" s="1" t="s">
        <v>5</v>
      </c>
      <c r="AF23" s="1" t="s">
        <v>2</v>
      </c>
      <c r="AG23" s="1" t="s">
        <v>0</v>
      </c>
    </row>
    <row r="24" spans="1:33">
      <c r="B24" t="str">
        <f>'פלט שנתי לאחר תיקון אגירה'!AG2</f>
        <v>D:\sal-delek\‏‏2024-2030-Ren20\‏‏‏‏‏‏Sen1-‏‏Ren-20 - adv-inv\Base1.ucp</v>
      </c>
    </row>
    <row r="25" spans="1:33" ht="30">
      <c r="B25" s="1" t="s">
        <v>18</v>
      </c>
      <c r="C25" s="1" t="s">
        <v>14</v>
      </c>
      <c r="D25" s="1" t="s">
        <v>15</v>
      </c>
      <c r="E25" s="1" t="s">
        <v>5</v>
      </c>
      <c r="F25" s="1" t="s">
        <v>2</v>
      </c>
      <c r="G25" s="1" t="s">
        <v>0</v>
      </c>
    </row>
    <row r="26" spans="1:33" ht="15">
      <c r="A26">
        <f>1/(1+$I$1)^(B26-2023)</f>
        <v>0.96432015429122475</v>
      </c>
      <c r="B26" s="1">
        <v>2024</v>
      </c>
      <c r="C26" s="33">
        <f>'פלט שנתי לאחר תיקון אגירה'!AP35</f>
        <v>3.54</v>
      </c>
      <c r="D26" s="33">
        <f>'פלט שנתי לאחר תיקון אגירה'!AQ35</f>
        <v>0</v>
      </c>
      <c r="E26" s="33">
        <f>'פלט שנתי לאחר תיקון אגירה'!AR35</f>
        <v>1.1599999999999999</v>
      </c>
      <c r="F26" s="33">
        <f>'פלט שנתי לאחר תיקון אגירה'!AS35</f>
        <v>9107.4500000000007</v>
      </c>
      <c r="G26" s="33">
        <f>'פלט שנתי לאחר תיקון אגירה'!AT35</f>
        <v>1788.32</v>
      </c>
      <c r="H26" s="6">
        <f>+SUMPRODUCT(C26:G26,Q26:U26)/1000</f>
        <v>11797.745661206865</v>
      </c>
      <c r="I26" s="6">
        <f>+SUMPRODUCT(C26:G26,W26:AA26)/1000</f>
        <v>11329.000205705388</v>
      </c>
      <c r="J26" s="6">
        <f>+SUMPRODUCT(C26:G26,AC26:AG26)/1000</f>
        <v>11744.065378553516</v>
      </c>
      <c r="L26" s="6">
        <f t="shared" ref="L26:L32" si="7">+L8</f>
        <v>8198.75</v>
      </c>
      <c r="M26" s="5">
        <f>+F26-L26</f>
        <v>908.70000000000073</v>
      </c>
      <c r="N26" s="10">
        <f>+('מחירי דלקים '!$D$5*L26+'מחירי דלקים '!$D$7*M26)/SUM(L26:M26)</f>
        <v>1212.112432756355</v>
      </c>
      <c r="Q26" s="8">
        <f>+'מחירי דלקים '!$D$6</f>
        <v>8657.0750000000007</v>
      </c>
      <c r="R26" s="8">
        <f>+'מחירי דלקים '!$D$6</f>
        <v>8657.0750000000007</v>
      </c>
      <c r="S26">
        <v>0</v>
      </c>
      <c r="T26" s="10">
        <f>+N26+P8</f>
        <v>1212.112432756355</v>
      </c>
      <c r="U26">
        <f>+'מחירי דלקים '!$E$4+O8</f>
        <v>407</v>
      </c>
      <c r="W26" s="8">
        <f>+'מחירי דלקים '!$D$6</f>
        <v>8657.0750000000007</v>
      </c>
      <c r="X26" s="8">
        <f>+'מחירי דלקים '!$D$6</f>
        <v>8657.0750000000007</v>
      </c>
      <c r="Y26">
        <v>0</v>
      </c>
      <c r="Z26" s="10">
        <f>+('מחירי דלקים '!$D$5)+P8</f>
        <v>1160.6440793202694</v>
      </c>
      <c r="AA26">
        <f>+'מחירי דלקים '!$E$4+O8</f>
        <v>407</v>
      </c>
      <c r="AC26" s="8">
        <f>+'מחירי דלקים '!$D$6</f>
        <v>8657.0750000000007</v>
      </c>
      <c r="AD26" s="8">
        <f>+'מחירי דלקים '!$D$6</f>
        <v>8657.0750000000007</v>
      </c>
      <c r="AE26">
        <v>0</v>
      </c>
      <c r="AF26" s="10">
        <f>+('מחירי דלקים '!$D$5)+P8</f>
        <v>1160.6440793202694</v>
      </c>
      <c r="AG26">
        <f>+'מחירי דלקים '!$D$4+O8</f>
        <v>639.0978196565087</v>
      </c>
    </row>
    <row r="27" spans="1:33" ht="15">
      <c r="A27">
        <f t="shared" ref="A27:A32" si="8">1/(1+$I$1)^(B27-2023)</f>
        <v>0.92991335997225155</v>
      </c>
      <c r="B27" s="1">
        <v>2025</v>
      </c>
      <c r="C27" s="33">
        <f>'פלט שנתי לאחר תיקון אגירה'!AP36</f>
        <v>11.73</v>
      </c>
      <c r="D27" s="33">
        <f>'פלט שנתי לאחר תיקון אגירה'!AQ36</f>
        <v>0.27</v>
      </c>
      <c r="E27" s="33">
        <f>'פלט שנתי לאחר תיקון אגירה'!AR36</f>
        <v>2.02</v>
      </c>
      <c r="F27" s="33">
        <f>'פלט שנתי לאחר תיקון אגירה'!AS36</f>
        <v>9408.19</v>
      </c>
      <c r="G27" s="33">
        <f>'פלט שנתי לאחר תיקון אגירה'!AT36</f>
        <v>969.51</v>
      </c>
      <c r="H27" s="6">
        <f t="shared" ref="H27:H32" si="9">+SUMPRODUCT(C27:G27,Q27:U27)/1000</f>
        <v>12315.426610964701</v>
      </c>
      <c r="I27" s="6">
        <f t="shared" ref="I27:I32" si="10">+SUMPRODUCT(C27:G27,W27:AA27)/1000</f>
        <v>11871.023730620165</v>
      </c>
      <c r="J27" s="6">
        <f t="shared" ref="J27:J32" si="11">+SUMPRODUCT(C27:G27,AC27:AG27)/1000</f>
        <v>12096.044887755348</v>
      </c>
      <c r="L27" s="6">
        <f t="shared" si="7"/>
        <v>8546.68</v>
      </c>
      <c r="M27" s="5">
        <f t="shared" ref="M27:M32" si="12">+F27-L27</f>
        <v>861.51000000000022</v>
      </c>
      <c r="N27" s="10">
        <f>+('מחירי דלקים '!$D$5*L27+'מחירי דלקים '!$D$7*M27)/SUM(L27:M27)</f>
        <v>1207.879826083944</v>
      </c>
      <c r="Q27" s="8">
        <f>+'מחירי דלקים '!$D$6</f>
        <v>8657.0750000000007</v>
      </c>
      <c r="R27" s="8">
        <f>+'מחירי דלקים '!$D$6</f>
        <v>8657.0750000000007</v>
      </c>
      <c r="S27">
        <v>0</v>
      </c>
      <c r="T27" s="10">
        <f t="shared" ref="T27:T32" si="13">+N27+P9</f>
        <v>1240.879826083944</v>
      </c>
      <c r="U27">
        <f>+'מחירי דלקים '!$E$4+O9</f>
        <v>554</v>
      </c>
      <c r="W27" s="8">
        <f>+'מחירי דלקים '!$D$6</f>
        <v>8657.0750000000007</v>
      </c>
      <c r="X27" s="8">
        <f>+'מחירי דלקים '!$D$6</f>
        <v>8657.0750000000007</v>
      </c>
      <c r="Y27">
        <v>0</v>
      </c>
      <c r="Z27" s="10">
        <f>+('מחירי דלקים '!$D$5)+P9</f>
        <v>1193.6440793202694</v>
      </c>
      <c r="AA27">
        <f>+'מחירי דלקים '!$E$4+O9</f>
        <v>554</v>
      </c>
      <c r="AC27" s="8">
        <f>+'מחירי דלקים '!$D$6</f>
        <v>8657.0750000000007</v>
      </c>
      <c r="AD27" s="8">
        <f>+'מחירי דלקים '!$D$6</f>
        <v>8657.0750000000007</v>
      </c>
      <c r="AE27">
        <v>0</v>
      </c>
      <c r="AF27" s="10">
        <f>+('מחירי דלקים '!$D$5)+P9</f>
        <v>1193.6440793202694</v>
      </c>
      <c r="AG27">
        <f>+'מחירי דלקים '!$D$4+O9</f>
        <v>786.0978196565087</v>
      </c>
    </row>
    <row r="28" spans="1:33" ht="15" customHeight="1">
      <c r="A28">
        <f t="shared" si="8"/>
        <v>0.89673419476591276</v>
      </c>
      <c r="B28" s="1">
        <v>2026</v>
      </c>
      <c r="C28" s="33">
        <f>'פלט שנתי לאחר תיקון אגירה'!AP37</f>
        <v>10.38</v>
      </c>
      <c r="D28" s="33">
        <f>'פלט שנתי לאחר תיקון אגירה'!AQ37</f>
        <v>0.42</v>
      </c>
      <c r="E28" s="33">
        <f>'פלט שנתי לאחר תיקון אגירה'!AR37</f>
        <v>2.2999999999999998</v>
      </c>
      <c r="F28" s="33">
        <f>'פלט שנתי לאחר תיקון אגירה'!AS37</f>
        <v>9606.17</v>
      </c>
      <c r="G28" s="33">
        <f>'פלט שנתי לאחר תיקון אגירה'!AT37</f>
        <v>940.37</v>
      </c>
      <c r="H28" s="6">
        <f t="shared" si="9"/>
        <v>12757.109816374361</v>
      </c>
      <c r="I28" s="6">
        <f t="shared" si="10"/>
        <v>12327.676665443993</v>
      </c>
      <c r="J28" s="6">
        <f t="shared" si="11"/>
        <v>12545.934492114384</v>
      </c>
      <c r="L28" s="6">
        <f t="shared" si="7"/>
        <v>8773.68</v>
      </c>
      <c r="M28" s="5">
        <f t="shared" si="12"/>
        <v>832.48999999999978</v>
      </c>
      <c r="N28" s="10">
        <f>+('מחירי דלקים '!$D$5*L28+'מחירי דלקים '!$D$7*M28)/SUM(L28:M28)</f>
        <v>1205.3479676472894</v>
      </c>
      <c r="Q28" s="8">
        <f>+'מחירי דלקים '!$D$6</f>
        <v>8657.0750000000007</v>
      </c>
      <c r="R28" s="8">
        <f>+'מחירי דלקים '!$D$6</f>
        <v>8657.0750000000007</v>
      </c>
      <c r="S28">
        <v>0</v>
      </c>
      <c r="T28" s="10">
        <f t="shared" si="13"/>
        <v>1259.3479676472894</v>
      </c>
      <c r="U28">
        <f>+'מחירי דלקים '!$E$4+O10</f>
        <v>602</v>
      </c>
      <c r="W28" s="8">
        <f>+'מחירי דלקים '!$D$6</f>
        <v>8657.0750000000007</v>
      </c>
      <c r="X28" s="8">
        <f>+'מחירי דלקים '!$D$6</f>
        <v>8657.0750000000007</v>
      </c>
      <c r="Y28">
        <v>0</v>
      </c>
      <c r="Z28" s="10">
        <f>+('מחירי דלקים '!$D$5)+P10</f>
        <v>1214.6440793202694</v>
      </c>
      <c r="AA28">
        <f>+'מחירי דלקים '!$E$4+O10</f>
        <v>602</v>
      </c>
      <c r="AC28" s="8">
        <f>+'מחירי דלקים '!$D$6</f>
        <v>8657.0750000000007</v>
      </c>
      <c r="AD28" s="8">
        <f>+'מחירי דלקים '!$D$6</f>
        <v>8657.0750000000007</v>
      </c>
      <c r="AE28">
        <v>0</v>
      </c>
      <c r="AF28" s="10">
        <f>+('מחירי דלקים '!$D$5)+P10</f>
        <v>1214.6440793202694</v>
      </c>
      <c r="AG28">
        <f>+'מחירי דלקים '!$D$4+O10</f>
        <v>834.0978196565087</v>
      </c>
    </row>
    <row r="29" spans="1:33" ht="15" customHeight="1">
      <c r="A29">
        <f t="shared" si="8"/>
        <v>0.86473885705488229</v>
      </c>
      <c r="B29" s="1">
        <v>2027</v>
      </c>
      <c r="C29" s="33">
        <f>'פלט שנתי לאחר תיקון אגירה'!AP38</f>
        <v>6.68</v>
      </c>
      <c r="D29" s="33">
        <f>'פלט שנתי לאחר תיקון אגירה'!AQ38</f>
        <v>0.3</v>
      </c>
      <c r="E29" s="33">
        <f>'פלט שנתי לאחר תיקון אגירה'!AR38</f>
        <v>2.2999999999999998</v>
      </c>
      <c r="F29" s="33">
        <f>'פלט שנתי לאחר תיקון אגירה'!AS38</f>
        <v>9550.7999999999993</v>
      </c>
      <c r="G29" s="33">
        <f>'פלט שנתי לאחר תיקון אגירה'!AT38</f>
        <v>936.95</v>
      </c>
      <c r="H29" s="6">
        <f t="shared" si="9"/>
        <v>12896.429215957065</v>
      </c>
      <c r="I29" s="6">
        <f t="shared" si="10"/>
        <v>12529.830756272029</v>
      </c>
      <c r="J29" s="6">
        <f t="shared" si="11"/>
        <v>12747.294808399194</v>
      </c>
      <c r="L29" s="6">
        <f t="shared" si="7"/>
        <v>8840.1200000000008</v>
      </c>
      <c r="M29" s="5">
        <f t="shared" si="12"/>
        <v>710.67999999999847</v>
      </c>
      <c r="N29" s="10">
        <f>+('מחירי דלקים '!$D$5*L29+'מחירי דלקים '!$D$7*M29)/SUM(L29:M29)</f>
        <v>1199.0281371672597</v>
      </c>
      <c r="Q29" s="8">
        <f>+'מחירי דלקים '!$D$6</f>
        <v>8657.0750000000007</v>
      </c>
      <c r="R29" s="8">
        <f>+'מחירי דלקים '!$D$6</f>
        <v>8657.0750000000007</v>
      </c>
      <c r="S29">
        <v>0</v>
      </c>
      <c r="T29" s="10">
        <f t="shared" si="13"/>
        <v>1279.0281371672597</v>
      </c>
      <c r="U29">
        <f>+'מחירי דלקים '!$E$4+O11</f>
        <v>662</v>
      </c>
      <c r="W29" s="8">
        <f>+'מחירי דלקים '!$D$6</f>
        <v>8657.0750000000007</v>
      </c>
      <c r="X29" s="8">
        <f>+'מחירי דלקים '!$D$6</f>
        <v>8657.0750000000007</v>
      </c>
      <c r="Y29">
        <v>0</v>
      </c>
      <c r="Z29" s="10">
        <f>+('מחירי דלקים '!$D$5)+P11</f>
        <v>1240.6440793202694</v>
      </c>
      <c r="AA29">
        <f>+'מחירי דלקים '!$E$4+O11</f>
        <v>662</v>
      </c>
      <c r="AC29" s="8">
        <f>+'מחירי דלקים '!$D$6</f>
        <v>8657.0750000000007</v>
      </c>
      <c r="AD29" s="8">
        <f>+'מחירי דלקים '!$D$6</f>
        <v>8657.0750000000007</v>
      </c>
      <c r="AE29">
        <v>0</v>
      </c>
      <c r="AF29" s="10">
        <f>+('מחירי דלקים '!$D$5)+P11</f>
        <v>1240.6440793202694</v>
      </c>
      <c r="AG29">
        <f>+'מחירי דלקים '!$D$4+O11</f>
        <v>894.0978196565087</v>
      </c>
    </row>
    <row r="30" spans="1:33" ht="15" customHeight="1">
      <c r="A30">
        <f t="shared" si="8"/>
        <v>0.8338851080567814</v>
      </c>
      <c r="B30" s="1">
        <v>2028</v>
      </c>
      <c r="C30" s="33">
        <f>'פלט שנתי לאחר תיקון אגירה'!AP39</f>
        <v>4.53</v>
      </c>
      <c r="D30" s="33">
        <f>'פלט שנתי לאחר תיקון אגירה'!AQ39</f>
        <v>0.15</v>
      </c>
      <c r="E30" s="33">
        <f>'פלט שנתי לאחר תיקון אגירה'!AR39</f>
        <v>0.86</v>
      </c>
      <c r="F30" s="33">
        <f>'פלט שנתי לאחר תיקון אגירה'!AS39</f>
        <v>9850.19</v>
      </c>
      <c r="G30" s="33">
        <f>'פלט שנתי לאחר תיקון אגירה'!AT39</f>
        <v>305.56</v>
      </c>
      <c r="H30" s="6">
        <f t="shared" si="9"/>
        <v>13262.110734183469</v>
      </c>
      <c r="I30" s="6">
        <f t="shared" si="10"/>
        <v>12822.726994679724</v>
      </c>
      <c r="J30" s="6">
        <f t="shared" si="11"/>
        <v>12893.646804453969</v>
      </c>
      <c r="L30" s="6">
        <f t="shared" si="7"/>
        <v>8998.41</v>
      </c>
      <c r="M30" s="5">
        <f t="shared" si="12"/>
        <v>851.78000000000065</v>
      </c>
      <c r="N30" s="10">
        <f>+('מחירי דלקים '!$D$5*L30+'מחירי דלקים '!$D$7*M30)/SUM(L30:M30)</f>
        <v>1205.2507051319283</v>
      </c>
      <c r="Q30" s="8">
        <f>+'מחירי דלקים '!$D$6</f>
        <v>8657.0750000000007</v>
      </c>
      <c r="R30" s="8">
        <f>+'מחירי דלקים '!$D$6</f>
        <v>8657.0750000000007</v>
      </c>
      <c r="S30">
        <v>0</v>
      </c>
      <c r="T30" s="10">
        <f t="shared" si="13"/>
        <v>1319.2507051319283</v>
      </c>
      <c r="U30">
        <f>+'מחירי דלקים '!$E$4+O12</f>
        <v>742</v>
      </c>
      <c r="W30" s="8">
        <f>+'מחירי דלקים '!$D$6</f>
        <v>8657.0750000000007</v>
      </c>
      <c r="X30" s="8">
        <f>+'מחירי דלקים '!$D$6</f>
        <v>8657.0750000000007</v>
      </c>
      <c r="Y30">
        <v>0</v>
      </c>
      <c r="Z30" s="10">
        <f>+('מחירי דלקים '!$D$5)+P12</f>
        <v>1274.6440793202694</v>
      </c>
      <c r="AA30">
        <f>+'מחירי דלקים '!$E$4+O12</f>
        <v>742</v>
      </c>
      <c r="AC30" s="8">
        <f>+'מחירי דלקים '!$D$6</f>
        <v>8657.0750000000007</v>
      </c>
      <c r="AD30" s="8">
        <f>+'מחירי דלקים '!$D$6</f>
        <v>8657.0750000000007</v>
      </c>
      <c r="AE30">
        <v>0</v>
      </c>
      <c r="AF30" s="10">
        <f>+('מחירי דלקים '!$D$5)+P12</f>
        <v>1274.6440793202694</v>
      </c>
      <c r="AG30">
        <f>+'מחירי דלקים '!$D$4+O12</f>
        <v>974.0978196565087</v>
      </c>
    </row>
    <row r="31" spans="1:33" ht="15">
      <c r="A31">
        <f t="shared" si="8"/>
        <v>0.8041322160624701</v>
      </c>
      <c r="B31" s="1">
        <v>2029</v>
      </c>
      <c r="C31" s="33">
        <f>'פלט שנתי לאחר תיקון אגירה'!AP40</f>
        <v>5.2</v>
      </c>
      <c r="D31" s="33">
        <f>'פלט שנתי לאחר תיקון אגירה'!AQ40</f>
        <v>0.28000000000000003</v>
      </c>
      <c r="E31" s="33">
        <f>'פלט שנתי לאחר תיקון אגירה'!AR40</f>
        <v>0</v>
      </c>
      <c r="F31" s="33">
        <f>'פלט שנתי לאחר תיקון אגירה'!AS40</f>
        <v>9857.0499999999993</v>
      </c>
      <c r="G31" s="33">
        <f>'פלט שנתי לאחר תיקון אגירה'!AT40</f>
        <v>0</v>
      </c>
      <c r="H31" s="6">
        <f t="shared" si="9"/>
        <v>13423.907140471287</v>
      </c>
      <c r="I31" s="6">
        <f t="shared" si="10"/>
        <v>12956.667943063861</v>
      </c>
      <c r="J31" s="6">
        <f t="shared" si="11"/>
        <v>12956.667943063861</v>
      </c>
      <c r="L31" s="6">
        <f t="shared" si="7"/>
        <v>8951.27</v>
      </c>
      <c r="M31" s="5">
        <f t="shared" si="12"/>
        <v>905.77999999999884</v>
      </c>
      <c r="N31" s="10">
        <f>+('מחירי דלקים '!$D$5*L31+'מחירי דלקים '!$D$7*M31)/SUM(L31:M31)</f>
        <v>1208.045603854225</v>
      </c>
      <c r="Q31" s="8">
        <f>+'מחירי דלקים '!$D$6</f>
        <v>8657.0750000000007</v>
      </c>
      <c r="R31" s="8">
        <f>+'מחירי דלקים '!$D$6</f>
        <v>8657.0750000000007</v>
      </c>
      <c r="S31">
        <v>0</v>
      </c>
      <c r="T31" s="10">
        <f t="shared" si="13"/>
        <v>1357.045603854225</v>
      </c>
      <c r="U31">
        <f>+'מחירי דלקים '!$E$4+O13</f>
        <v>822</v>
      </c>
      <c r="W31" s="8">
        <f>+'מחירי דלקים '!$D$6</f>
        <v>8657.0750000000007</v>
      </c>
      <c r="X31" s="8">
        <f>+'מחירי דלקים '!$D$6</f>
        <v>8657.0750000000007</v>
      </c>
      <c r="Y31">
        <v>0</v>
      </c>
      <c r="Z31" s="10">
        <f>+('מחירי דלקים '!$D$5)+P13</f>
        <v>1309.6440793202694</v>
      </c>
      <c r="AA31">
        <f>+'מחירי דלקים '!$E$4+O13</f>
        <v>822</v>
      </c>
      <c r="AC31" s="8">
        <f>+'מחירי דלקים '!$D$6</f>
        <v>8657.0750000000007</v>
      </c>
      <c r="AD31" s="8">
        <f>+'מחירי דלקים '!$D$6</f>
        <v>8657.0750000000007</v>
      </c>
      <c r="AE31">
        <v>0</v>
      </c>
      <c r="AF31" s="10">
        <f>+('מחירי דלקים '!$D$5)+P13</f>
        <v>1309.6440793202694</v>
      </c>
      <c r="AG31">
        <f>+'מחירי דלקים '!$D$4+O13</f>
        <v>1054.0978196565088</v>
      </c>
    </row>
    <row r="32" spans="1:33" ht="15">
      <c r="A32">
        <f t="shared" si="8"/>
        <v>0.77544090266390553</v>
      </c>
      <c r="B32" s="29">
        <v>2030</v>
      </c>
      <c r="C32" s="30">
        <f>'פלט שנתי לאחר תיקון אגירה'!AP41</f>
        <v>1.84</v>
      </c>
      <c r="D32" s="30">
        <f>'פלט שנתי לאחר תיקון אגירה'!AQ41</f>
        <v>0.09</v>
      </c>
      <c r="E32" s="30">
        <f>'פלט שנתי לאחר תיקון אגירה'!AR41</f>
        <v>0</v>
      </c>
      <c r="F32" s="30">
        <f>'פלט שנתי לאחר תיקון אגירה'!AS41</f>
        <v>9966.64</v>
      </c>
      <c r="G32" s="30">
        <f>'פלט שנתי לאחר תיקון אגירה'!AT41</f>
        <v>0</v>
      </c>
      <c r="H32" s="6">
        <f t="shared" si="9"/>
        <v>13942.283186103454</v>
      </c>
      <c r="I32" s="6">
        <f t="shared" si="10"/>
        <v>13498.024741466568</v>
      </c>
      <c r="J32" s="6">
        <f t="shared" si="11"/>
        <v>13498.024741466568</v>
      </c>
      <c r="L32" s="6">
        <f t="shared" si="7"/>
        <v>9105.41</v>
      </c>
      <c r="M32" s="5">
        <f t="shared" si="12"/>
        <v>861.22999999999956</v>
      </c>
      <c r="N32" s="10">
        <f>+('מחירי דלקים '!$D$5*L32+'מחירי דלקים '!$D$7*M32)/SUM(L32:M32)</f>
        <v>1205.2186244665659</v>
      </c>
      <c r="Q32" s="8">
        <f>+'מחירי דלקים '!$D$6</f>
        <v>8657.0750000000007</v>
      </c>
      <c r="R32" s="8">
        <f>+'מחירי דלקים '!$D$6</f>
        <v>8657.0750000000007</v>
      </c>
      <c r="S32">
        <v>0</v>
      </c>
      <c r="T32" s="10">
        <f t="shared" si="13"/>
        <v>1397.2186244665659</v>
      </c>
      <c r="U32">
        <f>+'מחירי דלקים '!$E$4+O14</f>
        <v>922</v>
      </c>
      <c r="W32" s="8">
        <f>+'מחירי דלקים '!$D$6</f>
        <v>8657.0750000000007</v>
      </c>
      <c r="X32" s="8">
        <f>+'מחירי דלקים '!$D$6</f>
        <v>8657.0750000000007</v>
      </c>
      <c r="Y32">
        <v>0</v>
      </c>
      <c r="Z32" s="10">
        <f>+('מחירי דלקים '!$D$5)+P14</f>
        <v>1352.6440793202694</v>
      </c>
      <c r="AA32">
        <f>+'מחירי דלקים '!$E$4+O14</f>
        <v>922</v>
      </c>
      <c r="AC32" s="8">
        <f>+'מחירי דלקים '!$D$6</f>
        <v>8657.0750000000007</v>
      </c>
      <c r="AD32" s="8">
        <f>+'מחירי דלקים '!$D$6</f>
        <v>8657.0750000000007</v>
      </c>
      <c r="AE32">
        <v>0</v>
      </c>
      <c r="AF32" s="10">
        <f>+('מחירי דלקים '!$D$5)+P14</f>
        <v>1352.6440793202694</v>
      </c>
      <c r="AG32">
        <f>+'מחירי דלקים '!$D$4+O14</f>
        <v>1154.0978196565088</v>
      </c>
    </row>
    <row r="33" spans="2:21" ht="15">
      <c r="B33" s="1" t="s">
        <v>46</v>
      </c>
      <c r="C33" s="5">
        <f>SUM(C26:C32)</f>
        <v>43.900000000000006</v>
      </c>
      <c r="D33" s="5">
        <f>SUM(D26:D32)</f>
        <v>1.51</v>
      </c>
      <c r="E33" s="5">
        <f>SUM(E26:E32)</f>
        <v>8.6399999999999988</v>
      </c>
      <c r="F33" s="5">
        <f>SUM(F26:F32)</f>
        <v>67346.490000000005</v>
      </c>
      <c r="G33" s="5">
        <f>SUM(G26:G32)</f>
        <v>4940.71</v>
      </c>
      <c r="L33" s="34"/>
      <c r="R33" t="s">
        <v>211</v>
      </c>
      <c r="S33" t="s">
        <v>212</v>
      </c>
      <c r="T33" t="s">
        <v>208</v>
      </c>
    </row>
    <row r="34" spans="2:21" ht="15">
      <c r="B34" s="1" t="s">
        <v>47</v>
      </c>
      <c r="C34" s="6">
        <f>C33*'מחירי דלקים '!$D$6/1000</f>
        <v>380.04559250000011</v>
      </c>
      <c r="D34" s="6">
        <f>D33*'מחירי דלקים '!$D$6/1000</f>
        <v>13.072183250000002</v>
      </c>
      <c r="E34" s="6"/>
      <c r="F34" s="6">
        <f>F33*'מחירי דלקים '!$D$5/1000</f>
        <v>78165.304881501739</v>
      </c>
      <c r="G34" s="6">
        <f>G33*'מחירי דלקים '!$D$4/1000</f>
        <v>3157.596988555109</v>
      </c>
      <c r="H34" s="6">
        <f>SUM(C34:G34)</f>
        <v>81716.019645806839</v>
      </c>
      <c r="I34" s="5"/>
      <c r="J34" s="5"/>
      <c r="K34" s="5"/>
      <c r="P34" t="s">
        <v>207</v>
      </c>
      <c r="R34" s="6">
        <f>+'תרחיש הפעלה 3% 20% ללא צמצום פח'!$F$10</f>
        <v>61414.320000000007</v>
      </c>
      <c r="S34" s="7">
        <f>+R34/R36</f>
        <v>0.91191567667446372</v>
      </c>
      <c r="T34" s="6">
        <f>+'מחירי דלקים '!$D$5</f>
        <v>1160.6440793202694</v>
      </c>
    </row>
    <row r="35" spans="2:21" ht="15">
      <c r="B35" s="1" t="s">
        <v>48</v>
      </c>
      <c r="C35" s="6">
        <f>C34</f>
        <v>380.04559250000011</v>
      </c>
      <c r="D35" s="6">
        <f>D34</f>
        <v>13.072183250000002</v>
      </c>
      <c r="E35" s="6">
        <f>E34</f>
        <v>0</v>
      </c>
      <c r="F35" s="6">
        <f>F34</f>
        <v>78165.304881501739</v>
      </c>
      <c r="G35" s="6">
        <f>G33*'מחירי דלקים '!$E$4/1000</f>
        <v>2010.86897</v>
      </c>
      <c r="H35" s="6">
        <f>SUM(C35:G35)</f>
        <v>80569.291627251732</v>
      </c>
      <c r="I35" s="5"/>
      <c r="J35" s="5"/>
      <c r="K35" s="5"/>
      <c r="P35" s="7" t="s">
        <v>209</v>
      </c>
      <c r="R35" s="5">
        <f>+F33-R34</f>
        <v>5932.1699999999983</v>
      </c>
      <c r="S35" s="7">
        <f>+R35/R36</f>
        <v>8.8084323325536312E-2</v>
      </c>
      <c r="T35" s="6">
        <f>+'מחירי דלקים '!$D$7</f>
        <v>1676.4858923515003</v>
      </c>
    </row>
    <row r="36" spans="2:21" ht="15">
      <c r="B36" s="1" t="s">
        <v>51</v>
      </c>
      <c r="C36" s="6">
        <f>C35</f>
        <v>380.04559250000011</v>
      </c>
      <c r="D36" s="6"/>
      <c r="E36" s="6"/>
      <c r="F36" s="6">
        <f>F33*T36/1000</f>
        <v>81225.366209511209</v>
      </c>
      <c r="G36" s="6">
        <f>G35</f>
        <v>2010.86897</v>
      </c>
      <c r="H36" s="6">
        <f>SUM(C36:G36)</f>
        <v>83616.280772011203</v>
      </c>
      <c r="I36" s="5"/>
      <c r="J36" s="5"/>
      <c r="K36" s="5"/>
      <c r="N36" s="5"/>
      <c r="O36" s="5"/>
      <c r="P36" t="s">
        <v>210</v>
      </c>
      <c r="Q36" s="5"/>
      <c r="R36" s="5">
        <f>SUM(R34:R35)</f>
        <v>67346.490000000005</v>
      </c>
      <c r="S36" s="7">
        <f>SUM(S34:S35)</f>
        <v>1</v>
      </c>
      <c r="T36" s="6">
        <f>+SUMPRODUCT(T34:T35,S34:S35)</f>
        <v>1206.0816563641431</v>
      </c>
    </row>
    <row r="37" spans="2:21" ht="15">
      <c r="B37" s="4"/>
    </row>
    <row r="38" spans="2:21" ht="15">
      <c r="B38" s="1" t="s">
        <v>279</v>
      </c>
      <c r="H38" s="6">
        <f>+SUMPRODUCT(H26:H32,A26:A32)</f>
        <v>78085.953213367611</v>
      </c>
      <c r="I38" s="6">
        <f t="shared" ref="I38:J38" si="14">+SUMPRODUCT(I26:I32,$A$26:$A$32)</f>
        <v>75431.963206258893</v>
      </c>
      <c r="J38" s="6">
        <f t="shared" si="14"/>
        <v>76484.376943651689</v>
      </c>
    </row>
    <row r="40" spans="2:21" ht="15">
      <c r="B40" s="1"/>
      <c r="C40" s="1"/>
      <c r="D40" s="1"/>
      <c r="E40" s="1"/>
      <c r="F40" s="1"/>
      <c r="G40" s="1"/>
      <c r="M40" s="1"/>
      <c r="N40" s="1"/>
      <c r="O40" s="1"/>
      <c r="P40" s="1"/>
      <c r="Q40" s="1"/>
      <c r="R40" s="1"/>
      <c r="T40" s="6"/>
      <c r="U40" s="6"/>
    </row>
    <row r="41" spans="2:21" ht="15">
      <c r="B41" s="1"/>
      <c r="C41" s="3"/>
      <c r="D41" s="3"/>
      <c r="E41" s="3"/>
      <c r="F41" s="3"/>
      <c r="G41" s="3"/>
      <c r="M41" s="1"/>
      <c r="N41" s="3"/>
      <c r="O41" s="3"/>
      <c r="P41" s="3"/>
      <c r="Q41" s="3"/>
      <c r="R41" s="3"/>
    </row>
    <row r="42" spans="2:21" ht="15">
      <c r="B42" s="1"/>
      <c r="C42" s="3"/>
      <c r="D42" s="3"/>
      <c r="E42" s="3"/>
      <c r="F42" s="3"/>
      <c r="G42" s="3"/>
      <c r="M42" s="1"/>
      <c r="N42" s="3"/>
      <c r="O42" s="3"/>
      <c r="P42" s="3"/>
      <c r="Q42" s="3"/>
      <c r="R42" s="3"/>
    </row>
    <row r="43" spans="2:21" ht="15">
      <c r="B43" s="1"/>
      <c r="C43" s="3"/>
      <c r="D43" s="3"/>
      <c r="E43" s="3"/>
      <c r="F43" s="3"/>
      <c r="G43" s="3"/>
      <c r="M43" s="1"/>
      <c r="N43" s="3"/>
      <c r="O43" s="3"/>
      <c r="P43" s="3"/>
      <c r="Q43" s="3"/>
      <c r="R43" s="3"/>
    </row>
    <row r="44" spans="2:21" ht="15">
      <c r="B44" s="1"/>
      <c r="C44" s="3"/>
      <c r="D44" s="3"/>
      <c r="E44" s="3"/>
      <c r="F44" s="3"/>
      <c r="G44" s="3"/>
      <c r="M44" s="1"/>
      <c r="N44" s="3"/>
      <c r="O44" s="3"/>
      <c r="P44" s="3"/>
      <c r="Q44" s="3"/>
      <c r="R44" s="3"/>
    </row>
    <row r="45" spans="2:21" ht="15">
      <c r="B45" s="1"/>
      <c r="C45" s="3"/>
      <c r="D45" s="3"/>
      <c r="E45" s="3"/>
      <c r="F45" s="3"/>
      <c r="G45" s="3"/>
      <c r="M45" s="1"/>
      <c r="N45" s="3"/>
      <c r="O45" s="3"/>
      <c r="P45" s="3"/>
      <c r="Q45" s="3"/>
      <c r="R45" s="3"/>
    </row>
    <row r="46" spans="2:21" ht="15">
      <c r="B46" s="1"/>
      <c r="C46" s="3"/>
      <c r="D46" s="3"/>
      <c r="E46" s="3"/>
      <c r="F46" s="3"/>
      <c r="G46" s="3"/>
      <c r="M46" s="1"/>
      <c r="N46" s="3"/>
      <c r="O46" s="3"/>
      <c r="P46" s="3"/>
      <c r="Q46" s="3"/>
      <c r="R46" s="3"/>
    </row>
    <row r="47" spans="2:21" ht="15">
      <c r="B47" s="1"/>
      <c r="C47" s="3"/>
      <c r="D47" s="3"/>
      <c r="E47" s="3"/>
      <c r="F47" s="3"/>
      <c r="G47" s="3"/>
      <c r="M47" s="1"/>
      <c r="N47" s="3"/>
      <c r="O47" s="3"/>
      <c r="P47" s="3"/>
      <c r="Q47" s="3"/>
      <c r="R47" s="3"/>
    </row>
    <row r="48" spans="2:21" ht="15">
      <c r="B48" s="1"/>
      <c r="C48" s="6"/>
      <c r="D48" s="6"/>
      <c r="E48" s="6"/>
      <c r="F48" s="6"/>
      <c r="G48" s="6"/>
      <c r="N48" s="6"/>
      <c r="O48" s="6"/>
      <c r="P48" s="6"/>
      <c r="Q48" s="6"/>
      <c r="R48" s="6"/>
      <c r="S48" s="7"/>
    </row>
    <row r="49" spans="2:18" ht="15">
      <c r="B49" s="1"/>
      <c r="C49" s="6"/>
      <c r="D49" s="6"/>
      <c r="E49" s="6"/>
      <c r="F49" s="6"/>
      <c r="G49" s="6"/>
      <c r="H49" s="6"/>
      <c r="N49" s="6"/>
      <c r="O49" s="6"/>
      <c r="P49" s="6"/>
      <c r="Q49" s="6"/>
      <c r="R49" s="6"/>
    </row>
    <row r="50" spans="2:18" ht="15">
      <c r="B50" s="1"/>
      <c r="C50" s="6"/>
      <c r="D50" s="6"/>
      <c r="E50" s="6"/>
      <c r="F50" s="6"/>
      <c r="G50" s="6"/>
      <c r="H50" s="6"/>
    </row>
    <row r="51" spans="2:18" ht="15">
      <c r="B51" s="1"/>
      <c r="C51" s="6"/>
      <c r="D51" s="6"/>
      <c r="E51" s="6"/>
      <c r="F51" s="6"/>
      <c r="G51" s="6"/>
      <c r="H51" s="6"/>
    </row>
    <row r="52" spans="2:18">
      <c r="C52" s="5"/>
      <c r="D52" s="5"/>
      <c r="E52" s="5"/>
      <c r="F52" s="5"/>
      <c r="G52" s="5"/>
    </row>
    <row r="53" spans="2:18">
      <c r="C53" s="6"/>
      <c r="G53" s="10"/>
    </row>
    <row r="57" spans="2:18">
      <c r="B57" t="s">
        <v>42</v>
      </c>
    </row>
    <row r="58" spans="2:18" ht="15">
      <c r="B58" s="4" t="s">
        <v>17</v>
      </c>
    </row>
    <row r="59" spans="2:18" ht="15">
      <c r="B59" s="4" t="s">
        <v>21</v>
      </c>
    </row>
    <row r="60" spans="2:18" ht="15">
      <c r="B60" s="4" t="s">
        <v>22</v>
      </c>
    </row>
    <row r="62" spans="2:18" ht="105">
      <c r="C62" s="1" t="s">
        <v>52</v>
      </c>
      <c r="D62" s="1" t="s">
        <v>53</v>
      </c>
      <c r="E62" s="1" t="s">
        <v>51</v>
      </c>
    </row>
    <row r="63" spans="2:18" ht="15">
      <c r="B63" s="1" t="s">
        <v>55</v>
      </c>
      <c r="C63" s="5">
        <f>+H16</f>
        <v>82532.451419417324</v>
      </c>
      <c r="D63" s="5">
        <f>+H17</f>
        <v>81856.898221612311</v>
      </c>
      <c r="E63" s="5">
        <f>+H18</f>
        <v>85716.086211115369</v>
      </c>
    </row>
    <row r="64" spans="2:18" ht="15">
      <c r="B64" s="1" t="s">
        <v>56</v>
      </c>
      <c r="C64" s="5">
        <f>+H34</f>
        <v>81716.019645806839</v>
      </c>
      <c r="D64" s="5">
        <f>+H35</f>
        <v>80569.291627251732</v>
      </c>
      <c r="E64" s="5">
        <f>+H36</f>
        <v>83616.280772011203</v>
      </c>
    </row>
    <row r="65" spans="2:5" ht="15">
      <c r="B65" s="1" t="s">
        <v>57</v>
      </c>
      <c r="C65" s="5">
        <f>+H49</f>
        <v>0</v>
      </c>
      <c r="D65" s="5">
        <f>+H50</f>
        <v>0</v>
      </c>
      <c r="E65" s="5">
        <f>+H51</f>
        <v>0</v>
      </c>
    </row>
  </sheetData>
  <mergeCells count="2">
    <mergeCell ref="B5:B7"/>
    <mergeCell ref="C7:E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62"/>
  <sheetViews>
    <sheetView rightToLeft="1" workbookViewId="0">
      <selection activeCell="I64" sqref="I64"/>
    </sheetView>
  </sheetViews>
  <sheetFormatPr defaultRowHeight="14.25"/>
  <cols>
    <col min="3" max="3" width="38.5" customWidth="1"/>
    <col min="4" max="4" width="7.75" bestFit="1" customWidth="1"/>
    <col min="5" max="5" width="9.625" customWidth="1"/>
    <col min="6" max="6" width="7.5" bestFit="1" customWidth="1"/>
    <col min="7" max="7" width="9.75" bestFit="1" customWidth="1"/>
    <col min="8" max="8" width="7.375" bestFit="1" customWidth="1"/>
    <col min="9" max="9" width="9" bestFit="1" customWidth="1"/>
    <col min="10" max="11" width="9.125" bestFit="1" customWidth="1"/>
    <col min="12" max="14" width="9.25" bestFit="1" customWidth="1"/>
    <col min="15" max="15" width="9.75" bestFit="1" customWidth="1"/>
    <col min="16" max="16" width="10" bestFit="1" customWidth="1"/>
    <col min="17" max="17" width="9.75" bestFit="1" customWidth="1"/>
    <col min="18" max="18" width="9.125" bestFit="1" customWidth="1"/>
  </cols>
  <sheetData>
    <row r="2" spans="2:20" ht="15">
      <c r="C2" s="4" t="s">
        <v>17</v>
      </c>
    </row>
    <row r="4" spans="2:20">
      <c r="C4" t="s">
        <v>13</v>
      </c>
      <c r="L4" t="s">
        <v>13</v>
      </c>
    </row>
    <row r="5" spans="2:20" ht="30">
      <c r="B5" t="s">
        <v>54</v>
      </c>
      <c r="C5" s="247" t="s">
        <v>18</v>
      </c>
      <c r="D5" s="1" t="s">
        <v>14</v>
      </c>
      <c r="E5" s="1" t="s">
        <v>15</v>
      </c>
      <c r="F5" s="1" t="s">
        <v>5</v>
      </c>
      <c r="G5" s="1" t="s">
        <v>2</v>
      </c>
      <c r="H5" s="1" t="s">
        <v>0</v>
      </c>
      <c r="I5" s="1" t="s">
        <v>45</v>
      </c>
      <c r="K5" s="1" t="s">
        <v>19</v>
      </c>
      <c r="L5" s="1" t="s">
        <v>14</v>
      </c>
      <c r="M5" s="1" t="s">
        <v>15</v>
      </c>
      <c r="N5" s="1" t="s">
        <v>5</v>
      </c>
      <c r="O5" s="1" t="s">
        <v>2</v>
      </c>
      <c r="P5" s="1" t="s">
        <v>0</v>
      </c>
      <c r="S5" s="1" t="s">
        <v>163</v>
      </c>
      <c r="T5">
        <v>52421</v>
      </c>
    </row>
    <row r="6" spans="2:20" ht="15" hidden="1" customHeight="1">
      <c r="C6" s="247"/>
      <c r="D6" s="1" t="s">
        <v>1</v>
      </c>
      <c r="E6" s="1" t="s">
        <v>1</v>
      </c>
      <c r="F6" s="1" t="s">
        <v>1</v>
      </c>
      <c r="G6" s="1" t="s">
        <v>3</v>
      </c>
      <c r="H6" s="1" t="s">
        <v>1</v>
      </c>
      <c r="L6" s="1"/>
      <c r="M6" s="1" t="s">
        <v>1</v>
      </c>
      <c r="N6" s="1" t="s">
        <v>1</v>
      </c>
      <c r="O6" s="1" t="s">
        <v>1</v>
      </c>
      <c r="P6" s="1"/>
      <c r="Q6" s="1" t="s">
        <v>1</v>
      </c>
    </row>
    <row r="7" spans="2:20" ht="15" hidden="1" customHeight="1">
      <c r="C7" s="247"/>
      <c r="D7" s="247" t="s">
        <v>1</v>
      </c>
      <c r="E7" s="247"/>
      <c r="F7" s="247"/>
      <c r="G7" s="1" t="s">
        <v>1</v>
      </c>
      <c r="H7" s="1" t="s">
        <v>1</v>
      </c>
      <c r="K7" s="1"/>
      <c r="L7" s="247" t="s">
        <v>1</v>
      </c>
      <c r="M7" s="247"/>
      <c r="N7" s="247"/>
      <c r="O7" s="1" t="s">
        <v>1</v>
      </c>
      <c r="P7" s="1" t="s">
        <v>1</v>
      </c>
    </row>
    <row r="8" spans="2:20" ht="15" customHeight="1">
      <c r="C8" s="1" t="s">
        <v>6</v>
      </c>
      <c r="D8" s="3">
        <v>2.64</v>
      </c>
      <c r="E8" s="3">
        <v>0</v>
      </c>
      <c r="F8" s="3">
        <v>1.1599999999999999</v>
      </c>
      <c r="G8" s="3">
        <v>9060.2199999999993</v>
      </c>
      <c r="H8" s="3">
        <v>1788.89</v>
      </c>
      <c r="I8" s="6"/>
      <c r="K8" s="1" t="s">
        <v>6</v>
      </c>
      <c r="L8" s="3">
        <v>3.96</v>
      </c>
      <c r="M8" s="3">
        <v>0</v>
      </c>
      <c r="N8" s="3">
        <v>0</v>
      </c>
      <c r="O8" s="3">
        <v>63625.919999999998</v>
      </c>
      <c r="P8" s="3">
        <v>4754.93</v>
      </c>
      <c r="S8" t="s">
        <v>164</v>
      </c>
      <c r="T8">
        <f>T5*28/10^9</f>
        <v>1.467788E-3</v>
      </c>
    </row>
    <row r="9" spans="2:20" ht="15" customHeight="1">
      <c r="C9" s="1" t="s">
        <v>7</v>
      </c>
      <c r="D9" s="3">
        <v>8.83</v>
      </c>
      <c r="E9" s="3">
        <v>0.64</v>
      </c>
      <c r="F9" s="3">
        <v>1.73</v>
      </c>
      <c r="G9" s="3">
        <v>9431.0300000000007</v>
      </c>
      <c r="H9" s="3">
        <v>1017.92</v>
      </c>
      <c r="I9" s="6"/>
      <c r="K9" s="1" t="s">
        <v>7</v>
      </c>
      <c r="L9" s="3">
        <v>27.44</v>
      </c>
      <c r="M9" s="3">
        <v>0.95</v>
      </c>
      <c r="N9" s="3">
        <v>0</v>
      </c>
      <c r="O9" s="3">
        <v>65347.519999999997</v>
      </c>
      <c r="P9" s="3">
        <v>2658.39</v>
      </c>
    </row>
    <row r="10" spans="2:20" ht="15">
      <c r="C10" s="1" t="s">
        <v>8</v>
      </c>
      <c r="D10" s="3">
        <v>6.28</v>
      </c>
      <c r="E10" s="3">
        <v>0.08</v>
      </c>
      <c r="F10" s="3">
        <v>0</v>
      </c>
      <c r="G10" s="3">
        <v>10011.780000000001</v>
      </c>
      <c r="H10" s="3">
        <v>0</v>
      </c>
      <c r="I10" s="6"/>
      <c r="K10" s="1" t="s">
        <v>8</v>
      </c>
      <c r="L10" s="3">
        <v>17.079999999999998</v>
      </c>
      <c r="M10" s="3">
        <v>0.1</v>
      </c>
      <c r="N10" s="3">
        <v>0</v>
      </c>
      <c r="O10" s="3">
        <v>67977.72</v>
      </c>
      <c r="P10" s="3">
        <v>0</v>
      </c>
    </row>
    <row r="11" spans="2:20" ht="15">
      <c r="C11" s="1" t="s">
        <v>9</v>
      </c>
      <c r="D11" s="3">
        <v>2.1</v>
      </c>
      <c r="E11" s="3">
        <v>0</v>
      </c>
      <c r="F11" s="3">
        <v>0</v>
      </c>
      <c r="G11" s="3">
        <v>9979.15</v>
      </c>
      <c r="H11" s="3">
        <v>0</v>
      </c>
      <c r="I11" s="6"/>
      <c r="K11" s="1" t="s">
        <v>9</v>
      </c>
      <c r="L11" s="3">
        <v>7.15</v>
      </c>
      <c r="M11" s="3">
        <v>0</v>
      </c>
      <c r="N11" s="3">
        <v>0</v>
      </c>
      <c r="O11" s="3">
        <v>67829.25</v>
      </c>
      <c r="P11" s="3">
        <v>0</v>
      </c>
    </row>
    <row r="12" spans="2:20" ht="15">
      <c r="C12" s="1" t="s">
        <v>10</v>
      </c>
      <c r="D12" s="3">
        <v>3.21</v>
      </c>
      <c r="E12" s="3">
        <v>0.04</v>
      </c>
      <c r="F12" s="3">
        <v>0</v>
      </c>
      <c r="G12" s="3">
        <v>9977.3799999999992</v>
      </c>
      <c r="H12" s="3">
        <v>0</v>
      </c>
      <c r="I12" s="6"/>
      <c r="K12" s="1" t="s">
        <v>10</v>
      </c>
      <c r="L12" s="3">
        <v>8.67</v>
      </c>
      <c r="M12" s="3">
        <v>0.04</v>
      </c>
      <c r="N12" s="3">
        <v>0</v>
      </c>
      <c r="O12" s="3">
        <v>67442.97</v>
      </c>
      <c r="P12" s="3">
        <v>0</v>
      </c>
    </row>
    <row r="13" spans="2:20" ht="15">
      <c r="C13" s="1" t="s">
        <v>11</v>
      </c>
      <c r="D13" s="3">
        <v>0</v>
      </c>
      <c r="E13" s="3">
        <v>0</v>
      </c>
      <c r="F13" s="3">
        <v>0</v>
      </c>
      <c r="G13" s="3">
        <v>9771.94</v>
      </c>
      <c r="H13" s="3">
        <v>0</v>
      </c>
      <c r="I13" s="6"/>
      <c r="K13" s="1" t="s">
        <v>11</v>
      </c>
      <c r="L13" s="3">
        <v>0</v>
      </c>
      <c r="M13" s="3">
        <v>0</v>
      </c>
      <c r="N13" s="3">
        <v>0</v>
      </c>
      <c r="O13" s="3">
        <v>66894.240000000005</v>
      </c>
      <c r="P13" s="3">
        <v>0</v>
      </c>
    </row>
    <row r="14" spans="2:20" ht="15">
      <c r="C14" s="1" t="s">
        <v>12</v>
      </c>
      <c r="D14" s="3">
        <v>0</v>
      </c>
      <c r="E14" s="3">
        <v>0</v>
      </c>
      <c r="F14" s="3">
        <v>0</v>
      </c>
      <c r="G14" s="3">
        <v>9651.92</v>
      </c>
      <c r="H14" s="3">
        <v>0</v>
      </c>
      <c r="I14" s="6"/>
      <c r="K14" s="1" t="s">
        <v>12</v>
      </c>
      <c r="L14" s="3">
        <v>0</v>
      </c>
      <c r="M14" s="3">
        <v>0</v>
      </c>
      <c r="N14" s="3">
        <v>0</v>
      </c>
      <c r="O14" s="3">
        <v>66100.47</v>
      </c>
      <c r="P14" s="3">
        <v>0</v>
      </c>
    </row>
    <row r="15" spans="2:20" ht="15">
      <c r="C15" s="1" t="s">
        <v>46</v>
      </c>
      <c r="D15" s="6">
        <f>SUM(D8:D14)</f>
        <v>23.060000000000002</v>
      </c>
      <c r="E15" s="6">
        <f>SUM(E8:E14)</f>
        <v>0.76</v>
      </c>
      <c r="F15" s="6">
        <f>SUM(F8:F14)</f>
        <v>2.8899999999999997</v>
      </c>
      <c r="G15" s="6">
        <f>SUM(G8:G14)</f>
        <v>67883.42</v>
      </c>
      <c r="H15" s="6">
        <f>SUM(H8:H14)</f>
        <v>2806.81</v>
      </c>
      <c r="I15" s="6"/>
      <c r="L15" s="5">
        <f>SUM(L8:L14)</f>
        <v>64.3</v>
      </c>
      <c r="M15" s="5">
        <f>SUM(M8:M14)</f>
        <v>1.0900000000000001</v>
      </c>
      <c r="N15" s="5">
        <f>SUM(N8:N14)</f>
        <v>0</v>
      </c>
      <c r="O15" s="5">
        <f>SUM(O8:O14)</f>
        <v>465218.08999999997</v>
      </c>
      <c r="P15" s="5">
        <f>SUM(P8:P14)</f>
        <v>7413.32</v>
      </c>
    </row>
    <row r="16" spans="2:20" ht="15">
      <c r="C16" s="1" t="s">
        <v>47</v>
      </c>
      <c r="D16" s="6">
        <f>D15*'מחירי דלקים '!$D$6/1000</f>
        <v>199.63214950000003</v>
      </c>
      <c r="E16" s="6">
        <f>E15*'מחירי דלקים '!$D$6/1000</f>
        <v>6.579377</v>
      </c>
      <c r="F16" s="6"/>
      <c r="G16" s="6">
        <f>G15*'מחירי דלקים '!$D$5/1000</f>
        <v>78788.489507011167</v>
      </c>
      <c r="H16" s="6">
        <f>H15*'מחירי דלקים '!$D$4/1000</f>
        <v>1793.8261511900851</v>
      </c>
      <c r="I16" s="6">
        <f>SUM(D16:H16)</f>
        <v>80788.527184701248</v>
      </c>
    </row>
    <row r="17" spans="3:17" ht="15">
      <c r="C17" s="1" t="s">
        <v>48</v>
      </c>
      <c r="D17" s="6">
        <f>D16</f>
        <v>199.63214950000003</v>
      </c>
      <c r="E17" s="6">
        <f>E16</f>
        <v>6.579377</v>
      </c>
      <c r="F17" s="6">
        <f>F16</f>
        <v>0</v>
      </c>
      <c r="G17" s="6">
        <f>G16</f>
        <v>78788.489507011167</v>
      </c>
      <c r="H17" s="6">
        <f>H15*'מחירי דלקים '!$E$4/1000</f>
        <v>1142.37167</v>
      </c>
      <c r="I17" s="6">
        <f>SUM(D17:H17)</f>
        <v>80137.072703511163</v>
      </c>
    </row>
    <row r="18" spans="3:17" ht="15">
      <c r="C18" s="1" t="s">
        <v>51</v>
      </c>
      <c r="D18" s="6">
        <f>D17</f>
        <v>199.63214950000003</v>
      </c>
      <c r="E18" s="6"/>
      <c r="F18" s="6"/>
      <c r="G18" s="6">
        <f>G16+(G15-$G$30)*('מחירי דלקים '!$D$7-'מחירי דלקים '!$D$5)/1000</f>
        <v>84024.067255716684</v>
      </c>
      <c r="H18" s="6">
        <f>H17</f>
        <v>1142.37167</v>
      </c>
      <c r="I18" s="6">
        <f>SUM(D18:H18)</f>
        <v>85366.071075216678</v>
      </c>
    </row>
    <row r="19" spans="3:17" ht="15">
      <c r="C19" s="12" t="s">
        <v>21</v>
      </c>
      <c r="D19" s="6"/>
      <c r="E19" s="6"/>
      <c r="F19" s="6"/>
      <c r="G19" s="6"/>
      <c r="H19" s="6"/>
      <c r="I19" s="6"/>
    </row>
    <row r="20" spans="3:17">
      <c r="D20" s="6"/>
      <c r="E20" s="6"/>
      <c r="F20" s="6"/>
      <c r="G20" s="6"/>
      <c r="H20" s="6"/>
      <c r="I20" s="6"/>
    </row>
    <row r="21" spans="3:17">
      <c r="C21" t="s">
        <v>20</v>
      </c>
      <c r="D21" s="6"/>
      <c r="E21" s="6"/>
      <c r="F21" s="6"/>
      <c r="G21" s="6"/>
      <c r="H21" s="6"/>
      <c r="I21" s="6"/>
      <c r="L21" t="s">
        <v>20</v>
      </c>
    </row>
    <row r="22" spans="3:17" ht="45">
      <c r="C22" s="1" t="s">
        <v>18</v>
      </c>
      <c r="D22" s="11" t="s">
        <v>14</v>
      </c>
      <c r="E22" s="11" t="s">
        <v>15</v>
      </c>
      <c r="F22" s="11" t="s">
        <v>5</v>
      </c>
      <c r="G22" s="11" t="s">
        <v>2</v>
      </c>
      <c r="H22" s="11" t="s">
        <v>0</v>
      </c>
      <c r="I22" s="6"/>
      <c r="K22" s="1" t="s">
        <v>19</v>
      </c>
      <c r="L22" s="1" t="s">
        <v>14</v>
      </c>
      <c r="M22" s="1" t="s">
        <v>15</v>
      </c>
      <c r="N22" s="1" t="s">
        <v>5</v>
      </c>
      <c r="O22" s="1" t="s">
        <v>2</v>
      </c>
      <c r="P22" s="1" t="s">
        <v>0</v>
      </c>
    </row>
    <row r="23" spans="3:17" ht="15">
      <c r="C23" s="1" t="s">
        <v>6</v>
      </c>
      <c r="D23" s="3">
        <v>1.58</v>
      </c>
      <c r="E23" s="3">
        <v>0</v>
      </c>
      <c r="F23" s="3">
        <v>3.18</v>
      </c>
      <c r="G23" s="3">
        <v>8092.79</v>
      </c>
      <c r="H23" s="3">
        <v>4290.32</v>
      </c>
      <c r="I23" s="6"/>
      <c r="K23" s="1" t="s">
        <v>6</v>
      </c>
      <c r="L23" s="3">
        <v>1.05</v>
      </c>
      <c r="M23" s="3">
        <v>0</v>
      </c>
      <c r="N23" s="3">
        <v>0</v>
      </c>
      <c r="O23" s="3">
        <v>56887.31</v>
      </c>
      <c r="P23" s="3">
        <v>11466.28</v>
      </c>
      <c r="Q23" s="5">
        <f>SUM(L23:P23)</f>
        <v>68354.64</v>
      </c>
    </row>
    <row r="24" spans="3:17" ht="15">
      <c r="C24" s="1" t="s">
        <v>7</v>
      </c>
      <c r="D24" s="3">
        <v>2.89</v>
      </c>
      <c r="E24" s="3">
        <v>0.15</v>
      </c>
      <c r="F24" s="3">
        <v>2.59</v>
      </c>
      <c r="G24" s="3">
        <v>8340.9599999999991</v>
      </c>
      <c r="H24" s="3">
        <v>3453.8</v>
      </c>
      <c r="I24" s="6"/>
      <c r="K24" s="1" t="s">
        <v>7</v>
      </c>
      <c r="L24" s="3">
        <v>7.92</v>
      </c>
      <c r="M24" s="3">
        <v>0.2</v>
      </c>
      <c r="N24" s="3">
        <v>0</v>
      </c>
      <c r="O24" s="3">
        <v>58714.62</v>
      </c>
      <c r="P24" s="3">
        <v>9286.7000000000007</v>
      </c>
    </row>
    <row r="25" spans="3:17" ht="15" customHeight="1">
      <c r="C25" s="1" t="s">
        <v>8</v>
      </c>
      <c r="D25" s="3">
        <v>1.2</v>
      </c>
      <c r="E25" s="3">
        <v>0</v>
      </c>
      <c r="F25" s="3">
        <v>4.03</v>
      </c>
      <c r="G25" s="3">
        <v>8445.24</v>
      </c>
      <c r="H25" s="3">
        <v>3302.95</v>
      </c>
      <c r="I25" s="6"/>
      <c r="K25" s="1" t="s">
        <v>8</v>
      </c>
      <c r="L25" s="3">
        <v>3.26</v>
      </c>
      <c r="M25" s="3">
        <v>0</v>
      </c>
      <c r="N25" s="3">
        <v>0</v>
      </c>
      <c r="O25" s="3">
        <v>59094.59</v>
      </c>
      <c r="P25" s="3">
        <v>8879.56</v>
      </c>
    </row>
    <row r="26" spans="3:17" ht="15" customHeight="1">
      <c r="C26" s="1" t="s">
        <v>9</v>
      </c>
      <c r="D26" s="3">
        <v>2.64</v>
      </c>
      <c r="E26" s="3">
        <v>0</v>
      </c>
      <c r="F26" s="3">
        <v>3.46</v>
      </c>
      <c r="G26" s="3">
        <v>8369.58</v>
      </c>
      <c r="H26" s="3">
        <v>3373.68</v>
      </c>
      <c r="I26" s="6"/>
      <c r="K26" s="1" t="s">
        <v>9</v>
      </c>
      <c r="L26" s="3">
        <v>8.56</v>
      </c>
      <c r="M26" s="3">
        <v>0</v>
      </c>
      <c r="N26" s="3">
        <v>0</v>
      </c>
      <c r="O26" s="3">
        <v>58737.89</v>
      </c>
      <c r="P26" s="3">
        <v>9062.3799999999992</v>
      </c>
    </row>
    <row r="27" spans="3:17" ht="15" customHeight="1">
      <c r="C27" s="1" t="s">
        <v>10</v>
      </c>
      <c r="D27" s="3">
        <v>1.41</v>
      </c>
      <c r="E27" s="3">
        <v>0</v>
      </c>
      <c r="F27" s="3">
        <v>4.32</v>
      </c>
      <c r="G27" s="3">
        <v>8352.6200000000008</v>
      </c>
      <c r="H27" s="3">
        <v>3339.8</v>
      </c>
      <c r="I27" s="6"/>
      <c r="K27" s="1" t="s">
        <v>10</v>
      </c>
      <c r="L27" s="3">
        <v>3.94</v>
      </c>
      <c r="M27" s="3">
        <v>0</v>
      </c>
      <c r="N27" s="3">
        <v>0</v>
      </c>
      <c r="O27" s="3">
        <v>58445.08</v>
      </c>
      <c r="P27" s="3">
        <v>8967.92</v>
      </c>
    </row>
    <row r="28" spans="3:17" ht="15">
      <c r="C28" s="1" t="s">
        <v>11</v>
      </c>
      <c r="D28" s="3">
        <v>0.17</v>
      </c>
      <c r="E28" s="3">
        <v>0</v>
      </c>
      <c r="F28" s="3">
        <v>1.74</v>
      </c>
      <c r="G28" s="3">
        <v>8112.63</v>
      </c>
      <c r="H28" s="3">
        <v>3461.29</v>
      </c>
      <c r="I28" s="6"/>
      <c r="K28" s="1" t="s">
        <v>11</v>
      </c>
      <c r="L28" s="3">
        <v>0.5</v>
      </c>
      <c r="M28" s="3">
        <v>0</v>
      </c>
      <c r="N28" s="3">
        <v>0</v>
      </c>
      <c r="O28" s="3">
        <v>57578.83</v>
      </c>
      <c r="P28" s="3">
        <v>9293.6299999999992</v>
      </c>
    </row>
    <row r="29" spans="3:17" ht="15">
      <c r="C29" s="1" t="s">
        <v>12</v>
      </c>
      <c r="D29" s="3">
        <v>0</v>
      </c>
      <c r="E29" s="3">
        <v>0</v>
      </c>
      <c r="F29" s="3">
        <v>2.88</v>
      </c>
      <c r="G29" s="3">
        <v>8020.02</v>
      </c>
      <c r="H29" s="3">
        <v>3345.74</v>
      </c>
      <c r="I29" s="6"/>
      <c r="K29" s="1" t="s">
        <v>12</v>
      </c>
      <c r="L29" s="3">
        <v>0</v>
      </c>
      <c r="M29" s="3">
        <v>0</v>
      </c>
      <c r="N29" s="3">
        <v>0</v>
      </c>
      <c r="O29" s="3">
        <v>57086.64</v>
      </c>
      <c r="P29" s="3">
        <v>8979.3700000000008</v>
      </c>
    </row>
    <row r="30" spans="3:17" ht="15">
      <c r="C30" s="1" t="s">
        <v>46</v>
      </c>
      <c r="D30" s="6">
        <f>SUM(D23:D29)</f>
        <v>9.89</v>
      </c>
      <c r="E30" s="6">
        <f>SUM(E23:E29)</f>
        <v>0.15</v>
      </c>
      <c r="F30" s="6">
        <f>SUM(F23:F29)</f>
        <v>22.2</v>
      </c>
      <c r="G30" s="6">
        <f>SUM(G23:G29)</f>
        <v>57733.84</v>
      </c>
      <c r="H30" s="6">
        <f>SUM(H23:H29)</f>
        <v>24567.58</v>
      </c>
      <c r="I30" s="6"/>
      <c r="L30" s="5">
        <f>SUM(L23:L29)</f>
        <v>25.23</v>
      </c>
      <c r="M30" s="5">
        <f>SUM(M23:M29)</f>
        <v>0.2</v>
      </c>
      <c r="N30" s="5">
        <f>SUM(N23:N29)</f>
        <v>0</v>
      </c>
      <c r="O30" s="5">
        <f>SUM(O23:O29)</f>
        <v>406544.96</v>
      </c>
      <c r="P30" s="5">
        <f>SUM(P23:P29)</f>
        <v>65935.839999999997</v>
      </c>
    </row>
    <row r="31" spans="3:17" ht="15">
      <c r="C31" s="1" t="s">
        <v>47</v>
      </c>
      <c r="D31" s="6">
        <f>D30*'מחירי דלקים '!$D$6/1000</f>
        <v>85.618471750000012</v>
      </c>
      <c r="E31" s="6">
        <f>E30*'מחירי דלקים '!$D$6/1000</f>
        <v>1.2985612499999999</v>
      </c>
      <c r="F31" s="6"/>
      <c r="G31" s="6">
        <f>G30*'מחירי דלקים '!$D$5/1000</f>
        <v>67008.43957242374</v>
      </c>
      <c r="H31" s="6">
        <f>H30*'מחירי דלקים '!$D$4/1000</f>
        <v>15701.086812236852</v>
      </c>
      <c r="I31" s="6">
        <f>SUM(D31:H31)</f>
        <v>82796.443417660601</v>
      </c>
      <c r="M31" s="5"/>
      <c r="N31" s="5"/>
      <c r="O31" s="5"/>
      <c r="P31" s="5"/>
      <c r="Q31" s="5"/>
    </row>
    <row r="32" spans="3:17" ht="15">
      <c r="C32" s="1" t="s">
        <v>48</v>
      </c>
      <c r="D32" s="6">
        <f>D31</f>
        <v>85.618471750000012</v>
      </c>
      <c r="E32" s="6">
        <f>E31</f>
        <v>1.2985612499999999</v>
      </c>
      <c r="F32" s="6">
        <f>F31</f>
        <v>0</v>
      </c>
      <c r="G32" s="6">
        <f>G31</f>
        <v>67008.43957242374</v>
      </c>
      <c r="H32" s="6">
        <f>H30*'מחירי דלקים '!$E$4/1000</f>
        <v>9999.0050600000013</v>
      </c>
      <c r="I32" s="6">
        <f>SUM(D32:H32)</f>
        <v>77094.361665423741</v>
      </c>
      <c r="M32" s="5"/>
      <c r="N32" s="5"/>
      <c r="O32" s="5"/>
      <c r="P32" s="5"/>
      <c r="Q32" s="5"/>
    </row>
    <row r="33" spans="3:17" ht="15">
      <c r="C33" s="1" t="s">
        <v>51</v>
      </c>
      <c r="D33" s="6">
        <f>D32</f>
        <v>85.618471750000012</v>
      </c>
      <c r="E33" s="6"/>
      <c r="F33" s="6"/>
      <c r="G33" s="6">
        <f>G31+(G30-$G$30)*('מחירי דלקים '!$D$7-'מחירי דלקים '!$D$5)/1000</f>
        <v>67008.43957242374</v>
      </c>
      <c r="H33" s="6">
        <f>H32</f>
        <v>9999.0050600000013</v>
      </c>
      <c r="I33" s="6">
        <f>SUM(D33:H33)</f>
        <v>77093.063104173736</v>
      </c>
      <c r="M33" s="5"/>
      <c r="N33" s="5"/>
      <c r="O33" s="5"/>
      <c r="P33" s="5"/>
      <c r="Q33" s="5"/>
    </row>
    <row r="34" spans="3:17" ht="15">
      <c r="C34" s="12" t="s">
        <v>22</v>
      </c>
      <c r="D34" s="6"/>
      <c r="E34" s="6"/>
      <c r="F34" s="6"/>
      <c r="G34" s="6"/>
      <c r="H34" s="6"/>
      <c r="I34" s="6"/>
    </row>
    <row r="35" spans="3:17">
      <c r="D35" s="6"/>
      <c r="E35" s="6"/>
      <c r="F35" s="6"/>
      <c r="G35" s="6"/>
      <c r="H35" s="6"/>
      <c r="I35" s="6"/>
    </row>
    <row r="36" spans="3:17">
      <c r="C36" t="s">
        <v>4</v>
      </c>
      <c r="D36" s="6"/>
      <c r="E36" s="6"/>
      <c r="F36" s="6"/>
      <c r="G36" s="6"/>
      <c r="H36" s="6"/>
      <c r="I36" s="6"/>
      <c r="L36" t="s">
        <v>4</v>
      </c>
    </row>
    <row r="37" spans="3:17" ht="45">
      <c r="C37" s="1"/>
      <c r="D37" s="11" t="s">
        <v>14</v>
      </c>
      <c r="E37" s="11" t="s">
        <v>15</v>
      </c>
      <c r="F37" s="11" t="s">
        <v>5</v>
      </c>
      <c r="G37" s="11" t="s">
        <v>2</v>
      </c>
      <c r="H37" s="11" t="s">
        <v>0</v>
      </c>
      <c r="I37" s="6"/>
      <c r="L37" s="1" t="s">
        <v>14</v>
      </c>
      <c r="M37" s="1" t="s">
        <v>15</v>
      </c>
      <c r="N37" s="1" t="s">
        <v>5</v>
      </c>
      <c r="O37" s="1" t="s">
        <v>2</v>
      </c>
      <c r="P37" s="1" t="s">
        <v>0</v>
      </c>
    </row>
    <row r="38" spans="3:17" ht="15">
      <c r="C38" s="1" t="s">
        <v>6</v>
      </c>
      <c r="D38" s="3">
        <v>2.58</v>
      </c>
      <c r="E38" s="3">
        <v>0</v>
      </c>
      <c r="F38" s="3">
        <v>1.1599999999999999</v>
      </c>
      <c r="G38" s="3">
        <v>9020.98</v>
      </c>
      <c r="H38" s="3">
        <v>1875.58</v>
      </c>
      <c r="I38" s="6"/>
      <c r="K38" s="1" t="s">
        <v>6</v>
      </c>
      <c r="L38" s="3">
        <v>3.79</v>
      </c>
      <c r="M38" s="3">
        <v>0</v>
      </c>
      <c r="N38" s="3">
        <v>0</v>
      </c>
      <c r="O38" s="3">
        <v>63419.76</v>
      </c>
      <c r="P38" s="3">
        <v>4960.8999999999996</v>
      </c>
    </row>
    <row r="39" spans="3:17" ht="15">
      <c r="C39" s="1" t="s">
        <v>7</v>
      </c>
      <c r="D39" s="3">
        <v>6.03</v>
      </c>
      <c r="E39" s="3">
        <v>0.37</v>
      </c>
      <c r="F39" s="3">
        <v>2.02</v>
      </c>
      <c r="G39" s="3">
        <v>9293.2099999999991</v>
      </c>
      <c r="H39" s="3">
        <v>966.06</v>
      </c>
      <c r="I39" s="6"/>
      <c r="K39" s="1" t="s">
        <v>7</v>
      </c>
      <c r="L39" s="3">
        <v>17.29</v>
      </c>
      <c r="M39" s="3">
        <v>0.5</v>
      </c>
      <c r="N39" s="3">
        <v>0</v>
      </c>
      <c r="O39" s="3">
        <v>65449.26</v>
      </c>
      <c r="P39" s="3">
        <v>2573.12</v>
      </c>
    </row>
    <row r="40" spans="3:17" ht="15">
      <c r="C40" s="1" t="s">
        <v>8</v>
      </c>
      <c r="D40" s="3">
        <v>5.97</v>
      </c>
      <c r="E40" s="3">
        <v>0.05</v>
      </c>
      <c r="F40" s="3">
        <v>2.2999999999999998</v>
      </c>
      <c r="G40" s="3">
        <v>9356.69</v>
      </c>
      <c r="H40" s="3">
        <v>946.17</v>
      </c>
      <c r="I40" s="6"/>
      <c r="K40" s="1" t="s">
        <v>8</v>
      </c>
      <c r="L40" s="3">
        <v>16.059999999999999</v>
      </c>
      <c r="M40" s="3">
        <v>0.06</v>
      </c>
      <c r="N40" s="3">
        <v>0</v>
      </c>
      <c r="O40" s="3">
        <v>65447.16</v>
      </c>
      <c r="P40" s="3">
        <v>2517.94</v>
      </c>
    </row>
    <row r="41" spans="3:17" ht="15">
      <c r="C41" s="1" t="s">
        <v>9</v>
      </c>
      <c r="D41" s="3">
        <v>6.31</v>
      </c>
      <c r="E41" s="3">
        <v>0.3</v>
      </c>
      <c r="F41" s="3">
        <v>2.2999999999999998</v>
      </c>
      <c r="G41" s="3">
        <v>9278.65</v>
      </c>
      <c r="H41" s="3">
        <v>944.17</v>
      </c>
      <c r="I41" s="6"/>
      <c r="K41" s="1" t="s">
        <v>9</v>
      </c>
      <c r="L41" s="3">
        <v>19.61</v>
      </c>
      <c r="M41" s="3">
        <v>0.39</v>
      </c>
      <c r="N41" s="3">
        <v>0</v>
      </c>
      <c r="O41" s="3">
        <v>65277.41</v>
      </c>
      <c r="P41" s="3">
        <v>2511.9899999999998</v>
      </c>
    </row>
    <row r="42" spans="3:17" ht="15">
      <c r="C42" s="1" t="s">
        <v>10</v>
      </c>
      <c r="D42" s="3">
        <v>4.92</v>
      </c>
      <c r="E42" s="3">
        <v>0.11</v>
      </c>
      <c r="F42" s="3">
        <v>2.02</v>
      </c>
      <c r="G42" s="3">
        <v>9230.65</v>
      </c>
      <c r="H42" s="3">
        <v>973.37</v>
      </c>
      <c r="I42" s="6"/>
      <c r="K42" s="1" t="s">
        <v>10</v>
      </c>
      <c r="L42" s="3">
        <v>13.69</v>
      </c>
      <c r="M42" s="3">
        <v>0.15</v>
      </c>
      <c r="N42" s="3">
        <v>0</v>
      </c>
      <c r="O42" s="3">
        <v>64791.4</v>
      </c>
      <c r="P42" s="3">
        <v>2589.54</v>
      </c>
    </row>
    <row r="43" spans="3:17" ht="15">
      <c r="C43" s="1" t="s">
        <v>11</v>
      </c>
      <c r="D43" s="3">
        <v>7.12</v>
      </c>
      <c r="E43" s="3">
        <v>0.24</v>
      </c>
      <c r="F43" s="3">
        <v>0</v>
      </c>
      <c r="G43" s="3">
        <v>9343.16</v>
      </c>
      <c r="H43" s="3">
        <v>0</v>
      </c>
      <c r="I43" s="6"/>
      <c r="K43" s="1" t="s">
        <v>11</v>
      </c>
      <c r="L43" s="3">
        <v>19.71</v>
      </c>
      <c r="M43" s="3">
        <v>0.32</v>
      </c>
      <c r="N43" s="3">
        <v>0</v>
      </c>
      <c r="O43" s="3">
        <v>66783.59</v>
      </c>
      <c r="P43" s="3">
        <v>0</v>
      </c>
    </row>
    <row r="44" spans="3:17" ht="15">
      <c r="C44" s="1" t="s">
        <v>12</v>
      </c>
      <c r="D44" s="3">
        <v>4.4800000000000004</v>
      </c>
      <c r="E44" s="3">
        <v>0.09</v>
      </c>
      <c r="F44" s="3">
        <v>0</v>
      </c>
      <c r="G44" s="3">
        <v>9174.9</v>
      </c>
      <c r="H44" s="3">
        <v>0</v>
      </c>
      <c r="I44" s="6"/>
      <c r="K44" s="1" t="s">
        <v>12</v>
      </c>
      <c r="L44" s="3">
        <v>13.02</v>
      </c>
      <c r="M44" s="3">
        <v>0.13</v>
      </c>
      <c r="N44" s="3">
        <v>0</v>
      </c>
      <c r="O44" s="3">
        <v>65909.789999999994</v>
      </c>
      <c r="P44" s="3">
        <v>0</v>
      </c>
    </row>
    <row r="45" spans="3:17" ht="15">
      <c r="C45" s="1" t="s">
        <v>46</v>
      </c>
      <c r="D45" s="6">
        <f>SUM(D38:D44)</f>
        <v>37.409999999999997</v>
      </c>
      <c r="E45" s="6">
        <f>SUM(E38:E44)</f>
        <v>1.1599999999999999</v>
      </c>
      <c r="F45" s="6">
        <f>SUM(F38:F44)</f>
        <v>9.7999999999999989</v>
      </c>
      <c r="G45" s="6">
        <f>SUM(G38:G44)</f>
        <v>64698.239999999998</v>
      </c>
      <c r="H45" s="6">
        <f>SUM(H38:H44)</f>
        <v>5705.3499999999995</v>
      </c>
      <c r="I45" s="6"/>
      <c r="L45" s="6">
        <f>SUM(L38:L44)</f>
        <v>103.17</v>
      </c>
      <c r="M45" s="6">
        <f>SUM(M38:M44)</f>
        <v>1.5500000000000003</v>
      </c>
      <c r="N45" s="6">
        <f>SUM(N38:N44)</f>
        <v>0</v>
      </c>
      <c r="O45" s="6">
        <f>SUM(O38:O44)</f>
        <v>457078.36999999994</v>
      </c>
      <c r="P45" s="6">
        <f>SUM(P38:P44)</f>
        <v>15153.489999999998</v>
      </c>
      <c r="Q45" s="7">
        <f>P45/P30</f>
        <v>0.22982174792950236</v>
      </c>
    </row>
    <row r="46" spans="3:17" ht="15">
      <c r="C46" s="1" t="s">
        <v>47</v>
      </c>
      <c r="D46" s="6">
        <f>D45*'מחירי דלקים '!$D$6/1000</f>
        <v>323.86117574999997</v>
      </c>
      <c r="E46" s="6">
        <f>E45*'מחירי דלקים '!$D$6/1000</f>
        <v>10.042207000000001</v>
      </c>
      <c r="F46" s="6"/>
      <c r="G46" s="6">
        <f>G45*'מחירי דלקים '!$D$5/1000</f>
        <v>75091.62919844182</v>
      </c>
      <c r="H46" s="6">
        <f>H45*'מחירי דלקים '!$D$4/1000</f>
        <v>3646.2767453772617</v>
      </c>
      <c r="I46" s="6">
        <f>SUM(D46:H46)</f>
        <v>79071.809326569084</v>
      </c>
      <c r="L46" s="6"/>
      <c r="M46" s="6"/>
      <c r="N46" s="6"/>
      <c r="O46" s="6"/>
      <c r="P46" s="6"/>
    </row>
    <row r="47" spans="3:17" ht="15">
      <c r="C47" s="1" t="s">
        <v>48</v>
      </c>
      <c r="D47" s="6">
        <f>D46</f>
        <v>323.86117574999997</v>
      </c>
      <c r="E47" s="6">
        <f>E46</f>
        <v>10.042207000000001</v>
      </c>
      <c r="F47" s="6">
        <f>F46</f>
        <v>0</v>
      </c>
      <c r="G47" s="6">
        <f>G46</f>
        <v>75091.62919844182</v>
      </c>
      <c r="H47" s="6">
        <f>H45*'מחירי דלקים '!$E$4/1000</f>
        <v>2322.0774499999998</v>
      </c>
      <c r="I47" s="6">
        <f>SUM(D47:H47)</f>
        <v>77747.610031191813</v>
      </c>
    </row>
    <row r="48" spans="3:17" ht="15">
      <c r="C48" s="1" t="s">
        <v>51</v>
      </c>
      <c r="D48" s="6">
        <f>D47</f>
        <v>323.86117574999997</v>
      </c>
      <c r="E48" s="6"/>
      <c r="F48" s="6"/>
      <c r="G48" s="6">
        <f>G46+(G45-$G$30)*('מחירי דלקים '!$D$7-'מחירי דלקים '!$D$5)/1000</f>
        <v>78684.157921116523</v>
      </c>
      <c r="H48" s="6">
        <f>H47</f>
        <v>2322.0774499999998</v>
      </c>
      <c r="I48" s="6">
        <f>SUM(D48:H48)</f>
        <v>81330.096546866524</v>
      </c>
    </row>
    <row r="59" spans="2:5" ht="90">
      <c r="C59" s="1" t="s">
        <v>52</v>
      </c>
      <c r="D59" s="1" t="s">
        <v>53</v>
      </c>
      <c r="E59" s="1" t="s">
        <v>51</v>
      </c>
    </row>
    <row r="60" spans="2:5" ht="30">
      <c r="B60" s="1" t="s">
        <v>55</v>
      </c>
      <c r="C60" s="5">
        <f>+I16</f>
        <v>80788.527184701248</v>
      </c>
      <c r="D60" s="5">
        <f>+I17</f>
        <v>80137.072703511163</v>
      </c>
      <c r="E60" s="5">
        <f>+I18</f>
        <v>85366.071075216678</v>
      </c>
    </row>
    <row r="61" spans="2:5" ht="15">
      <c r="B61" s="1" t="s">
        <v>56</v>
      </c>
      <c r="C61" s="5">
        <f>+I31</f>
        <v>82796.443417660601</v>
      </c>
      <c r="D61" s="5">
        <f>+I32</f>
        <v>77094.361665423741</v>
      </c>
      <c r="E61" s="5">
        <f>+I33</f>
        <v>77093.063104173736</v>
      </c>
    </row>
    <row r="62" spans="2:5" ht="15">
      <c r="B62" s="1" t="s">
        <v>57</v>
      </c>
      <c r="C62" s="5">
        <f>+I46</f>
        <v>79071.809326569084</v>
      </c>
      <c r="D62" s="5">
        <f>+I47</f>
        <v>77747.610031191813</v>
      </c>
      <c r="E62" s="5">
        <f>+I48</f>
        <v>81330.096546866524</v>
      </c>
    </row>
  </sheetData>
  <mergeCells count="3">
    <mergeCell ref="C5:C7"/>
    <mergeCell ref="L7:N7"/>
    <mergeCell ref="D7:F7"/>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P3"/>
  <sheetViews>
    <sheetView rightToLeft="1" workbookViewId="0">
      <selection activeCell="P30" sqref="P30"/>
    </sheetView>
  </sheetViews>
  <sheetFormatPr defaultRowHeight="14.25"/>
  <sheetData>
    <row r="2" spans="3:16" ht="15">
      <c r="C2" s="151" t="s">
        <v>364</v>
      </c>
    </row>
    <row r="3" spans="3:16" ht="15">
      <c r="P3" s="151" t="s">
        <v>365</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90"/>
  <sheetViews>
    <sheetView rightToLeft="1" topLeftCell="A61" workbookViewId="0">
      <selection activeCell="M15" sqref="M15"/>
    </sheetView>
  </sheetViews>
  <sheetFormatPr defaultRowHeight="14.25"/>
  <sheetData>
    <row r="2" spans="2:23">
      <c r="B2" t="s">
        <v>178</v>
      </c>
    </row>
    <row r="3" spans="2:23" ht="15" customHeight="1">
      <c r="B3" s="247"/>
      <c r="C3" s="247" t="s">
        <v>2</v>
      </c>
      <c r="D3" s="247"/>
      <c r="E3" s="247"/>
      <c r="F3" s="247"/>
      <c r="G3" s="247"/>
      <c r="H3" s="247"/>
      <c r="I3" s="247" t="s">
        <v>0</v>
      </c>
      <c r="J3" s="247"/>
      <c r="K3" s="247"/>
      <c r="L3" s="247"/>
      <c r="M3" s="247"/>
      <c r="N3" s="247"/>
      <c r="O3" s="247"/>
      <c r="P3" s="247"/>
      <c r="Q3" s="247"/>
      <c r="R3" s="247"/>
      <c r="S3" s="247"/>
      <c r="T3" s="247"/>
      <c r="U3" s="247"/>
      <c r="V3" s="247"/>
      <c r="W3" s="247"/>
    </row>
    <row r="4" spans="2:23" ht="15" customHeight="1">
      <c r="B4" s="247"/>
      <c r="C4" s="247" t="s">
        <v>3</v>
      </c>
      <c r="D4" s="247"/>
      <c r="E4" s="247"/>
      <c r="F4" s="247"/>
      <c r="G4" s="247"/>
      <c r="H4" s="247"/>
      <c r="I4" s="247" t="s">
        <v>58</v>
      </c>
      <c r="J4" s="247"/>
      <c r="K4" s="247"/>
      <c r="L4" s="247"/>
      <c r="M4" s="247" t="s">
        <v>179</v>
      </c>
      <c r="N4" s="247"/>
      <c r="O4" s="247"/>
      <c r="P4" s="247"/>
      <c r="Q4" s="247" t="s">
        <v>59</v>
      </c>
      <c r="R4" s="247"/>
      <c r="S4" s="247" t="s">
        <v>180</v>
      </c>
      <c r="T4" s="247"/>
      <c r="U4" s="247"/>
      <c r="V4" s="247"/>
      <c r="W4" s="247"/>
    </row>
    <row r="5" spans="2:23" ht="15" customHeight="1">
      <c r="B5" s="247"/>
      <c r="C5" s="247" t="s">
        <v>60</v>
      </c>
      <c r="D5" s="247"/>
      <c r="E5" s="247"/>
      <c r="F5" s="247"/>
      <c r="G5" s="247"/>
      <c r="H5" s="247"/>
      <c r="I5" s="247" t="s">
        <v>60</v>
      </c>
      <c r="J5" s="247"/>
      <c r="K5" s="247"/>
      <c r="L5" s="247"/>
      <c r="M5" s="247" t="s">
        <v>60</v>
      </c>
      <c r="N5" s="247"/>
      <c r="O5" s="247"/>
      <c r="P5" s="247"/>
      <c r="Q5" s="247" t="s">
        <v>60</v>
      </c>
      <c r="R5" s="247"/>
      <c r="S5" s="247" t="s">
        <v>60</v>
      </c>
      <c r="T5" s="247"/>
      <c r="U5" s="247"/>
      <c r="V5" s="247"/>
      <c r="W5" s="247"/>
    </row>
    <row r="6" spans="2:23" ht="30">
      <c r="B6" s="247"/>
      <c r="C6" s="1" t="s">
        <v>61</v>
      </c>
      <c r="D6" s="1" t="s">
        <v>62</v>
      </c>
      <c r="E6" s="1" t="s">
        <v>63</v>
      </c>
      <c r="F6" s="1" t="s">
        <v>64</v>
      </c>
      <c r="G6" s="1" t="s">
        <v>65</v>
      </c>
      <c r="H6" s="1" t="s">
        <v>66</v>
      </c>
      <c r="I6" s="1" t="s">
        <v>61</v>
      </c>
      <c r="J6" s="1" t="s">
        <v>62</v>
      </c>
      <c r="K6" s="1" t="s">
        <v>63</v>
      </c>
      <c r="L6" s="1" t="s">
        <v>64</v>
      </c>
      <c r="M6" s="1" t="s">
        <v>61</v>
      </c>
      <c r="N6" s="1" t="s">
        <v>62</v>
      </c>
      <c r="O6" s="1" t="s">
        <v>63</v>
      </c>
      <c r="P6" s="1" t="s">
        <v>64</v>
      </c>
      <c r="Q6" s="1" t="s">
        <v>65</v>
      </c>
      <c r="R6" s="1" t="s">
        <v>66</v>
      </c>
      <c r="S6" s="1" t="s">
        <v>181</v>
      </c>
      <c r="T6" s="1" t="s">
        <v>182</v>
      </c>
      <c r="U6" s="1" t="s">
        <v>183</v>
      </c>
      <c r="V6" s="1" t="s">
        <v>184</v>
      </c>
      <c r="W6" s="1" t="s">
        <v>1</v>
      </c>
    </row>
    <row r="7" spans="2:23" ht="30">
      <c r="B7" s="1" t="s">
        <v>67</v>
      </c>
      <c r="C7" s="2">
        <v>0</v>
      </c>
      <c r="D7" s="2">
        <v>0</v>
      </c>
      <c r="E7" s="2">
        <v>0</v>
      </c>
      <c r="F7" s="2">
        <v>239.78</v>
      </c>
      <c r="G7" s="2">
        <v>0</v>
      </c>
      <c r="H7" s="2">
        <v>0</v>
      </c>
      <c r="I7" s="2">
        <v>223.81</v>
      </c>
      <c r="J7" s="2">
        <v>223.51</v>
      </c>
      <c r="K7" s="2">
        <v>223.09</v>
      </c>
      <c r="L7" s="2">
        <v>0</v>
      </c>
      <c r="M7" s="2">
        <v>0</v>
      </c>
      <c r="N7" s="2">
        <v>0</v>
      </c>
      <c r="O7" s="2">
        <v>0</v>
      </c>
      <c r="P7" s="2">
        <v>0</v>
      </c>
      <c r="Q7" s="2">
        <v>223.85</v>
      </c>
      <c r="R7" s="2">
        <v>172.07</v>
      </c>
      <c r="S7" s="2">
        <v>125.7</v>
      </c>
      <c r="T7" s="2">
        <v>161.37</v>
      </c>
      <c r="U7" s="2">
        <v>0</v>
      </c>
      <c r="V7" s="2">
        <v>0</v>
      </c>
      <c r="W7" s="2">
        <v>287.07</v>
      </c>
    </row>
    <row r="8" spans="2:23" ht="30">
      <c r="B8" s="1" t="s">
        <v>68</v>
      </c>
      <c r="C8" s="2">
        <v>0</v>
      </c>
      <c r="D8" s="2">
        <v>0</v>
      </c>
      <c r="E8" s="2">
        <v>0</v>
      </c>
      <c r="F8" s="2">
        <v>198.47</v>
      </c>
      <c r="G8" s="2">
        <v>0</v>
      </c>
      <c r="H8" s="2">
        <v>0</v>
      </c>
      <c r="I8" s="2">
        <v>207.42</v>
      </c>
      <c r="J8" s="2">
        <v>207.34</v>
      </c>
      <c r="K8" s="2">
        <v>205.93</v>
      </c>
      <c r="L8" s="2">
        <v>0</v>
      </c>
      <c r="M8" s="2">
        <v>0</v>
      </c>
      <c r="N8" s="2">
        <v>0</v>
      </c>
      <c r="O8" s="2">
        <v>0</v>
      </c>
      <c r="P8" s="2">
        <v>0</v>
      </c>
      <c r="Q8" s="2">
        <v>205.57</v>
      </c>
      <c r="R8" s="2">
        <v>205.56</v>
      </c>
      <c r="S8" s="2">
        <v>148.53</v>
      </c>
      <c r="T8" s="2">
        <v>148.55000000000001</v>
      </c>
      <c r="U8" s="2">
        <v>0</v>
      </c>
      <c r="V8" s="2">
        <v>0</v>
      </c>
      <c r="W8" s="2">
        <v>297.08</v>
      </c>
    </row>
    <row r="9" spans="2:23" ht="30">
      <c r="B9" s="1" t="s">
        <v>69</v>
      </c>
      <c r="C9" s="2">
        <v>0</v>
      </c>
      <c r="D9" s="2">
        <v>0</v>
      </c>
      <c r="E9" s="2">
        <v>0</v>
      </c>
      <c r="F9" s="2">
        <v>0</v>
      </c>
      <c r="G9" s="2">
        <v>0</v>
      </c>
      <c r="H9" s="2">
        <v>0</v>
      </c>
      <c r="I9" s="2">
        <v>0</v>
      </c>
      <c r="J9" s="2">
        <v>0</v>
      </c>
      <c r="K9" s="2">
        <v>0</v>
      </c>
      <c r="L9" s="2">
        <v>0</v>
      </c>
      <c r="M9" s="2">
        <v>0</v>
      </c>
      <c r="N9" s="2">
        <v>0</v>
      </c>
      <c r="O9" s="2">
        <v>0</v>
      </c>
      <c r="P9" s="2">
        <v>0</v>
      </c>
      <c r="Q9" s="2">
        <v>0</v>
      </c>
      <c r="R9" s="2">
        <v>0</v>
      </c>
      <c r="S9" s="2">
        <v>123.3</v>
      </c>
      <c r="T9" s="2">
        <v>159.03</v>
      </c>
      <c r="U9" s="2">
        <v>0</v>
      </c>
      <c r="V9" s="2">
        <v>0</v>
      </c>
      <c r="W9" s="2">
        <v>282.33</v>
      </c>
    </row>
    <row r="10" spans="2:23" ht="30">
      <c r="B10" s="1" t="s">
        <v>70</v>
      </c>
      <c r="C10" s="2">
        <v>0</v>
      </c>
      <c r="D10" s="2">
        <v>0</v>
      </c>
      <c r="E10" s="2">
        <v>0</v>
      </c>
      <c r="F10" s="2">
        <v>0</v>
      </c>
      <c r="G10" s="2">
        <v>0</v>
      </c>
      <c r="H10" s="2">
        <v>0</v>
      </c>
      <c r="I10" s="2">
        <v>0</v>
      </c>
      <c r="J10" s="2">
        <v>0</v>
      </c>
      <c r="K10" s="2">
        <v>0</v>
      </c>
      <c r="L10" s="2">
        <v>0</v>
      </c>
      <c r="M10" s="2">
        <v>0</v>
      </c>
      <c r="N10" s="2">
        <v>0</v>
      </c>
      <c r="O10" s="2">
        <v>0</v>
      </c>
      <c r="P10" s="2">
        <v>0</v>
      </c>
      <c r="Q10" s="2">
        <v>0</v>
      </c>
      <c r="R10" s="2">
        <v>0</v>
      </c>
      <c r="S10" s="2">
        <v>137.83000000000001</v>
      </c>
      <c r="T10" s="2">
        <v>117.22</v>
      </c>
      <c r="U10" s="2">
        <v>0</v>
      </c>
      <c r="V10" s="2">
        <v>0</v>
      </c>
      <c r="W10" s="2">
        <v>255.05</v>
      </c>
    </row>
    <row r="11" spans="2:23" ht="30">
      <c r="B11" s="1" t="s">
        <v>71</v>
      </c>
      <c r="C11" s="2">
        <v>0</v>
      </c>
      <c r="D11" s="2">
        <v>0</v>
      </c>
      <c r="E11" s="2">
        <v>0</v>
      </c>
      <c r="F11" s="2">
        <v>0</v>
      </c>
      <c r="G11" s="2">
        <v>0</v>
      </c>
      <c r="H11" s="2">
        <v>0</v>
      </c>
      <c r="I11" s="2">
        <v>0</v>
      </c>
      <c r="J11" s="2">
        <v>0</v>
      </c>
      <c r="K11" s="2">
        <v>0</v>
      </c>
      <c r="L11" s="2">
        <v>0</v>
      </c>
      <c r="M11" s="2">
        <v>0</v>
      </c>
      <c r="N11" s="2">
        <v>0</v>
      </c>
      <c r="O11" s="2">
        <v>0</v>
      </c>
      <c r="P11" s="2">
        <v>0</v>
      </c>
      <c r="Q11" s="2">
        <v>0</v>
      </c>
      <c r="R11" s="2">
        <v>0</v>
      </c>
      <c r="S11" s="2">
        <v>137.94</v>
      </c>
      <c r="T11" s="2">
        <v>158.38999999999999</v>
      </c>
      <c r="U11" s="2">
        <v>0</v>
      </c>
      <c r="V11" s="2">
        <v>0</v>
      </c>
      <c r="W11" s="2">
        <v>296.33</v>
      </c>
    </row>
    <row r="12" spans="2:23" ht="30">
      <c r="B12" s="1" t="s">
        <v>72</v>
      </c>
      <c r="C12" s="2">
        <v>0</v>
      </c>
      <c r="D12" s="2">
        <v>0</v>
      </c>
      <c r="E12" s="2">
        <v>0</v>
      </c>
      <c r="F12" s="2">
        <v>0</v>
      </c>
      <c r="G12" s="2">
        <v>0</v>
      </c>
      <c r="H12" s="2">
        <v>0</v>
      </c>
      <c r="I12" s="2">
        <v>0</v>
      </c>
      <c r="J12" s="2">
        <v>0</v>
      </c>
      <c r="K12" s="2">
        <v>0</v>
      </c>
      <c r="L12" s="2">
        <v>0</v>
      </c>
      <c r="M12" s="2">
        <v>0</v>
      </c>
      <c r="N12" s="2">
        <v>0</v>
      </c>
      <c r="O12" s="2">
        <v>0</v>
      </c>
      <c r="P12" s="2">
        <v>0</v>
      </c>
      <c r="Q12" s="2">
        <v>0</v>
      </c>
      <c r="R12" s="2">
        <v>0</v>
      </c>
      <c r="S12" s="2">
        <v>154.94</v>
      </c>
      <c r="T12" s="2">
        <v>154.61000000000001</v>
      </c>
      <c r="U12" s="2">
        <v>0</v>
      </c>
      <c r="V12" s="2">
        <v>0</v>
      </c>
      <c r="W12" s="2">
        <v>309.55</v>
      </c>
    </row>
    <row r="13" spans="2:23" ht="15">
      <c r="B13" s="1" t="s">
        <v>73</v>
      </c>
      <c r="C13" s="2">
        <v>0</v>
      </c>
      <c r="D13" s="2">
        <v>0</v>
      </c>
      <c r="E13" s="2">
        <v>281.43</v>
      </c>
      <c r="F13" s="2">
        <v>281.27</v>
      </c>
      <c r="G13" s="2">
        <v>0</v>
      </c>
      <c r="H13" s="2">
        <v>0</v>
      </c>
      <c r="I13" s="2">
        <v>221.94</v>
      </c>
      <c r="J13" s="2">
        <v>221.75</v>
      </c>
      <c r="K13" s="2">
        <v>0</v>
      </c>
      <c r="L13" s="2">
        <v>0</v>
      </c>
      <c r="M13" s="2">
        <v>0</v>
      </c>
      <c r="N13" s="2">
        <v>0</v>
      </c>
      <c r="O13" s="2">
        <v>0</v>
      </c>
      <c r="P13" s="2">
        <v>0</v>
      </c>
      <c r="Q13" s="2">
        <v>222.71</v>
      </c>
      <c r="R13" s="2">
        <v>222.8</v>
      </c>
      <c r="S13" s="2">
        <v>0</v>
      </c>
      <c r="T13" s="2">
        <v>0</v>
      </c>
      <c r="U13" s="2">
        <v>0</v>
      </c>
      <c r="V13" s="2">
        <v>0</v>
      </c>
      <c r="W13" s="2">
        <v>0</v>
      </c>
    </row>
    <row r="14" spans="2:23" ht="30">
      <c r="B14" s="1" t="s">
        <v>74</v>
      </c>
      <c r="C14" s="2">
        <v>0</v>
      </c>
      <c r="D14" s="2">
        <v>0</v>
      </c>
      <c r="E14" s="2">
        <v>243.94</v>
      </c>
      <c r="F14" s="2">
        <v>240.4</v>
      </c>
      <c r="G14" s="2">
        <v>0</v>
      </c>
      <c r="H14" s="2">
        <v>0</v>
      </c>
      <c r="I14" s="2">
        <v>221.57</v>
      </c>
      <c r="J14" s="2">
        <v>221.71</v>
      </c>
      <c r="K14" s="2">
        <v>0</v>
      </c>
      <c r="L14" s="2">
        <v>0</v>
      </c>
      <c r="M14" s="2">
        <v>0</v>
      </c>
      <c r="N14" s="2">
        <v>0</v>
      </c>
      <c r="O14" s="2">
        <v>0</v>
      </c>
      <c r="P14" s="2">
        <v>0</v>
      </c>
      <c r="Q14" s="2">
        <v>222.09</v>
      </c>
      <c r="R14" s="2">
        <v>221.87</v>
      </c>
      <c r="S14" s="2">
        <v>0</v>
      </c>
      <c r="T14" s="2">
        <v>0</v>
      </c>
      <c r="U14" s="2">
        <v>0</v>
      </c>
      <c r="V14" s="2">
        <v>0</v>
      </c>
      <c r="W14" s="2">
        <v>0</v>
      </c>
    </row>
    <row r="15" spans="2:23" ht="30">
      <c r="B15" s="1" t="s">
        <v>75</v>
      </c>
      <c r="C15" s="2">
        <v>0</v>
      </c>
      <c r="D15" s="2">
        <v>0</v>
      </c>
      <c r="E15" s="2">
        <v>0</v>
      </c>
      <c r="F15" s="2">
        <v>0</v>
      </c>
      <c r="G15" s="2">
        <v>0</v>
      </c>
      <c r="H15" s="2">
        <v>0</v>
      </c>
      <c r="I15" s="2">
        <v>0</v>
      </c>
      <c r="J15" s="2">
        <v>0</v>
      </c>
      <c r="K15" s="2">
        <v>0</v>
      </c>
      <c r="L15" s="2">
        <v>0</v>
      </c>
      <c r="M15" s="2">
        <v>0</v>
      </c>
      <c r="N15" s="2">
        <v>0</v>
      </c>
      <c r="O15" s="2">
        <v>0</v>
      </c>
      <c r="P15" s="2">
        <v>0</v>
      </c>
      <c r="Q15" s="2">
        <v>0</v>
      </c>
      <c r="R15" s="2">
        <v>0</v>
      </c>
      <c r="S15" s="2">
        <v>0</v>
      </c>
      <c r="T15" s="2">
        <v>0</v>
      </c>
      <c r="U15" s="2">
        <v>0</v>
      </c>
      <c r="V15" s="2">
        <v>0</v>
      </c>
      <c r="W15" s="2">
        <v>0</v>
      </c>
    </row>
    <row r="16" spans="2:23" ht="30">
      <c r="B16" s="1" t="s">
        <v>76</v>
      </c>
      <c r="C16" s="2">
        <v>0</v>
      </c>
      <c r="D16" s="2">
        <v>0</v>
      </c>
      <c r="E16" s="2">
        <v>0</v>
      </c>
      <c r="F16" s="2">
        <v>0</v>
      </c>
      <c r="G16" s="2">
        <v>0</v>
      </c>
      <c r="H16" s="2">
        <v>0</v>
      </c>
      <c r="I16" s="2">
        <v>0</v>
      </c>
      <c r="J16" s="2">
        <v>0</v>
      </c>
      <c r="K16" s="2">
        <v>0</v>
      </c>
      <c r="L16" s="2">
        <v>0</v>
      </c>
      <c r="M16" s="2">
        <v>0</v>
      </c>
      <c r="N16" s="2">
        <v>0</v>
      </c>
      <c r="O16" s="2">
        <v>0</v>
      </c>
      <c r="P16" s="2">
        <v>0</v>
      </c>
      <c r="Q16" s="2">
        <v>0</v>
      </c>
      <c r="R16" s="2">
        <v>0</v>
      </c>
      <c r="S16" s="2">
        <v>0</v>
      </c>
      <c r="T16" s="2">
        <v>0</v>
      </c>
      <c r="U16" s="2">
        <v>0</v>
      </c>
      <c r="V16" s="2">
        <v>0</v>
      </c>
      <c r="W16" s="2">
        <v>0</v>
      </c>
    </row>
    <row r="17" spans="2:23" ht="30">
      <c r="B17" s="1" t="s">
        <v>77</v>
      </c>
      <c r="C17" s="2">
        <v>0</v>
      </c>
      <c r="D17" s="2">
        <v>0</v>
      </c>
      <c r="E17" s="2">
        <v>0</v>
      </c>
      <c r="F17" s="2">
        <v>0</v>
      </c>
      <c r="G17" s="2">
        <v>0</v>
      </c>
      <c r="H17" s="2">
        <v>0</v>
      </c>
      <c r="I17" s="2">
        <v>0</v>
      </c>
      <c r="J17" s="2">
        <v>0</v>
      </c>
      <c r="K17" s="2">
        <v>0</v>
      </c>
      <c r="L17" s="2">
        <v>0</v>
      </c>
      <c r="M17" s="2">
        <v>0</v>
      </c>
      <c r="N17" s="2">
        <v>0</v>
      </c>
      <c r="O17" s="2">
        <v>0</v>
      </c>
      <c r="P17" s="2">
        <v>0</v>
      </c>
      <c r="Q17" s="2">
        <v>0</v>
      </c>
      <c r="R17" s="2">
        <v>0</v>
      </c>
      <c r="S17" s="2">
        <v>0</v>
      </c>
      <c r="T17" s="2">
        <v>0</v>
      </c>
      <c r="U17" s="2">
        <v>0</v>
      </c>
      <c r="V17" s="2">
        <v>0</v>
      </c>
      <c r="W17" s="2">
        <v>0</v>
      </c>
    </row>
    <row r="18" spans="2:23" ht="30">
      <c r="B18" s="1" t="s">
        <v>78</v>
      </c>
      <c r="C18" s="2">
        <v>0</v>
      </c>
      <c r="D18" s="2">
        <v>0</v>
      </c>
      <c r="E18" s="2">
        <v>0</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0</v>
      </c>
    </row>
    <row r="19" spans="2:23" ht="30">
      <c r="B19" s="1" t="s">
        <v>79</v>
      </c>
      <c r="C19" s="2">
        <v>0</v>
      </c>
      <c r="D19" s="2">
        <v>166.76</v>
      </c>
      <c r="E19" s="2">
        <v>229.23</v>
      </c>
      <c r="F19" s="2">
        <v>223.15</v>
      </c>
      <c r="G19" s="2">
        <v>0</v>
      </c>
      <c r="H19" s="2">
        <v>0</v>
      </c>
      <c r="I19" s="2">
        <v>0</v>
      </c>
      <c r="J19" s="2">
        <v>0</v>
      </c>
      <c r="K19" s="2">
        <v>0</v>
      </c>
      <c r="L19" s="2">
        <v>0</v>
      </c>
      <c r="M19" s="2">
        <v>0</v>
      </c>
      <c r="N19" s="2">
        <v>0</v>
      </c>
      <c r="O19" s="2">
        <v>0</v>
      </c>
      <c r="P19" s="2">
        <v>0</v>
      </c>
      <c r="Q19" s="2">
        <v>221.79</v>
      </c>
      <c r="R19" s="2">
        <v>221.75</v>
      </c>
      <c r="S19" s="2">
        <v>0</v>
      </c>
      <c r="T19" s="2">
        <v>0</v>
      </c>
      <c r="U19" s="2">
        <v>0</v>
      </c>
      <c r="V19" s="2">
        <v>0</v>
      </c>
      <c r="W19" s="2">
        <v>0</v>
      </c>
    </row>
    <row r="20" spans="2:23" ht="30">
      <c r="B20" s="1" t="s">
        <v>80</v>
      </c>
      <c r="C20" s="2">
        <v>0</v>
      </c>
      <c r="D20" s="2">
        <v>132.74</v>
      </c>
      <c r="E20" s="2">
        <v>189.6</v>
      </c>
      <c r="F20" s="2">
        <v>198.31</v>
      </c>
      <c r="G20" s="2">
        <v>0</v>
      </c>
      <c r="H20" s="2">
        <v>0</v>
      </c>
      <c r="I20" s="2">
        <v>0</v>
      </c>
      <c r="J20" s="2">
        <v>0</v>
      </c>
      <c r="K20" s="2">
        <v>0</v>
      </c>
      <c r="L20" s="2">
        <v>0</v>
      </c>
      <c r="M20" s="2">
        <v>0</v>
      </c>
      <c r="N20" s="2">
        <v>0</v>
      </c>
      <c r="O20" s="2">
        <v>0</v>
      </c>
      <c r="P20" s="2">
        <v>0</v>
      </c>
      <c r="Q20" s="2">
        <v>200.73</v>
      </c>
      <c r="R20" s="2">
        <v>200.76</v>
      </c>
      <c r="S20" s="2">
        <v>0</v>
      </c>
      <c r="T20" s="2">
        <v>0</v>
      </c>
      <c r="U20" s="2">
        <v>0</v>
      </c>
      <c r="V20" s="2">
        <v>0</v>
      </c>
      <c r="W20" s="2">
        <v>0</v>
      </c>
    </row>
    <row r="21" spans="2:23" ht="30">
      <c r="B21" s="1" t="s">
        <v>81</v>
      </c>
      <c r="C21" s="2">
        <v>0</v>
      </c>
      <c r="D21" s="2">
        <v>0</v>
      </c>
      <c r="E21" s="2">
        <v>0</v>
      </c>
      <c r="F21" s="2">
        <v>0</v>
      </c>
      <c r="G21" s="2">
        <v>0</v>
      </c>
      <c r="H21" s="2">
        <v>0</v>
      </c>
      <c r="I21" s="2">
        <v>0</v>
      </c>
      <c r="J21" s="2">
        <v>0</v>
      </c>
      <c r="K21" s="2">
        <v>0</v>
      </c>
      <c r="L21" s="2">
        <v>0</v>
      </c>
      <c r="M21" s="2">
        <v>0</v>
      </c>
      <c r="N21" s="2">
        <v>0</v>
      </c>
      <c r="O21" s="2">
        <v>0</v>
      </c>
      <c r="P21" s="2">
        <v>0</v>
      </c>
      <c r="Q21" s="2">
        <v>0</v>
      </c>
      <c r="R21" s="2">
        <v>0</v>
      </c>
      <c r="S21" s="2">
        <v>0</v>
      </c>
      <c r="T21" s="2">
        <v>0</v>
      </c>
      <c r="U21" s="2">
        <v>0</v>
      </c>
      <c r="V21" s="2">
        <v>0</v>
      </c>
      <c r="W21" s="2">
        <v>0</v>
      </c>
    </row>
    <row r="22" spans="2:23" ht="30">
      <c r="B22" s="1" t="s">
        <v>82</v>
      </c>
      <c r="C22" s="2">
        <v>0</v>
      </c>
      <c r="D22" s="2">
        <v>0</v>
      </c>
      <c r="E22" s="2">
        <v>0</v>
      </c>
      <c r="F22" s="2">
        <v>0</v>
      </c>
      <c r="G22" s="2">
        <v>0</v>
      </c>
      <c r="H22" s="2">
        <v>0</v>
      </c>
      <c r="I22" s="2">
        <v>0</v>
      </c>
      <c r="J22" s="2">
        <v>0</v>
      </c>
      <c r="K22" s="2">
        <v>0</v>
      </c>
      <c r="L22" s="2">
        <v>0</v>
      </c>
      <c r="M22" s="2">
        <v>0</v>
      </c>
      <c r="N22" s="2">
        <v>0</v>
      </c>
      <c r="O22" s="2">
        <v>0</v>
      </c>
      <c r="P22" s="2">
        <v>0</v>
      </c>
      <c r="Q22" s="2">
        <v>0</v>
      </c>
      <c r="R22" s="2">
        <v>0</v>
      </c>
      <c r="S22" s="2">
        <v>0</v>
      </c>
      <c r="T22" s="2">
        <v>0</v>
      </c>
      <c r="U22" s="2">
        <v>0</v>
      </c>
      <c r="V22" s="2">
        <v>0</v>
      </c>
      <c r="W22" s="2">
        <v>0</v>
      </c>
    </row>
    <row r="23" spans="2:23" ht="30">
      <c r="B23" s="1" t="s">
        <v>83</v>
      </c>
      <c r="C23" s="2">
        <v>0</v>
      </c>
      <c r="D23" s="2">
        <v>0</v>
      </c>
      <c r="E23" s="2">
        <v>0</v>
      </c>
      <c r="F23" s="2">
        <v>0</v>
      </c>
      <c r="G23" s="2">
        <v>0</v>
      </c>
      <c r="H23" s="2">
        <v>0</v>
      </c>
      <c r="I23" s="2">
        <v>0</v>
      </c>
      <c r="J23" s="2">
        <v>0</v>
      </c>
      <c r="K23" s="2">
        <v>0</v>
      </c>
      <c r="L23" s="2">
        <v>0</v>
      </c>
      <c r="M23" s="2">
        <v>0</v>
      </c>
      <c r="N23" s="2">
        <v>0</v>
      </c>
      <c r="O23" s="2">
        <v>0</v>
      </c>
      <c r="P23" s="2">
        <v>0</v>
      </c>
      <c r="Q23" s="2">
        <v>0</v>
      </c>
      <c r="R23" s="2">
        <v>0</v>
      </c>
      <c r="S23" s="2">
        <v>0</v>
      </c>
      <c r="T23" s="2">
        <v>0</v>
      </c>
      <c r="U23" s="2">
        <v>0</v>
      </c>
      <c r="V23" s="2">
        <v>0</v>
      </c>
      <c r="W23" s="2">
        <v>0</v>
      </c>
    </row>
    <row r="24" spans="2:23" ht="30">
      <c r="B24" s="1" t="s">
        <v>84</v>
      </c>
      <c r="C24" s="2">
        <v>0</v>
      </c>
      <c r="D24" s="2">
        <v>0</v>
      </c>
      <c r="E24" s="2">
        <v>0</v>
      </c>
      <c r="F24" s="2">
        <v>0</v>
      </c>
      <c r="G24" s="2">
        <v>0</v>
      </c>
      <c r="H24" s="2">
        <v>0</v>
      </c>
      <c r="I24" s="2">
        <v>0</v>
      </c>
      <c r="J24" s="2">
        <v>0</v>
      </c>
      <c r="K24" s="2">
        <v>0</v>
      </c>
      <c r="L24" s="2">
        <v>0</v>
      </c>
      <c r="M24" s="2">
        <v>0</v>
      </c>
      <c r="N24" s="2">
        <v>0</v>
      </c>
      <c r="O24" s="2">
        <v>0</v>
      </c>
      <c r="P24" s="2">
        <v>0</v>
      </c>
      <c r="Q24" s="2">
        <v>0</v>
      </c>
      <c r="R24" s="2">
        <v>0</v>
      </c>
      <c r="S24" s="2">
        <v>0</v>
      </c>
      <c r="T24" s="2">
        <v>0</v>
      </c>
      <c r="U24" s="2">
        <v>0</v>
      </c>
      <c r="V24" s="2">
        <v>0</v>
      </c>
      <c r="W24" s="2">
        <v>0</v>
      </c>
    </row>
    <row r="25" spans="2:23" ht="15">
      <c r="B25" s="1" t="s">
        <v>85</v>
      </c>
      <c r="C25" s="2">
        <v>240.14</v>
      </c>
      <c r="D25" s="2">
        <v>239.59</v>
      </c>
      <c r="E25" s="2">
        <v>258.63</v>
      </c>
      <c r="F25" s="2">
        <v>253.31</v>
      </c>
      <c r="G25" s="2">
        <v>0</v>
      </c>
      <c r="H25" s="2">
        <v>0</v>
      </c>
      <c r="I25" s="2">
        <v>0</v>
      </c>
      <c r="J25" s="2">
        <v>0</v>
      </c>
      <c r="K25" s="2">
        <v>0</v>
      </c>
      <c r="L25" s="2">
        <v>0</v>
      </c>
      <c r="M25" s="2">
        <v>0</v>
      </c>
      <c r="N25" s="2">
        <v>0</v>
      </c>
      <c r="O25" s="2">
        <v>0</v>
      </c>
      <c r="P25" s="2">
        <v>0</v>
      </c>
      <c r="Q25" s="2">
        <v>170.41</v>
      </c>
      <c r="R25" s="2">
        <v>219.94</v>
      </c>
      <c r="S25" s="2">
        <v>0</v>
      </c>
      <c r="T25" s="2">
        <v>0</v>
      </c>
      <c r="U25" s="2">
        <v>0</v>
      </c>
      <c r="V25" s="2">
        <v>0</v>
      </c>
      <c r="W25" s="2">
        <v>0</v>
      </c>
    </row>
    <row r="26" spans="2:23" ht="30">
      <c r="B26" s="1" t="s">
        <v>86</v>
      </c>
      <c r="C26" s="2">
        <v>153.87</v>
      </c>
      <c r="D26" s="2">
        <v>238.86</v>
      </c>
      <c r="E26" s="2">
        <v>247.26</v>
      </c>
      <c r="F26" s="2">
        <v>209.56</v>
      </c>
      <c r="G26" s="2">
        <v>0</v>
      </c>
      <c r="H26" s="2">
        <v>0</v>
      </c>
      <c r="I26" s="2">
        <v>0</v>
      </c>
      <c r="J26" s="2">
        <v>0</v>
      </c>
      <c r="K26" s="2">
        <v>0</v>
      </c>
      <c r="L26" s="2">
        <v>0</v>
      </c>
      <c r="M26" s="2">
        <v>0</v>
      </c>
      <c r="N26" s="2">
        <v>0</v>
      </c>
      <c r="O26" s="2">
        <v>0</v>
      </c>
      <c r="P26" s="2">
        <v>0</v>
      </c>
      <c r="Q26" s="2">
        <v>228.72</v>
      </c>
      <c r="R26" s="2">
        <v>228.62</v>
      </c>
      <c r="S26" s="2">
        <v>0</v>
      </c>
      <c r="T26" s="2">
        <v>0</v>
      </c>
      <c r="U26" s="2">
        <v>0</v>
      </c>
      <c r="V26" s="2">
        <v>0</v>
      </c>
      <c r="W26" s="2">
        <v>0</v>
      </c>
    </row>
    <row r="27" spans="2:23" ht="30">
      <c r="B27" s="1" t="s">
        <v>87</v>
      </c>
      <c r="C27" s="2">
        <v>0</v>
      </c>
      <c r="D27" s="2">
        <v>0</v>
      </c>
      <c r="E27" s="2">
        <v>0</v>
      </c>
      <c r="F27" s="2">
        <v>0</v>
      </c>
      <c r="G27" s="2">
        <v>0</v>
      </c>
      <c r="H27" s="2">
        <v>0</v>
      </c>
      <c r="I27" s="2">
        <v>0</v>
      </c>
      <c r="J27" s="2">
        <v>0</v>
      </c>
      <c r="K27" s="2">
        <v>0</v>
      </c>
      <c r="L27" s="2">
        <v>0</v>
      </c>
      <c r="M27" s="2">
        <v>0</v>
      </c>
      <c r="N27" s="2">
        <v>0</v>
      </c>
      <c r="O27" s="2">
        <v>0</v>
      </c>
      <c r="P27" s="2">
        <v>0</v>
      </c>
      <c r="Q27" s="2">
        <v>0</v>
      </c>
      <c r="R27" s="2">
        <v>0</v>
      </c>
      <c r="S27" s="2">
        <v>0</v>
      </c>
      <c r="T27" s="2">
        <v>0</v>
      </c>
      <c r="U27" s="2">
        <v>0</v>
      </c>
      <c r="V27" s="2">
        <v>0</v>
      </c>
      <c r="W27" s="2">
        <v>0</v>
      </c>
    </row>
    <row r="28" spans="2:23" ht="30">
      <c r="B28" s="1" t="s">
        <v>88</v>
      </c>
      <c r="C28" s="2">
        <v>0</v>
      </c>
      <c r="D28" s="2">
        <v>0</v>
      </c>
      <c r="E28" s="2">
        <v>0</v>
      </c>
      <c r="F28" s="2">
        <v>0</v>
      </c>
      <c r="G28" s="2">
        <v>0</v>
      </c>
      <c r="H28" s="2">
        <v>0</v>
      </c>
      <c r="I28" s="2">
        <v>0</v>
      </c>
      <c r="J28" s="2">
        <v>0</v>
      </c>
      <c r="K28" s="2">
        <v>0</v>
      </c>
      <c r="L28" s="2">
        <v>0</v>
      </c>
      <c r="M28" s="2">
        <v>0</v>
      </c>
      <c r="N28" s="2">
        <v>0</v>
      </c>
      <c r="O28" s="2">
        <v>0</v>
      </c>
      <c r="P28" s="2">
        <v>0</v>
      </c>
      <c r="Q28" s="2">
        <v>0</v>
      </c>
      <c r="R28" s="2">
        <v>0</v>
      </c>
      <c r="S28" s="2">
        <v>0</v>
      </c>
      <c r="T28" s="2">
        <v>0</v>
      </c>
      <c r="U28" s="2">
        <v>0</v>
      </c>
      <c r="V28" s="2">
        <v>0</v>
      </c>
      <c r="W28" s="2">
        <v>0</v>
      </c>
    </row>
    <row r="29" spans="2:23" ht="30">
      <c r="B29" s="1" t="s">
        <v>89</v>
      </c>
      <c r="C29" s="2">
        <v>0</v>
      </c>
      <c r="D29" s="2">
        <v>0</v>
      </c>
      <c r="E29" s="2">
        <v>0</v>
      </c>
      <c r="F29" s="2">
        <v>0</v>
      </c>
      <c r="G29" s="2">
        <v>0</v>
      </c>
      <c r="H29" s="2">
        <v>0</v>
      </c>
      <c r="I29" s="2">
        <v>0</v>
      </c>
      <c r="J29" s="2">
        <v>0</v>
      </c>
      <c r="K29" s="2">
        <v>0</v>
      </c>
      <c r="L29" s="2">
        <v>0</v>
      </c>
      <c r="M29" s="2">
        <v>0</v>
      </c>
      <c r="N29" s="2">
        <v>0</v>
      </c>
      <c r="O29" s="2">
        <v>0</v>
      </c>
      <c r="P29" s="2">
        <v>0</v>
      </c>
      <c r="Q29" s="2">
        <v>0</v>
      </c>
      <c r="R29" s="2">
        <v>0</v>
      </c>
      <c r="S29" s="2">
        <v>0</v>
      </c>
      <c r="T29" s="2">
        <v>0</v>
      </c>
      <c r="U29" s="2">
        <v>0</v>
      </c>
      <c r="V29" s="2">
        <v>0</v>
      </c>
      <c r="W29" s="2">
        <v>0</v>
      </c>
    </row>
    <row r="30" spans="2:23" ht="30">
      <c r="B30" s="1" t="s">
        <v>90</v>
      </c>
      <c r="C30" s="2">
        <v>0</v>
      </c>
      <c r="D30" s="2">
        <v>0</v>
      </c>
      <c r="E30" s="2">
        <v>0</v>
      </c>
      <c r="F30" s="2">
        <v>0</v>
      </c>
      <c r="G30" s="2">
        <v>0</v>
      </c>
      <c r="H30" s="2">
        <v>0</v>
      </c>
      <c r="I30" s="2">
        <v>0</v>
      </c>
      <c r="J30" s="2">
        <v>0</v>
      </c>
      <c r="K30" s="2">
        <v>0</v>
      </c>
      <c r="L30" s="2">
        <v>0</v>
      </c>
      <c r="M30" s="2">
        <v>0</v>
      </c>
      <c r="N30" s="2">
        <v>0</v>
      </c>
      <c r="O30" s="2">
        <v>0</v>
      </c>
      <c r="P30" s="2">
        <v>0</v>
      </c>
      <c r="Q30" s="2">
        <v>0</v>
      </c>
      <c r="R30" s="2">
        <v>0</v>
      </c>
      <c r="S30" s="2">
        <v>0</v>
      </c>
      <c r="T30" s="2">
        <v>0</v>
      </c>
      <c r="U30" s="2">
        <v>0</v>
      </c>
      <c r="V30" s="2">
        <v>0</v>
      </c>
      <c r="W30" s="2">
        <v>0</v>
      </c>
    </row>
    <row r="31" spans="2:23" ht="30">
      <c r="B31" s="1" t="s">
        <v>91</v>
      </c>
      <c r="C31" s="2">
        <v>245.18</v>
      </c>
      <c r="D31" s="2">
        <v>244.5</v>
      </c>
      <c r="E31" s="2">
        <v>244.23</v>
      </c>
      <c r="F31" s="2">
        <v>244.26</v>
      </c>
      <c r="G31" s="2">
        <v>0</v>
      </c>
      <c r="H31" s="2">
        <v>243.39</v>
      </c>
      <c r="I31" s="2">
        <v>0</v>
      </c>
      <c r="J31" s="2">
        <v>0</v>
      </c>
      <c r="K31" s="2">
        <v>0</v>
      </c>
      <c r="L31" s="2">
        <v>0</v>
      </c>
      <c r="M31" s="2">
        <v>0</v>
      </c>
      <c r="N31" s="2">
        <v>0</v>
      </c>
      <c r="O31" s="2">
        <v>0</v>
      </c>
      <c r="P31" s="2">
        <v>0</v>
      </c>
      <c r="Q31" s="2">
        <v>220.53</v>
      </c>
      <c r="R31" s="2">
        <v>0</v>
      </c>
      <c r="S31" s="2">
        <v>0</v>
      </c>
      <c r="T31" s="2">
        <v>0</v>
      </c>
      <c r="U31" s="2">
        <v>0</v>
      </c>
      <c r="V31" s="2">
        <v>0</v>
      </c>
      <c r="W31" s="2">
        <v>0</v>
      </c>
    </row>
    <row r="32" spans="2:23" ht="30">
      <c r="B32" s="1" t="s">
        <v>92</v>
      </c>
      <c r="C32" s="2">
        <v>142.80000000000001</v>
      </c>
      <c r="D32" s="2">
        <v>193.48</v>
      </c>
      <c r="E32" s="2">
        <v>196.88</v>
      </c>
      <c r="F32" s="2">
        <v>195.58</v>
      </c>
      <c r="G32" s="2">
        <v>0</v>
      </c>
      <c r="H32" s="2">
        <v>156.59</v>
      </c>
      <c r="I32" s="2">
        <v>0</v>
      </c>
      <c r="J32" s="2">
        <v>0</v>
      </c>
      <c r="K32" s="2">
        <v>0</v>
      </c>
      <c r="L32" s="2">
        <v>0</v>
      </c>
      <c r="M32" s="2">
        <v>0</v>
      </c>
      <c r="N32" s="2">
        <v>0</v>
      </c>
      <c r="O32" s="2">
        <v>0</v>
      </c>
      <c r="P32" s="2">
        <v>0</v>
      </c>
      <c r="Q32" s="2">
        <v>198.46</v>
      </c>
      <c r="R32" s="2">
        <v>0</v>
      </c>
      <c r="S32" s="2">
        <v>0</v>
      </c>
      <c r="T32" s="2">
        <v>0</v>
      </c>
      <c r="U32" s="2">
        <v>0</v>
      </c>
      <c r="V32" s="2">
        <v>0</v>
      </c>
      <c r="W32" s="2">
        <v>0</v>
      </c>
    </row>
    <row r="33" spans="2:23" ht="30">
      <c r="B33" s="1" t="s">
        <v>93</v>
      </c>
      <c r="C33" s="2">
        <v>0</v>
      </c>
      <c r="D33" s="2">
        <v>0</v>
      </c>
      <c r="E33" s="2">
        <v>0</v>
      </c>
      <c r="F33" s="2">
        <v>0</v>
      </c>
      <c r="G33" s="2">
        <v>0</v>
      </c>
      <c r="H33" s="2">
        <v>0</v>
      </c>
      <c r="I33" s="2">
        <v>0</v>
      </c>
      <c r="J33" s="2">
        <v>0</v>
      </c>
      <c r="K33" s="2">
        <v>0</v>
      </c>
      <c r="L33" s="2">
        <v>0</v>
      </c>
      <c r="M33" s="2">
        <v>0</v>
      </c>
      <c r="N33" s="2">
        <v>0</v>
      </c>
      <c r="O33" s="2">
        <v>0</v>
      </c>
      <c r="P33" s="2">
        <v>0</v>
      </c>
      <c r="Q33" s="2">
        <v>0</v>
      </c>
      <c r="R33" s="2">
        <v>0</v>
      </c>
      <c r="S33" s="2">
        <v>0</v>
      </c>
      <c r="T33" s="2">
        <v>0</v>
      </c>
      <c r="U33" s="2">
        <v>0</v>
      </c>
      <c r="V33" s="2">
        <v>0</v>
      </c>
      <c r="W33" s="2">
        <v>0</v>
      </c>
    </row>
    <row r="34" spans="2:23" ht="30">
      <c r="B34" s="1" t="s">
        <v>94</v>
      </c>
      <c r="C34" s="2">
        <v>0</v>
      </c>
      <c r="D34" s="2">
        <v>0</v>
      </c>
      <c r="E34" s="2">
        <v>0</v>
      </c>
      <c r="F34" s="2">
        <v>0</v>
      </c>
      <c r="G34" s="2">
        <v>0</v>
      </c>
      <c r="H34" s="2">
        <v>0</v>
      </c>
      <c r="I34" s="2">
        <v>0</v>
      </c>
      <c r="J34" s="2">
        <v>0</v>
      </c>
      <c r="K34" s="2">
        <v>0</v>
      </c>
      <c r="L34" s="2">
        <v>0</v>
      </c>
      <c r="M34" s="2">
        <v>0</v>
      </c>
      <c r="N34" s="2">
        <v>0</v>
      </c>
      <c r="O34" s="2">
        <v>0</v>
      </c>
      <c r="P34" s="2">
        <v>0</v>
      </c>
      <c r="Q34" s="2">
        <v>0</v>
      </c>
      <c r="R34" s="2">
        <v>0</v>
      </c>
      <c r="S34" s="2">
        <v>0</v>
      </c>
      <c r="T34" s="2">
        <v>0</v>
      </c>
      <c r="U34" s="2">
        <v>0</v>
      </c>
      <c r="V34" s="2">
        <v>0</v>
      </c>
      <c r="W34" s="2">
        <v>0</v>
      </c>
    </row>
    <row r="35" spans="2:23" ht="30">
      <c r="B35" s="1" t="s">
        <v>95</v>
      </c>
      <c r="C35" s="2">
        <v>0</v>
      </c>
      <c r="D35" s="2">
        <v>0</v>
      </c>
      <c r="E35" s="2">
        <v>0</v>
      </c>
      <c r="F35" s="2">
        <v>0</v>
      </c>
      <c r="G35" s="2">
        <v>0</v>
      </c>
      <c r="H35" s="2">
        <v>0</v>
      </c>
      <c r="I35" s="2">
        <v>0</v>
      </c>
      <c r="J35" s="2">
        <v>0</v>
      </c>
      <c r="K35" s="2">
        <v>0</v>
      </c>
      <c r="L35" s="2">
        <v>0</v>
      </c>
      <c r="M35" s="2">
        <v>0</v>
      </c>
      <c r="N35" s="2">
        <v>0</v>
      </c>
      <c r="O35" s="2">
        <v>0</v>
      </c>
      <c r="P35" s="2">
        <v>0</v>
      </c>
      <c r="Q35" s="2">
        <v>0</v>
      </c>
      <c r="R35" s="2">
        <v>0</v>
      </c>
      <c r="S35" s="2">
        <v>0</v>
      </c>
      <c r="T35" s="2">
        <v>0</v>
      </c>
      <c r="U35" s="2">
        <v>0</v>
      </c>
      <c r="V35" s="2">
        <v>0</v>
      </c>
      <c r="W35" s="2">
        <v>0</v>
      </c>
    </row>
    <row r="36" spans="2:23" ht="30">
      <c r="B36" s="1" t="s">
        <v>96</v>
      </c>
      <c r="C36" s="2">
        <v>0</v>
      </c>
      <c r="D36" s="2">
        <v>0</v>
      </c>
      <c r="E36" s="2">
        <v>0</v>
      </c>
      <c r="F36" s="2">
        <v>0</v>
      </c>
      <c r="G36" s="2">
        <v>0</v>
      </c>
      <c r="H36" s="2">
        <v>0</v>
      </c>
      <c r="I36" s="2">
        <v>0</v>
      </c>
      <c r="J36" s="2">
        <v>0</v>
      </c>
      <c r="K36" s="2">
        <v>0</v>
      </c>
      <c r="L36" s="2">
        <v>0</v>
      </c>
      <c r="M36" s="2">
        <v>0</v>
      </c>
      <c r="N36" s="2">
        <v>0</v>
      </c>
      <c r="O36" s="2">
        <v>0</v>
      </c>
      <c r="P36" s="2">
        <v>0</v>
      </c>
      <c r="Q36" s="2">
        <v>0</v>
      </c>
      <c r="R36" s="2">
        <v>0</v>
      </c>
      <c r="S36" s="2">
        <v>0</v>
      </c>
      <c r="T36" s="2">
        <v>0</v>
      </c>
      <c r="U36" s="2">
        <v>0</v>
      </c>
      <c r="V36" s="2">
        <v>0</v>
      </c>
      <c r="W36" s="2">
        <v>0</v>
      </c>
    </row>
    <row r="37" spans="2:23" ht="15">
      <c r="B37" s="1" t="s">
        <v>97</v>
      </c>
      <c r="C37" s="2">
        <v>139.58000000000001</v>
      </c>
      <c r="D37" s="2">
        <v>220.46</v>
      </c>
      <c r="E37" s="2">
        <v>309.13</v>
      </c>
      <c r="F37" s="2">
        <v>308.45</v>
      </c>
      <c r="G37" s="2">
        <v>211.82</v>
      </c>
      <c r="H37" s="2">
        <v>304.41000000000003</v>
      </c>
      <c r="I37" s="2">
        <v>0</v>
      </c>
      <c r="J37" s="2">
        <v>0</v>
      </c>
      <c r="K37" s="2">
        <v>0</v>
      </c>
      <c r="L37" s="2">
        <v>0</v>
      </c>
      <c r="M37" s="2">
        <v>0</v>
      </c>
      <c r="N37" s="2">
        <v>0</v>
      </c>
      <c r="O37" s="2">
        <v>0</v>
      </c>
      <c r="P37" s="2">
        <v>0</v>
      </c>
      <c r="Q37" s="2">
        <v>0</v>
      </c>
      <c r="R37" s="2">
        <v>0</v>
      </c>
      <c r="S37" s="2">
        <v>0</v>
      </c>
      <c r="T37" s="2">
        <v>0</v>
      </c>
      <c r="U37" s="2">
        <v>0</v>
      </c>
      <c r="V37" s="2">
        <v>0</v>
      </c>
      <c r="W37" s="2">
        <v>0</v>
      </c>
    </row>
    <row r="38" spans="2:23" ht="30">
      <c r="B38" s="1" t="s">
        <v>98</v>
      </c>
      <c r="C38" s="2">
        <v>296.14999999999998</v>
      </c>
      <c r="D38" s="2">
        <v>296.16000000000003</v>
      </c>
      <c r="E38" s="2">
        <v>289.47000000000003</v>
      </c>
      <c r="F38" s="2">
        <v>211.8</v>
      </c>
      <c r="G38" s="2">
        <v>287.24</v>
      </c>
      <c r="H38" s="2">
        <v>266.11</v>
      </c>
      <c r="I38" s="2">
        <v>0</v>
      </c>
      <c r="J38" s="2">
        <v>0</v>
      </c>
      <c r="K38" s="2">
        <v>0</v>
      </c>
      <c r="L38" s="2">
        <v>0</v>
      </c>
      <c r="M38" s="2">
        <v>0</v>
      </c>
      <c r="N38" s="2">
        <v>0</v>
      </c>
      <c r="O38" s="2">
        <v>0</v>
      </c>
      <c r="P38" s="2">
        <v>0</v>
      </c>
      <c r="Q38" s="2">
        <v>0</v>
      </c>
      <c r="R38" s="2">
        <v>0</v>
      </c>
      <c r="S38" s="2">
        <v>0</v>
      </c>
      <c r="T38" s="2">
        <v>0</v>
      </c>
      <c r="U38" s="2">
        <v>0</v>
      </c>
      <c r="V38" s="2">
        <v>0</v>
      </c>
      <c r="W38" s="2">
        <v>0</v>
      </c>
    </row>
    <row r="39" spans="2:23" ht="30">
      <c r="B39" s="1" t="s">
        <v>99</v>
      </c>
      <c r="C39" s="2">
        <v>0</v>
      </c>
      <c r="D39" s="2">
        <v>0</v>
      </c>
      <c r="E39" s="2">
        <v>0</v>
      </c>
      <c r="F39" s="2">
        <v>0</v>
      </c>
      <c r="G39" s="2">
        <v>0</v>
      </c>
      <c r="H39" s="2">
        <v>0</v>
      </c>
      <c r="I39" s="2">
        <v>0</v>
      </c>
      <c r="J39" s="2">
        <v>0</v>
      </c>
      <c r="K39" s="2">
        <v>0</v>
      </c>
      <c r="L39" s="2">
        <v>0</v>
      </c>
      <c r="M39" s="2">
        <v>0</v>
      </c>
      <c r="N39" s="2">
        <v>0</v>
      </c>
      <c r="O39" s="2">
        <v>0</v>
      </c>
      <c r="P39" s="2">
        <v>0</v>
      </c>
      <c r="Q39" s="2">
        <v>0</v>
      </c>
      <c r="R39" s="2">
        <v>0</v>
      </c>
      <c r="S39" s="2">
        <v>0</v>
      </c>
      <c r="T39" s="2">
        <v>0</v>
      </c>
      <c r="U39" s="2">
        <v>0</v>
      </c>
      <c r="V39" s="2">
        <v>0</v>
      </c>
      <c r="W39" s="2">
        <v>0</v>
      </c>
    </row>
    <row r="40" spans="2:23" ht="30">
      <c r="B40" s="1" t="s">
        <v>100</v>
      </c>
      <c r="C40" s="2">
        <v>0</v>
      </c>
      <c r="D40" s="2">
        <v>0</v>
      </c>
      <c r="E40" s="2">
        <v>0</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row>
    <row r="41" spans="2:23" ht="30">
      <c r="B41" s="1" t="s">
        <v>101</v>
      </c>
      <c r="C41" s="2">
        <v>0</v>
      </c>
      <c r="D41" s="2">
        <v>0</v>
      </c>
      <c r="E41" s="2">
        <v>0</v>
      </c>
      <c r="F41" s="2">
        <v>0</v>
      </c>
      <c r="G41" s="2">
        <v>0</v>
      </c>
      <c r="H41" s="2">
        <v>0</v>
      </c>
      <c r="I41" s="2">
        <v>0</v>
      </c>
      <c r="J41" s="2">
        <v>0</v>
      </c>
      <c r="K41" s="2">
        <v>0</v>
      </c>
      <c r="L41" s="2">
        <v>0</v>
      </c>
      <c r="M41" s="2">
        <v>0</v>
      </c>
      <c r="N41" s="2">
        <v>0</v>
      </c>
      <c r="O41" s="2">
        <v>0</v>
      </c>
      <c r="P41" s="2">
        <v>0</v>
      </c>
      <c r="Q41" s="2">
        <v>0</v>
      </c>
      <c r="R41" s="2">
        <v>0</v>
      </c>
      <c r="S41" s="2">
        <v>0</v>
      </c>
      <c r="T41" s="2">
        <v>0</v>
      </c>
      <c r="U41" s="2">
        <v>0</v>
      </c>
      <c r="V41" s="2">
        <v>0</v>
      </c>
      <c r="W41" s="2">
        <v>0</v>
      </c>
    </row>
    <row r="42" spans="2:23" ht="30">
      <c r="B42" s="1" t="s">
        <v>102</v>
      </c>
      <c r="C42" s="2">
        <v>0</v>
      </c>
      <c r="D42" s="2">
        <v>0</v>
      </c>
      <c r="E42" s="2">
        <v>0</v>
      </c>
      <c r="F42" s="2">
        <v>0</v>
      </c>
      <c r="G42" s="2">
        <v>0</v>
      </c>
      <c r="H42" s="2">
        <v>0</v>
      </c>
      <c r="I42" s="2">
        <v>0</v>
      </c>
      <c r="J42" s="2">
        <v>0</v>
      </c>
      <c r="K42" s="2">
        <v>0</v>
      </c>
      <c r="L42" s="2">
        <v>0</v>
      </c>
      <c r="M42" s="2">
        <v>0</v>
      </c>
      <c r="N42" s="2">
        <v>0</v>
      </c>
      <c r="O42" s="2">
        <v>0</v>
      </c>
      <c r="P42" s="2">
        <v>0</v>
      </c>
      <c r="Q42" s="2">
        <v>0</v>
      </c>
      <c r="R42" s="2">
        <v>0</v>
      </c>
      <c r="S42" s="2">
        <v>0</v>
      </c>
      <c r="T42" s="2">
        <v>0</v>
      </c>
      <c r="U42" s="2">
        <v>0</v>
      </c>
      <c r="V42" s="2">
        <v>0</v>
      </c>
      <c r="W42" s="2">
        <v>0</v>
      </c>
    </row>
    <row r="43" spans="2:23" ht="30">
      <c r="B43" s="1" t="s">
        <v>103</v>
      </c>
      <c r="C43" s="2">
        <v>273.25</v>
      </c>
      <c r="D43" s="2">
        <v>273.82</v>
      </c>
      <c r="E43" s="2">
        <v>202.3</v>
      </c>
      <c r="F43" s="2">
        <v>269.36</v>
      </c>
      <c r="G43" s="2">
        <v>212.69</v>
      </c>
      <c r="H43" s="2">
        <v>274.52999999999997</v>
      </c>
      <c r="I43" s="2">
        <v>0</v>
      </c>
      <c r="J43" s="2">
        <v>0</v>
      </c>
      <c r="K43" s="2">
        <v>0</v>
      </c>
      <c r="L43" s="2">
        <v>0</v>
      </c>
      <c r="M43" s="2">
        <v>0</v>
      </c>
      <c r="N43" s="2">
        <v>0</v>
      </c>
      <c r="O43" s="2">
        <v>0</v>
      </c>
      <c r="P43" s="2">
        <v>0</v>
      </c>
      <c r="Q43" s="2">
        <v>0</v>
      </c>
      <c r="R43" s="2">
        <v>0</v>
      </c>
      <c r="S43" s="2">
        <v>0</v>
      </c>
      <c r="T43" s="2">
        <v>0</v>
      </c>
      <c r="U43" s="2">
        <v>0</v>
      </c>
      <c r="V43" s="2">
        <v>0</v>
      </c>
      <c r="W43" s="2">
        <v>0</v>
      </c>
    </row>
    <row r="44" spans="2:23" ht="30">
      <c r="B44" s="1" t="s">
        <v>104</v>
      </c>
      <c r="C44" s="2">
        <v>53.01</v>
      </c>
      <c r="D44" s="2">
        <v>215.56</v>
      </c>
      <c r="E44" s="2">
        <v>213.06</v>
      </c>
      <c r="F44" s="2">
        <v>212.93</v>
      </c>
      <c r="G44" s="2">
        <v>216.14</v>
      </c>
      <c r="H44" s="2">
        <v>216.85</v>
      </c>
      <c r="I44" s="2">
        <v>0</v>
      </c>
      <c r="J44" s="2">
        <v>0</v>
      </c>
      <c r="K44" s="2">
        <v>0</v>
      </c>
      <c r="L44" s="2">
        <v>0</v>
      </c>
      <c r="M44" s="2">
        <v>0</v>
      </c>
      <c r="N44" s="2">
        <v>0</v>
      </c>
      <c r="O44" s="2">
        <v>0</v>
      </c>
      <c r="P44" s="2">
        <v>0</v>
      </c>
      <c r="Q44" s="2">
        <v>0</v>
      </c>
      <c r="R44" s="2">
        <v>0</v>
      </c>
      <c r="S44" s="2">
        <v>0</v>
      </c>
      <c r="T44" s="2">
        <v>0</v>
      </c>
      <c r="U44" s="2">
        <v>0</v>
      </c>
      <c r="V44" s="2">
        <v>0</v>
      </c>
      <c r="W44" s="2">
        <v>0</v>
      </c>
    </row>
    <row r="45" spans="2:23" ht="30">
      <c r="B45" s="1" t="s">
        <v>105</v>
      </c>
      <c r="C45" s="2">
        <v>0</v>
      </c>
      <c r="D45" s="2">
        <v>0</v>
      </c>
      <c r="E45" s="2">
        <v>0</v>
      </c>
      <c r="F45" s="2">
        <v>0</v>
      </c>
      <c r="G45" s="2">
        <v>0</v>
      </c>
      <c r="H45" s="2">
        <v>0</v>
      </c>
      <c r="I45" s="2">
        <v>0</v>
      </c>
      <c r="J45" s="2">
        <v>0</v>
      </c>
      <c r="K45" s="2">
        <v>0</v>
      </c>
      <c r="L45" s="2">
        <v>0</v>
      </c>
      <c r="M45" s="2">
        <v>0</v>
      </c>
      <c r="N45" s="2">
        <v>0</v>
      </c>
      <c r="O45" s="2">
        <v>0</v>
      </c>
      <c r="P45" s="2">
        <v>0</v>
      </c>
      <c r="Q45" s="2">
        <v>0</v>
      </c>
      <c r="R45" s="2">
        <v>0</v>
      </c>
      <c r="S45" s="2">
        <v>0</v>
      </c>
      <c r="T45" s="2">
        <v>0</v>
      </c>
      <c r="U45" s="2">
        <v>0</v>
      </c>
      <c r="V45" s="2">
        <v>0</v>
      </c>
      <c r="W45" s="2">
        <v>0</v>
      </c>
    </row>
    <row r="46" spans="2:23" ht="30">
      <c r="B46" s="1" t="s">
        <v>106</v>
      </c>
      <c r="C46" s="2">
        <v>0</v>
      </c>
      <c r="D46" s="2">
        <v>0</v>
      </c>
      <c r="E46" s="2">
        <v>0</v>
      </c>
      <c r="F46" s="2">
        <v>0</v>
      </c>
      <c r="G46" s="2">
        <v>0</v>
      </c>
      <c r="H46" s="2">
        <v>0</v>
      </c>
      <c r="I46" s="2">
        <v>0</v>
      </c>
      <c r="J46" s="2">
        <v>0</v>
      </c>
      <c r="K46" s="2">
        <v>0</v>
      </c>
      <c r="L46" s="2">
        <v>0</v>
      </c>
      <c r="M46" s="2">
        <v>0</v>
      </c>
      <c r="N46" s="2">
        <v>0</v>
      </c>
      <c r="O46" s="2">
        <v>0</v>
      </c>
      <c r="P46" s="2">
        <v>0</v>
      </c>
      <c r="Q46" s="2">
        <v>0</v>
      </c>
      <c r="R46" s="2">
        <v>0</v>
      </c>
      <c r="S46" s="2">
        <v>0</v>
      </c>
      <c r="T46" s="2">
        <v>0</v>
      </c>
      <c r="U46" s="2">
        <v>0</v>
      </c>
      <c r="V46" s="2">
        <v>0</v>
      </c>
      <c r="W46" s="2">
        <v>0</v>
      </c>
    </row>
    <row r="47" spans="2:23" ht="30">
      <c r="B47" s="1" t="s">
        <v>107</v>
      </c>
      <c r="C47" s="2">
        <v>0</v>
      </c>
      <c r="D47" s="2">
        <v>0</v>
      </c>
      <c r="E47" s="2">
        <v>0</v>
      </c>
      <c r="F47" s="2">
        <v>0</v>
      </c>
      <c r="G47" s="2">
        <v>0</v>
      </c>
      <c r="H47" s="2">
        <v>0</v>
      </c>
      <c r="I47" s="2">
        <v>0</v>
      </c>
      <c r="J47" s="2">
        <v>0</v>
      </c>
      <c r="K47" s="2">
        <v>0</v>
      </c>
      <c r="L47" s="2">
        <v>0</v>
      </c>
      <c r="M47" s="2">
        <v>0</v>
      </c>
      <c r="N47" s="2">
        <v>0</v>
      </c>
      <c r="O47" s="2">
        <v>0</v>
      </c>
      <c r="P47" s="2">
        <v>0</v>
      </c>
      <c r="Q47" s="2">
        <v>0</v>
      </c>
      <c r="R47" s="2">
        <v>0</v>
      </c>
      <c r="S47" s="2">
        <v>0</v>
      </c>
      <c r="T47" s="2">
        <v>0</v>
      </c>
      <c r="U47" s="2">
        <v>0</v>
      </c>
      <c r="V47" s="2">
        <v>0</v>
      </c>
      <c r="W47" s="2">
        <v>0</v>
      </c>
    </row>
    <row r="48" spans="2:23" ht="30">
      <c r="B48" s="1" t="s">
        <v>108</v>
      </c>
      <c r="C48" s="2">
        <v>0</v>
      </c>
      <c r="D48" s="2">
        <v>0</v>
      </c>
      <c r="E48" s="2">
        <v>0</v>
      </c>
      <c r="F48" s="2">
        <v>0</v>
      </c>
      <c r="G48" s="2">
        <v>0</v>
      </c>
      <c r="H48" s="2">
        <v>0</v>
      </c>
      <c r="I48" s="2">
        <v>0</v>
      </c>
      <c r="J48" s="2">
        <v>0</v>
      </c>
      <c r="K48" s="2">
        <v>0</v>
      </c>
      <c r="L48" s="2">
        <v>0</v>
      </c>
      <c r="M48" s="2">
        <v>0</v>
      </c>
      <c r="N48" s="2">
        <v>0</v>
      </c>
      <c r="O48" s="2">
        <v>0</v>
      </c>
      <c r="P48" s="2">
        <v>0</v>
      </c>
      <c r="Q48" s="2">
        <v>0</v>
      </c>
      <c r="R48" s="2">
        <v>0</v>
      </c>
      <c r="S48" s="2">
        <v>0</v>
      </c>
      <c r="T48" s="2">
        <v>0</v>
      </c>
      <c r="U48" s="2">
        <v>0</v>
      </c>
      <c r="V48" s="2">
        <v>0</v>
      </c>
      <c r="W48" s="2">
        <v>0</v>
      </c>
    </row>
    <row r="49" spans="2:23" ht="15">
      <c r="B49" s="1" t="s">
        <v>109</v>
      </c>
      <c r="C49" s="2">
        <v>215.29</v>
      </c>
      <c r="D49" s="2">
        <v>278.52999999999997</v>
      </c>
      <c r="E49" s="2">
        <v>215.72</v>
      </c>
      <c r="F49" s="2">
        <v>274.07</v>
      </c>
      <c r="G49" s="2">
        <v>273.02</v>
      </c>
      <c r="H49" s="2">
        <v>278.14</v>
      </c>
      <c r="I49" s="2">
        <v>0</v>
      </c>
      <c r="J49" s="2">
        <v>0</v>
      </c>
      <c r="K49" s="2">
        <v>0</v>
      </c>
      <c r="L49" s="2">
        <v>0</v>
      </c>
      <c r="M49" s="2">
        <v>0</v>
      </c>
      <c r="N49" s="2">
        <v>0</v>
      </c>
      <c r="O49" s="2">
        <v>0</v>
      </c>
      <c r="P49" s="2">
        <v>0</v>
      </c>
      <c r="Q49" s="2">
        <v>0</v>
      </c>
      <c r="R49" s="2">
        <v>0</v>
      </c>
      <c r="S49" s="2">
        <v>0</v>
      </c>
      <c r="T49" s="2">
        <v>0</v>
      </c>
      <c r="U49" s="2">
        <v>0</v>
      </c>
      <c r="V49" s="2">
        <v>0</v>
      </c>
      <c r="W49" s="2">
        <v>0</v>
      </c>
    </row>
    <row r="50" spans="2:23" ht="30">
      <c r="B50" s="1" t="s">
        <v>110</v>
      </c>
      <c r="C50" s="2">
        <v>278.04000000000002</v>
      </c>
      <c r="D50" s="2">
        <v>278.02</v>
      </c>
      <c r="E50" s="2">
        <v>273.60000000000002</v>
      </c>
      <c r="F50" s="2">
        <v>273.74</v>
      </c>
      <c r="G50" s="2">
        <v>275.52</v>
      </c>
      <c r="H50" s="2">
        <v>274.88</v>
      </c>
      <c r="I50" s="2">
        <v>0</v>
      </c>
      <c r="J50" s="2">
        <v>0</v>
      </c>
      <c r="K50" s="2">
        <v>0</v>
      </c>
      <c r="L50" s="2">
        <v>0</v>
      </c>
      <c r="M50" s="2">
        <v>0</v>
      </c>
      <c r="N50" s="2">
        <v>0</v>
      </c>
      <c r="O50" s="2">
        <v>0</v>
      </c>
      <c r="P50" s="2">
        <v>0</v>
      </c>
      <c r="Q50" s="2">
        <v>0</v>
      </c>
      <c r="R50" s="2">
        <v>0</v>
      </c>
      <c r="S50" s="2">
        <v>0</v>
      </c>
      <c r="T50" s="2">
        <v>0</v>
      </c>
      <c r="U50" s="2">
        <v>0</v>
      </c>
      <c r="V50" s="2">
        <v>0</v>
      </c>
      <c r="W50" s="2">
        <v>0</v>
      </c>
    </row>
    <row r="51" spans="2:23" ht="30">
      <c r="B51" s="1" t="s">
        <v>111</v>
      </c>
      <c r="C51" s="2">
        <v>0</v>
      </c>
      <c r="D51" s="2">
        <v>0</v>
      </c>
      <c r="E51" s="2">
        <v>0</v>
      </c>
      <c r="F51" s="2">
        <v>0</v>
      </c>
      <c r="G51" s="2">
        <v>0</v>
      </c>
      <c r="H51" s="2">
        <v>0</v>
      </c>
      <c r="I51" s="2">
        <v>0</v>
      </c>
      <c r="J51" s="2">
        <v>0</v>
      </c>
      <c r="K51" s="2">
        <v>0</v>
      </c>
      <c r="L51" s="2">
        <v>0</v>
      </c>
      <c r="M51" s="2">
        <v>0</v>
      </c>
      <c r="N51" s="2">
        <v>0</v>
      </c>
      <c r="O51" s="2">
        <v>0</v>
      </c>
      <c r="P51" s="2">
        <v>0</v>
      </c>
      <c r="Q51" s="2">
        <v>0</v>
      </c>
      <c r="R51" s="2">
        <v>0</v>
      </c>
      <c r="S51" s="2">
        <v>0</v>
      </c>
      <c r="T51" s="2">
        <v>0</v>
      </c>
      <c r="U51" s="2">
        <v>0</v>
      </c>
      <c r="V51" s="2">
        <v>0</v>
      </c>
      <c r="W51" s="2">
        <v>0</v>
      </c>
    </row>
    <row r="52" spans="2:23" ht="30">
      <c r="B52" s="1" t="s">
        <v>112</v>
      </c>
      <c r="C52" s="2">
        <v>0</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row>
    <row r="53" spans="2:23" ht="30">
      <c r="B53" s="1" t="s">
        <v>113</v>
      </c>
      <c r="C53" s="2">
        <v>0</v>
      </c>
      <c r="D53" s="2">
        <v>0</v>
      </c>
      <c r="E53" s="2">
        <v>0</v>
      </c>
      <c r="F53" s="2">
        <v>0</v>
      </c>
      <c r="G53" s="2">
        <v>0</v>
      </c>
      <c r="H53" s="2">
        <v>0</v>
      </c>
      <c r="I53" s="2">
        <v>0</v>
      </c>
      <c r="J53" s="2">
        <v>0</v>
      </c>
      <c r="K53" s="2">
        <v>0</v>
      </c>
      <c r="L53" s="2">
        <v>0</v>
      </c>
      <c r="M53" s="2">
        <v>0</v>
      </c>
      <c r="N53" s="2">
        <v>0</v>
      </c>
      <c r="O53" s="2">
        <v>0</v>
      </c>
      <c r="P53" s="2">
        <v>0</v>
      </c>
      <c r="Q53" s="2">
        <v>0</v>
      </c>
      <c r="R53" s="2">
        <v>0</v>
      </c>
      <c r="S53" s="2">
        <v>0</v>
      </c>
      <c r="T53" s="2">
        <v>0</v>
      </c>
      <c r="U53" s="2">
        <v>0</v>
      </c>
      <c r="V53" s="2">
        <v>0</v>
      </c>
      <c r="W53" s="2">
        <v>0</v>
      </c>
    </row>
    <row r="54" spans="2:23" ht="30">
      <c r="B54" s="1" t="s">
        <v>114</v>
      </c>
      <c r="C54" s="2">
        <v>0</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row>
    <row r="55" spans="2:23" ht="30">
      <c r="B55" s="1" t="s">
        <v>115</v>
      </c>
      <c r="C55" s="2">
        <v>0</v>
      </c>
      <c r="D55" s="2">
        <v>243.78</v>
      </c>
      <c r="E55" s="2">
        <v>239.46</v>
      </c>
      <c r="F55" s="2">
        <v>239.8</v>
      </c>
      <c r="G55" s="2">
        <v>252.15</v>
      </c>
      <c r="H55" s="2">
        <v>236.18</v>
      </c>
      <c r="I55" s="2">
        <v>0</v>
      </c>
      <c r="J55" s="2">
        <v>0</v>
      </c>
      <c r="K55" s="2">
        <v>0</v>
      </c>
      <c r="L55" s="2">
        <v>0</v>
      </c>
      <c r="M55" s="2">
        <v>0</v>
      </c>
      <c r="N55" s="2">
        <v>0</v>
      </c>
      <c r="O55" s="2">
        <v>0</v>
      </c>
      <c r="P55" s="2">
        <v>0</v>
      </c>
      <c r="Q55" s="2">
        <v>0</v>
      </c>
      <c r="R55" s="2">
        <v>0</v>
      </c>
      <c r="S55" s="2">
        <v>0</v>
      </c>
      <c r="T55" s="2">
        <v>0</v>
      </c>
      <c r="U55" s="2">
        <v>0</v>
      </c>
      <c r="V55" s="2">
        <v>0</v>
      </c>
      <c r="W55" s="2">
        <v>0</v>
      </c>
    </row>
    <row r="56" spans="2:23" ht="30">
      <c r="B56" s="1" t="s">
        <v>116</v>
      </c>
      <c r="C56" s="2">
        <v>0</v>
      </c>
      <c r="D56" s="2">
        <v>225.66</v>
      </c>
      <c r="E56" s="2">
        <v>166.55</v>
      </c>
      <c r="F56" s="2">
        <v>221.52</v>
      </c>
      <c r="G56" s="2">
        <v>221.22</v>
      </c>
      <c r="H56" s="2">
        <v>225.54</v>
      </c>
      <c r="I56" s="2">
        <v>0</v>
      </c>
      <c r="J56" s="2">
        <v>0</v>
      </c>
      <c r="K56" s="2">
        <v>0</v>
      </c>
      <c r="L56" s="2">
        <v>0</v>
      </c>
      <c r="M56" s="2">
        <v>0</v>
      </c>
      <c r="N56" s="2">
        <v>0</v>
      </c>
      <c r="O56" s="2">
        <v>0</v>
      </c>
      <c r="P56" s="2">
        <v>0</v>
      </c>
      <c r="Q56" s="2">
        <v>0</v>
      </c>
      <c r="R56" s="2">
        <v>0</v>
      </c>
      <c r="S56" s="2">
        <v>0</v>
      </c>
      <c r="T56" s="2">
        <v>0</v>
      </c>
      <c r="U56" s="2">
        <v>0</v>
      </c>
      <c r="V56" s="2">
        <v>0</v>
      </c>
      <c r="W56" s="2">
        <v>0</v>
      </c>
    </row>
    <row r="57" spans="2:23" ht="30">
      <c r="B57" s="1" t="s">
        <v>117</v>
      </c>
      <c r="C57" s="2">
        <v>0</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row>
    <row r="58" spans="2:23" ht="30">
      <c r="B58" s="1" t="s">
        <v>118</v>
      </c>
      <c r="C58" s="2">
        <v>0</v>
      </c>
      <c r="D58" s="2">
        <v>0</v>
      </c>
      <c r="E58" s="2">
        <v>0</v>
      </c>
      <c r="F58" s="2">
        <v>0</v>
      </c>
      <c r="G58" s="2">
        <v>0</v>
      </c>
      <c r="H58" s="2">
        <v>0</v>
      </c>
      <c r="I58" s="2">
        <v>0</v>
      </c>
      <c r="J58" s="2">
        <v>0</v>
      </c>
      <c r="K58" s="2">
        <v>0</v>
      </c>
      <c r="L58" s="2">
        <v>0</v>
      </c>
      <c r="M58" s="2">
        <v>0</v>
      </c>
      <c r="N58" s="2">
        <v>0</v>
      </c>
      <c r="O58" s="2">
        <v>0</v>
      </c>
      <c r="P58" s="2">
        <v>0</v>
      </c>
      <c r="Q58" s="2">
        <v>0</v>
      </c>
      <c r="R58" s="2">
        <v>0</v>
      </c>
      <c r="S58" s="2">
        <v>0</v>
      </c>
      <c r="T58" s="2">
        <v>0</v>
      </c>
      <c r="U58" s="2">
        <v>0</v>
      </c>
      <c r="V58" s="2">
        <v>0</v>
      </c>
      <c r="W58" s="2">
        <v>0</v>
      </c>
    </row>
    <row r="59" spans="2:23" ht="30">
      <c r="B59" s="1" t="s">
        <v>119</v>
      </c>
      <c r="C59" s="2">
        <v>0</v>
      </c>
      <c r="D59" s="2">
        <v>0</v>
      </c>
      <c r="E59" s="2">
        <v>0</v>
      </c>
      <c r="F59" s="2">
        <v>0</v>
      </c>
      <c r="G59" s="2">
        <v>0</v>
      </c>
      <c r="H59" s="2">
        <v>0</v>
      </c>
      <c r="I59" s="2">
        <v>0</v>
      </c>
      <c r="J59" s="2">
        <v>0</v>
      </c>
      <c r="K59" s="2">
        <v>0</v>
      </c>
      <c r="L59" s="2">
        <v>0</v>
      </c>
      <c r="M59" s="2">
        <v>0</v>
      </c>
      <c r="N59" s="2">
        <v>0</v>
      </c>
      <c r="O59" s="2">
        <v>0</v>
      </c>
      <c r="P59" s="2">
        <v>0</v>
      </c>
      <c r="Q59" s="2">
        <v>0</v>
      </c>
      <c r="R59" s="2">
        <v>0</v>
      </c>
      <c r="S59" s="2">
        <v>0</v>
      </c>
      <c r="T59" s="2">
        <v>0</v>
      </c>
      <c r="U59" s="2">
        <v>0</v>
      </c>
      <c r="V59" s="2">
        <v>0</v>
      </c>
      <c r="W59" s="2">
        <v>0</v>
      </c>
    </row>
    <row r="60" spans="2:23" ht="30">
      <c r="B60" s="1" t="s">
        <v>120</v>
      </c>
      <c r="C60" s="2">
        <v>0</v>
      </c>
      <c r="D60" s="2">
        <v>0</v>
      </c>
      <c r="E60" s="2">
        <v>0</v>
      </c>
      <c r="F60" s="2">
        <v>0</v>
      </c>
      <c r="G60" s="2">
        <v>0</v>
      </c>
      <c r="H60" s="2">
        <v>0</v>
      </c>
      <c r="I60" s="2">
        <v>0</v>
      </c>
      <c r="J60" s="2">
        <v>0</v>
      </c>
      <c r="K60" s="2">
        <v>0</v>
      </c>
      <c r="L60" s="2">
        <v>0</v>
      </c>
      <c r="M60" s="2">
        <v>0</v>
      </c>
      <c r="N60" s="2">
        <v>0</v>
      </c>
      <c r="O60" s="2">
        <v>0</v>
      </c>
      <c r="P60" s="2">
        <v>0</v>
      </c>
      <c r="Q60" s="2">
        <v>0</v>
      </c>
      <c r="R60" s="2">
        <v>0</v>
      </c>
      <c r="S60" s="2">
        <v>0</v>
      </c>
      <c r="T60" s="2">
        <v>0</v>
      </c>
      <c r="U60" s="2">
        <v>0</v>
      </c>
      <c r="V60" s="2">
        <v>0</v>
      </c>
      <c r="W60" s="2">
        <v>0</v>
      </c>
    </row>
    <row r="61" spans="2:23" ht="15">
      <c r="B61" s="1" t="s">
        <v>121</v>
      </c>
      <c r="C61" s="2">
        <v>230.89</v>
      </c>
      <c r="D61" s="2">
        <v>294.64</v>
      </c>
      <c r="E61" s="2">
        <v>278.76</v>
      </c>
      <c r="F61" s="2">
        <v>203.81</v>
      </c>
      <c r="G61" s="2">
        <v>291.51</v>
      </c>
      <c r="H61" s="2">
        <v>259.44</v>
      </c>
      <c r="I61" s="2">
        <v>0</v>
      </c>
      <c r="J61" s="2">
        <v>0</v>
      </c>
      <c r="K61" s="2">
        <v>0</v>
      </c>
      <c r="L61" s="2">
        <v>0</v>
      </c>
      <c r="M61" s="2">
        <v>0</v>
      </c>
      <c r="N61" s="2">
        <v>0</v>
      </c>
      <c r="O61" s="2">
        <v>0</v>
      </c>
      <c r="P61" s="2">
        <v>0</v>
      </c>
      <c r="Q61" s="2">
        <v>0</v>
      </c>
      <c r="R61" s="2">
        <v>0</v>
      </c>
      <c r="S61" s="2">
        <v>0</v>
      </c>
      <c r="T61" s="2">
        <v>0</v>
      </c>
      <c r="U61" s="2">
        <v>0</v>
      </c>
      <c r="V61" s="2">
        <v>0</v>
      </c>
      <c r="W61" s="2">
        <v>0</v>
      </c>
    </row>
    <row r="62" spans="2:23" ht="30">
      <c r="B62" s="1" t="s">
        <v>122</v>
      </c>
      <c r="C62" s="2">
        <v>285.92</v>
      </c>
      <c r="D62" s="2">
        <v>279.13</v>
      </c>
      <c r="E62" s="2">
        <v>281.76</v>
      </c>
      <c r="F62" s="2">
        <v>242.19</v>
      </c>
      <c r="G62" s="2">
        <v>284.67</v>
      </c>
      <c r="H62" s="2">
        <v>289.88</v>
      </c>
      <c r="I62" s="2">
        <v>0</v>
      </c>
      <c r="J62" s="2">
        <v>0</v>
      </c>
      <c r="K62" s="2">
        <v>0</v>
      </c>
      <c r="L62" s="2">
        <v>0</v>
      </c>
      <c r="M62" s="2">
        <v>0</v>
      </c>
      <c r="N62" s="2">
        <v>0</v>
      </c>
      <c r="O62" s="2">
        <v>0</v>
      </c>
      <c r="P62" s="2">
        <v>0</v>
      </c>
      <c r="Q62" s="2">
        <v>0</v>
      </c>
      <c r="R62" s="2">
        <v>0</v>
      </c>
      <c r="S62" s="2">
        <v>0</v>
      </c>
      <c r="T62" s="2">
        <v>0</v>
      </c>
      <c r="U62" s="2">
        <v>0</v>
      </c>
      <c r="V62" s="2">
        <v>0</v>
      </c>
      <c r="W62" s="2">
        <v>0</v>
      </c>
    </row>
    <row r="63" spans="2:23" ht="30">
      <c r="B63" s="1" t="s">
        <v>123</v>
      </c>
      <c r="C63" s="2">
        <v>0</v>
      </c>
      <c r="D63" s="2">
        <v>0</v>
      </c>
      <c r="E63" s="2">
        <v>0</v>
      </c>
      <c r="F63" s="2">
        <v>0</v>
      </c>
      <c r="G63" s="2">
        <v>0</v>
      </c>
      <c r="H63" s="2">
        <v>0</v>
      </c>
      <c r="I63" s="2">
        <v>0</v>
      </c>
      <c r="J63" s="2">
        <v>0</v>
      </c>
      <c r="K63" s="2">
        <v>0</v>
      </c>
      <c r="L63" s="2">
        <v>0</v>
      </c>
      <c r="M63" s="2">
        <v>0</v>
      </c>
      <c r="N63" s="2">
        <v>0</v>
      </c>
      <c r="O63" s="2">
        <v>0</v>
      </c>
      <c r="P63" s="2">
        <v>0</v>
      </c>
      <c r="Q63" s="2">
        <v>0</v>
      </c>
      <c r="R63" s="2">
        <v>0</v>
      </c>
      <c r="S63" s="2">
        <v>0</v>
      </c>
      <c r="T63" s="2">
        <v>0</v>
      </c>
      <c r="U63" s="2">
        <v>0</v>
      </c>
      <c r="V63" s="2">
        <v>0</v>
      </c>
      <c r="W63" s="2">
        <v>0</v>
      </c>
    </row>
    <row r="64" spans="2:23" ht="30">
      <c r="B64" s="1" t="s">
        <v>124</v>
      </c>
      <c r="C64" s="2">
        <v>0</v>
      </c>
      <c r="D64" s="2">
        <v>0</v>
      </c>
      <c r="E64" s="2">
        <v>0</v>
      </c>
      <c r="F64" s="2">
        <v>0</v>
      </c>
      <c r="G64" s="2">
        <v>0</v>
      </c>
      <c r="H64" s="2">
        <v>0</v>
      </c>
      <c r="I64" s="2">
        <v>0</v>
      </c>
      <c r="J64" s="2">
        <v>0</v>
      </c>
      <c r="K64" s="2">
        <v>0</v>
      </c>
      <c r="L64" s="2">
        <v>0</v>
      </c>
      <c r="M64" s="2">
        <v>0</v>
      </c>
      <c r="N64" s="2">
        <v>0</v>
      </c>
      <c r="O64" s="2">
        <v>0</v>
      </c>
      <c r="P64" s="2">
        <v>0</v>
      </c>
      <c r="Q64" s="2">
        <v>0</v>
      </c>
      <c r="R64" s="2">
        <v>0</v>
      </c>
      <c r="S64" s="2">
        <v>0</v>
      </c>
      <c r="T64" s="2">
        <v>0</v>
      </c>
      <c r="U64" s="2">
        <v>0</v>
      </c>
      <c r="V64" s="2">
        <v>0</v>
      </c>
      <c r="W64" s="2">
        <v>0</v>
      </c>
    </row>
    <row r="65" spans="2:23" ht="30">
      <c r="B65" s="1" t="s">
        <v>125</v>
      </c>
      <c r="C65" s="2">
        <v>0</v>
      </c>
      <c r="D65" s="2">
        <v>0</v>
      </c>
      <c r="E65" s="2">
        <v>0</v>
      </c>
      <c r="F65" s="2">
        <v>0</v>
      </c>
      <c r="G65" s="2">
        <v>0</v>
      </c>
      <c r="H65" s="2">
        <v>0</v>
      </c>
      <c r="I65" s="2">
        <v>0</v>
      </c>
      <c r="J65" s="2">
        <v>0</v>
      </c>
      <c r="K65" s="2">
        <v>0</v>
      </c>
      <c r="L65" s="2">
        <v>0</v>
      </c>
      <c r="M65" s="2">
        <v>0</v>
      </c>
      <c r="N65" s="2">
        <v>0</v>
      </c>
      <c r="O65" s="2">
        <v>0</v>
      </c>
      <c r="P65" s="2">
        <v>0</v>
      </c>
      <c r="Q65" s="2">
        <v>0</v>
      </c>
      <c r="R65" s="2">
        <v>0</v>
      </c>
      <c r="S65" s="2">
        <v>0</v>
      </c>
      <c r="T65" s="2">
        <v>0</v>
      </c>
      <c r="U65" s="2">
        <v>0</v>
      </c>
      <c r="V65" s="2">
        <v>0</v>
      </c>
      <c r="W65" s="2">
        <v>0</v>
      </c>
    </row>
    <row r="66" spans="2:23" ht="30">
      <c r="B66" s="1" t="s">
        <v>126</v>
      </c>
      <c r="C66" s="2">
        <v>0</v>
      </c>
      <c r="D66" s="2">
        <v>0</v>
      </c>
      <c r="E66" s="2">
        <v>0</v>
      </c>
      <c r="F66" s="2">
        <v>0</v>
      </c>
      <c r="G66" s="2">
        <v>0</v>
      </c>
      <c r="H66" s="2">
        <v>0</v>
      </c>
      <c r="I66" s="2">
        <v>0</v>
      </c>
      <c r="J66" s="2">
        <v>0</v>
      </c>
      <c r="K66" s="2">
        <v>0</v>
      </c>
      <c r="L66" s="2">
        <v>0</v>
      </c>
      <c r="M66" s="2">
        <v>0</v>
      </c>
      <c r="N66" s="2">
        <v>0</v>
      </c>
      <c r="O66" s="2">
        <v>0</v>
      </c>
      <c r="P66" s="2">
        <v>0</v>
      </c>
      <c r="Q66" s="2">
        <v>0</v>
      </c>
      <c r="R66" s="2">
        <v>0</v>
      </c>
      <c r="S66" s="2">
        <v>0</v>
      </c>
      <c r="T66" s="2">
        <v>0</v>
      </c>
      <c r="U66" s="2">
        <v>0</v>
      </c>
      <c r="V66" s="2">
        <v>0</v>
      </c>
      <c r="W66" s="2">
        <v>0</v>
      </c>
    </row>
    <row r="67" spans="2:23" ht="30">
      <c r="B67" s="1" t="s">
        <v>127</v>
      </c>
      <c r="C67" s="2">
        <v>180.02</v>
      </c>
      <c r="D67" s="2">
        <v>0</v>
      </c>
      <c r="E67" s="2">
        <v>0</v>
      </c>
      <c r="F67" s="2">
        <v>163.71</v>
      </c>
      <c r="G67" s="2">
        <v>219.84</v>
      </c>
      <c r="H67" s="2">
        <v>227.51</v>
      </c>
      <c r="I67" s="2">
        <v>0</v>
      </c>
      <c r="J67" s="2">
        <v>0</v>
      </c>
      <c r="K67" s="2">
        <v>0</v>
      </c>
      <c r="L67" s="2">
        <v>0</v>
      </c>
      <c r="M67" s="2">
        <v>0</v>
      </c>
      <c r="N67" s="2">
        <v>0</v>
      </c>
      <c r="O67" s="2">
        <v>0</v>
      </c>
      <c r="P67" s="2">
        <v>0</v>
      </c>
      <c r="Q67" s="2">
        <v>0</v>
      </c>
      <c r="R67" s="2">
        <v>0</v>
      </c>
      <c r="S67" s="2">
        <v>0</v>
      </c>
      <c r="T67" s="2">
        <v>0</v>
      </c>
      <c r="U67" s="2">
        <v>0</v>
      </c>
      <c r="V67" s="2">
        <v>0</v>
      </c>
      <c r="W67" s="2">
        <v>0</v>
      </c>
    </row>
    <row r="68" spans="2:23" ht="30">
      <c r="B68" s="1" t="s">
        <v>128</v>
      </c>
      <c r="C68" s="2">
        <v>161.63999999999999</v>
      </c>
      <c r="D68" s="2">
        <v>0</v>
      </c>
      <c r="E68" s="2">
        <v>0</v>
      </c>
      <c r="F68" s="2">
        <v>153.66999999999999</v>
      </c>
      <c r="G68" s="2">
        <v>191.91</v>
      </c>
      <c r="H68" s="2">
        <v>193.88</v>
      </c>
      <c r="I68" s="2">
        <v>0</v>
      </c>
      <c r="J68" s="2">
        <v>0</v>
      </c>
      <c r="K68" s="2">
        <v>0</v>
      </c>
      <c r="L68" s="2">
        <v>0</v>
      </c>
      <c r="M68" s="2">
        <v>0</v>
      </c>
      <c r="N68" s="2">
        <v>0</v>
      </c>
      <c r="O68" s="2">
        <v>0</v>
      </c>
      <c r="P68" s="2">
        <v>0</v>
      </c>
      <c r="Q68" s="2">
        <v>0</v>
      </c>
      <c r="R68" s="2">
        <v>0</v>
      </c>
      <c r="S68" s="2">
        <v>0</v>
      </c>
      <c r="T68" s="2">
        <v>0</v>
      </c>
      <c r="U68" s="2">
        <v>0</v>
      </c>
      <c r="V68" s="2">
        <v>0</v>
      </c>
      <c r="W68" s="2">
        <v>0</v>
      </c>
    </row>
    <row r="69" spans="2:23" ht="30">
      <c r="B69" s="1" t="s">
        <v>129</v>
      </c>
      <c r="C69" s="2">
        <v>0</v>
      </c>
      <c r="D69" s="2">
        <v>0</v>
      </c>
      <c r="E69" s="2">
        <v>0</v>
      </c>
      <c r="F69" s="2">
        <v>0</v>
      </c>
      <c r="G69" s="2">
        <v>0</v>
      </c>
      <c r="H69" s="2">
        <v>0</v>
      </c>
      <c r="I69" s="2">
        <v>0</v>
      </c>
      <c r="J69" s="2">
        <v>0</v>
      </c>
      <c r="K69" s="2">
        <v>0</v>
      </c>
      <c r="L69" s="2">
        <v>0</v>
      </c>
      <c r="M69" s="2">
        <v>0</v>
      </c>
      <c r="N69" s="2">
        <v>0</v>
      </c>
      <c r="O69" s="2">
        <v>0</v>
      </c>
      <c r="P69" s="2">
        <v>0</v>
      </c>
      <c r="Q69" s="2">
        <v>0</v>
      </c>
      <c r="R69" s="2">
        <v>0</v>
      </c>
      <c r="S69" s="2">
        <v>0</v>
      </c>
      <c r="T69" s="2">
        <v>0</v>
      </c>
      <c r="U69" s="2">
        <v>0</v>
      </c>
      <c r="V69" s="2">
        <v>0</v>
      </c>
      <c r="W69" s="2">
        <v>0</v>
      </c>
    </row>
    <row r="70" spans="2:23" ht="30">
      <c r="B70" s="1" t="s">
        <v>130</v>
      </c>
      <c r="C70" s="2">
        <v>0</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row>
    <row r="71" spans="2:23" ht="30">
      <c r="B71" s="1" t="s">
        <v>131</v>
      </c>
      <c r="C71" s="2">
        <v>0</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row>
    <row r="72" spans="2:23" ht="30">
      <c r="B72" s="1" t="s">
        <v>132</v>
      </c>
      <c r="C72" s="2">
        <v>0</v>
      </c>
      <c r="D72" s="2">
        <v>0</v>
      </c>
      <c r="E72" s="2">
        <v>0</v>
      </c>
      <c r="F72" s="2">
        <v>0</v>
      </c>
      <c r="G72" s="2">
        <v>0</v>
      </c>
      <c r="H72" s="2">
        <v>0</v>
      </c>
      <c r="I72" s="2">
        <v>0</v>
      </c>
      <c r="J72" s="2">
        <v>0</v>
      </c>
      <c r="K72" s="2">
        <v>0</v>
      </c>
      <c r="L72" s="2">
        <v>0</v>
      </c>
      <c r="M72" s="2">
        <v>0</v>
      </c>
      <c r="N72" s="2">
        <v>0</v>
      </c>
      <c r="O72" s="2">
        <v>0</v>
      </c>
      <c r="P72" s="2">
        <v>0</v>
      </c>
      <c r="Q72" s="2">
        <v>0</v>
      </c>
      <c r="R72" s="2">
        <v>0</v>
      </c>
      <c r="S72" s="2">
        <v>0</v>
      </c>
      <c r="T72" s="2">
        <v>0</v>
      </c>
      <c r="U72" s="2">
        <v>0</v>
      </c>
      <c r="V72" s="2">
        <v>0</v>
      </c>
      <c r="W72" s="2">
        <v>0</v>
      </c>
    </row>
    <row r="73" spans="2:23" ht="15">
      <c r="B73" s="1" t="s">
        <v>133</v>
      </c>
      <c r="C73" s="2">
        <v>163.30000000000001</v>
      </c>
      <c r="D73" s="2">
        <v>0</v>
      </c>
      <c r="E73" s="2">
        <v>0</v>
      </c>
      <c r="F73" s="2">
        <v>220.64</v>
      </c>
      <c r="G73" s="2">
        <v>249.8</v>
      </c>
      <c r="H73" s="2">
        <v>243.02</v>
      </c>
      <c r="I73" s="2">
        <v>0</v>
      </c>
      <c r="J73" s="2">
        <v>0</v>
      </c>
      <c r="K73" s="2">
        <v>0</v>
      </c>
      <c r="L73" s="2">
        <v>0</v>
      </c>
      <c r="M73" s="2">
        <v>0</v>
      </c>
      <c r="N73" s="2">
        <v>0</v>
      </c>
      <c r="O73" s="2">
        <v>0</v>
      </c>
      <c r="P73" s="2">
        <v>0</v>
      </c>
      <c r="Q73" s="2">
        <v>0</v>
      </c>
      <c r="R73" s="2">
        <v>0</v>
      </c>
      <c r="S73" s="2">
        <v>0</v>
      </c>
      <c r="T73" s="2">
        <v>0</v>
      </c>
      <c r="U73" s="2">
        <v>0</v>
      </c>
      <c r="V73" s="2">
        <v>0</v>
      </c>
      <c r="W73" s="2">
        <v>0</v>
      </c>
    </row>
    <row r="74" spans="2:23" ht="30">
      <c r="B74" s="1" t="s">
        <v>134</v>
      </c>
      <c r="C74" s="2">
        <v>178.77</v>
      </c>
      <c r="D74" s="2">
        <v>0</v>
      </c>
      <c r="E74" s="2">
        <v>0</v>
      </c>
      <c r="F74" s="2">
        <v>224.45</v>
      </c>
      <c r="G74" s="2">
        <v>244.82</v>
      </c>
      <c r="H74" s="2">
        <v>246.17</v>
      </c>
      <c r="I74" s="2">
        <v>0</v>
      </c>
      <c r="J74" s="2">
        <v>0</v>
      </c>
      <c r="K74" s="2">
        <v>0</v>
      </c>
      <c r="L74" s="2">
        <v>0</v>
      </c>
      <c r="M74" s="2">
        <v>0</v>
      </c>
      <c r="N74" s="2">
        <v>0</v>
      </c>
      <c r="O74" s="2">
        <v>0</v>
      </c>
      <c r="P74" s="2">
        <v>0</v>
      </c>
      <c r="Q74" s="2">
        <v>0</v>
      </c>
      <c r="R74" s="2">
        <v>0</v>
      </c>
      <c r="S74" s="2">
        <v>0</v>
      </c>
      <c r="T74" s="2">
        <v>0</v>
      </c>
      <c r="U74" s="2">
        <v>0</v>
      </c>
      <c r="V74" s="2">
        <v>0</v>
      </c>
      <c r="W74" s="2">
        <v>0</v>
      </c>
    </row>
    <row r="75" spans="2:23" ht="30">
      <c r="B75" s="1" t="s">
        <v>135</v>
      </c>
      <c r="C75" s="2">
        <v>0</v>
      </c>
      <c r="D75" s="2">
        <v>0</v>
      </c>
      <c r="E75" s="2">
        <v>0</v>
      </c>
      <c r="F75" s="2">
        <v>0</v>
      </c>
      <c r="G75" s="2">
        <v>0</v>
      </c>
      <c r="H75" s="2">
        <v>0</v>
      </c>
      <c r="I75" s="2">
        <v>0</v>
      </c>
      <c r="J75" s="2">
        <v>0</v>
      </c>
      <c r="K75" s="2">
        <v>0</v>
      </c>
      <c r="L75" s="2">
        <v>0</v>
      </c>
      <c r="M75" s="2">
        <v>0</v>
      </c>
      <c r="N75" s="2">
        <v>0</v>
      </c>
      <c r="O75" s="2">
        <v>0</v>
      </c>
      <c r="P75" s="2">
        <v>0</v>
      </c>
      <c r="Q75" s="2">
        <v>0</v>
      </c>
      <c r="R75" s="2">
        <v>0</v>
      </c>
      <c r="S75" s="2">
        <v>0</v>
      </c>
      <c r="T75" s="2">
        <v>0</v>
      </c>
      <c r="U75" s="2">
        <v>0</v>
      </c>
      <c r="V75" s="2">
        <v>0</v>
      </c>
      <c r="W75" s="2">
        <v>0</v>
      </c>
    </row>
    <row r="76" spans="2:23" ht="30">
      <c r="B76" s="1" t="s">
        <v>136</v>
      </c>
      <c r="C76" s="2">
        <v>0</v>
      </c>
      <c r="D76" s="2">
        <v>0</v>
      </c>
      <c r="E76" s="2">
        <v>0</v>
      </c>
      <c r="F76" s="2">
        <v>0</v>
      </c>
      <c r="G76" s="2">
        <v>0</v>
      </c>
      <c r="H76" s="2">
        <v>0</v>
      </c>
      <c r="I76" s="2">
        <v>0</v>
      </c>
      <c r="J76" s="2">
        <v>0</v>
      </c>
      <c r="K76" s="2">
        <v>0</v>
      </c>
      <c r="L76" s="2">
        <v>0</v>
      </c>
      <c r="M76" s="2">
        <v>0</v>
      </c>
      <c r="N76" s="2">
        <v>0</v>
      </c>
      <c r="O76" s="2">
        <v>0</v>
      </c>
      <c r="P76" s="2">
        <v>0</v>
      </c>
      <c r="Q76" s="2">
        <v>0</v>
      </c>
      <c r="R76" s="2">
        <v>0</v>
      </c>
      <c r="S76" s="2">
        <v>0</v>
      </c>
      <c r="T76" s="2">
        <v>0</v>
      </c>
      <c r="U76" s="2">
        <v>0</v>
      </c>
      <c r="V76" s="2">
        <v>0</v>
      </c>
      <c r="W76" s="2">
        <v>0</v>
      </c>
    </row>
    <row r="77" spans="2:23" ht="30">
      <c r="B77" s="1" t="s">
        <v>137</v>
      </c>
      <c r="C77" s="2">
        <v>0</v>
      </c>
      <c r="D77" s="2">
        <v>0</v>
      </c>
      <c r="E77" s="2">
        <v>0</v>
      </c>
      <c r="F77" s="2">
        <v>0</v>
      </c>
      <c r="G77" s="2">
        <v>0</v>
      </c>
      <c r="H77" s="2">
        <v>0</v>
      </c>
      <c r="I77" s="2">
        <v>0</v>
      </c>
      <c r="J77" s="2">
        <v>0</v>
      </c>
      <c r="K77" s="2">
        <v>0</v>
      </c>
      <c r="L77" s="2">
        <v>0</v>
      </c>
      <c r="M77" s="2">
        <v>0</v>
      </c>
      <c r="N77" s="2">
        <v>0</v>
      </c>
      <c r="O77" s="2">
        <v>0</v>
      </c>
      <c r="P77" s="2">
        <v>0</v>
      </c>
      <c r="Q77" s="2">
        <v>0</v>
      </c>
      <c r="R77" s="2">
        <v>0</v>
      </c>
      <c r="S77" s="2">
        <v>0</v>
      </c>
      <c r="T77" s="2">
        <v>0</v>
      </c>
      <c r="U77" s="2">
        <v>0</v>
      </c>
      <c r="V77" s="2">
        <v>0</v>
      </c>
      <c r="W77" s="2">
        <v>0</v>
      </c>
    </row>
    <row r="78" spans="2:23" ht="30">
      <c r="B78" s="1" t="s">
        <v>138</v>
      </c>
      <c r="C78" s="2">
        <v>0</v>
      </c>
      <c r="D78" s="2">
        <v>0</v>
      </c>
      <c r="E78" s="2">
        <v>0</v>
      </c>
      <c r="F78" s="2">
        <v>0</v>
      </c>
      <c r="G78" s="2">
        <v>0</v>
      </c>
      <c r="H78" s="2">
        <v>0</v>
      </c>
      <c r="I78" s="2">
        <v>0</v>
      </c>
      <c r="J78" s="2">
        <v>0</v>
      </c>
      <c r="K78" s="2">
        <v>0</v>
      </c>
      <c r="L78" s="2">
        <v>0</v>
      </c>
      <c r="M78" s="2">
        <v>0</v>
      </c>
      <c r="N78" s="2">
        <v>0</v>
      </c>
      <c r="O78" s="2">
        <v>0</v>
      </c>
      <c r="P78" s="2">
        <v>0</v>
      </c>
      <c r="Q78" s="2">
        <v>0</v>
      </c>
      <c r="R78" s="2">
        <v>0</v>
      </c>
      <c r="S78" s="2">
        <v>0</v>
      </c>
      <c r="T78" s="2">
        <v>0</v>
      </c>
      <c r="U78" s="2">
        <v>0</v>
      </c>
      <c r="V78" s="2">
        <v>0</v>
      </c>
      <c r="W78" s="2">
        <v>0</v>
      </c>
    </row>
    <row r="79" spans="2:23" ht="30">
      <c r="B79" s="1" t="s">
        <v>139</v>
      </c>
      <c r="C79" s="2">
        <v>0</v>
      </c>
      <c r="D79" s="2">
        <v>0</v>
      </c>
      <c r="E79" s="2">
        <v>0</v>
      </c>
      <c r="F79" s="2">
        <v>0</v>
      </c>
      <c r="G79" s="2">
        <v>0</v>
      </c>
      <c r="H79" s="2">
        <v>0</v>
      </c>
      <c r="I79" s="2">
        <v>0</v>
      </c>
      <c r="J79" s="2">
        <v>0</v>
      </c>
      <c r="K79" s="2">
        <v>0</v>
      </c>
      <c r="L79" s="2">
        <v>0</v>
      </c>
      <c r="M79" s="2">
        <v>0</v>
      </c>
      <c r="N79" s="2">
        <v>0</v>
      </c>
      <c r="O79" s="2">
        <v>0</v>
      </c>
      <c r="P79" s="2">
        <v>0</v>
      </c>
      <c r="Q79" s="2">
        <v>0</v>
      </c>
      <c r="R79" s="2">
        <v>0</v>
      </c>
      <c r="S79" s="2">
        <v>0</v>
      </c>
      <c r="T79" s="2">
        <v>0</v>
      </c>
      <c r="U79" s="2">
        <v>0</v>
      </c>
      <c r="V79" s="2">
        <v>0</v>
      </c>
      <c r="W79" s="2">
        <v>0</v>
      </c>
    </row>
    <row r="80" spans="2:23" ht="30">
      <c r="B80" s="1" t="s">
        <v>140</v>
      </c>
      <c r="C80" s="2">
        <v>0</v>
      </c>
      <c r="D80" s="2">
        <v>0</v>
      </c>
      <c r="E80" s="2">
        <v>0</v>
      </c>
      <c r="F80" s="2">
        <v>0</v>
      </c>
      <c r="G80" s="2">
        <v>0</v>
      </c>
      <c r="H80" s="2">
        <v>0</v>
      </c>
      <c r="I80" s="2">
        <v>0</v>
      </c>
      <c r="J80" s="2">
        <v>0</v>
      </c>
      <c r="K80" s="2">
        <v>0</v>
      </c>
      <c r="L80" s="2">
        <v>0</v>
      </c>
      <c r="M80" s="2">
        <v>0</v>
      </c>
      <c r="N80" s="2">
        <v>0</v>
      </c>
      <c r="O80" s="2">
        <v>0</v>
      </c>
      <c r="P80" s="2">
        <v>0</v>
      </c>
      <c r="Q80" s="2">
        <v>0</v>
      </c>
      <c r="R80" s="2">
        <v>0</v>
      </c>
      <c r="S80" s="2">
        <v>0</v>
      </c>
      <c r="T80" s="2">
        <v>0</v>
      </c>
      <c r="U80" s="2">
        <v>0</v>
      </c>
      <c r="V80" s="2">
        <v>0</v>
      </c>
      <c r="W80" s="2">
        <v>0</v>
      </c>
    </row>
    <row r="81" spans="2:23" ht="30">
      <c r="B81" s="1" t="s">
        <v>141</v>
      </c>
      <c r="C81" s="2">
        <v>0</v>
      </c>
      <c r="D81" s="2">
        <v>0</v>
      </c>
      <c r="E81" s="2">
        <v>0</v>
      </c>
      <c r="F81" s="2">
        <v>0</v>
      </c>
      <c r="G81" s="2">
        <v>0</v>
      </c>
      <c r="H81" s="2">
        <v>0</v>
      </c>
      <c r="I81" s="2">
        <v>0</v>
      </c>
      <c r="J81" s="2">
        <v>0</v>
      </c>
      <c r="K81" s="2">
        <v>0</v>
      </c>
      <c r="L81" s="2">
        <v>0</v>
      </c>
      <c r="M81" s="2">
        <v>0</v>
      </c>
      <c r="N81" s="2">
        <v>0</v>
      </c>
      <c r="O81" s="2">
        <v>0</v>
      </c>
      <c r="P81" s="2">
        <v>0</v>
      </c>
      <c r="Q81" s="2">
        <v>0</v>
      </c>
      <c r="R81" s="2">
        <v>0</v>
      </c>
      <c r="S81" s="2">
        <v>0</v>
      </c>
      <c r="T81" s="2">
        <v>0</v>
      </c>
      <c r="U81" s="2">
        <v>0</v>
      </c>
      <c r="V81" s="2">
        <v>0</v>
      </c>
      <c r="W81" s="2">
        <v>0</v>
      </c>
    </row>
    <row r="82" spans="2:23" ht="30">
      <c r="B82" s="1" t="s">
        <v>142</v>
      </c>
      <c r="C82" s="2">
        <v>0</v>
      </c>
      <c r="D82" s="2">
        <v>0</v>
      </c>
      <c r="E82" s="2">
        <v>0</v>
      </c>
      <c r="F82" s="2">
        <v>0</v>
      </c>
      <c r="G82" s="2">
        <v>0</v>
      </c>
      <c r="H82" s="2">
        <v>0</v>
      </c>
      <c r="I82" s="2">
        <v>0</v>
      </c>
      <c r="J82" s="2">
        <v>0</v>
      </c>
      <c r="K82" s="2">
        <v>0</v>
      </c>
      <c r="L82" s="2">
        <v>0</v>
      </c>
      <c r="M82" s="2">
        <v>0</v>
      </c>
      <c r="N82" s="2">
        <v>0</v>
      </c>
      <c r="O82" s="2">
        <v>0</v>
      </c>
      <c r="P82" s="2">
        <v>0</v>
      </c>
      <c r="Q82" s="2">
        <v>0</v>
      </c>
      <c r="R82" s="2">
        <v>0</v>
      </c>
      <c r="S82" s="2">
        <v>0</v>
      </c>
      <c r="T82" s="2">
        <v>0</v>
      </c>
      <c r="U82" s="2">
        <v>0</v>
      </c>
      <c r="V82" s="2">
        <v>0</v>
      </c>
      <c r="W82" s="2">
        <v>0</v>
      </c>
    </row>
    <row r="83" spans="2:23" ht="30">
      <c r="B83" s="1" t="s">
        <v>143</v>
      </c>
      <c r="C83" s="2">
        <v>0</v>
      </c>
      <c r="D83" s="2">
        <v>0</v>
      </c>
      <c r="E83" s="2">
        <v>0</v>
      </c>
      <c r="F83" s="2">
        <v>0</v>
      </c>
      <c r="G83" s="2">
        <v>0</v>
      </c>
      <c r="H83" s="2">
        <v>0</v>
      </c>
      <c r="I83" s="2">
        <v>0</v>
      </c>
      <c r="J83" s="2">
        <v>0</v>
      </c>
      <c r="K83" s="2">
        <v>0</v>
      </c>
      <c r="L83" s="2">
        <v>0</v>
      </c>
      <c r="M83" s="2">
        <v>0</v>
      </c>
      <c r="N83" s="2">
        <v>0</v>
      </c>
      <c r="O83" s="2">
        <v>0</v>
      </c>
      <c r="P83" s="2">
        <v>0</v>
      </c>
      <c r="Q83" s="2">
        <v>0</v>
      </c>
      <c r="R83" s="2">
        <v>0</v>
      </c>
      <c r="S83" s="2">
        <v>0</v>
      </c>
      <c r="T83" s="2">
        <v>0</v>
      </c>
      <c r="U83" s="2">
        <v>0</v>
      </c>
      <c r="V83" s="2">
        <v>0</v>
      </c>
      <c r="W83" s="2">
        <v>0</v>
      </c>
    </row>
    <row r="84" spans="2:23" ht="30">
      <c r="B84" s="1" t="s">
        <v>144</v>
      </c>
      <c r="C84" s="2">
        <v>0</v>
      </c>
      <c r="D84" s="2">
        <v>0</v>
      </c>
      <c r="E84" s="2">
        <v>0</v>
      </c>
      <c r="F84" s="2">
        <v>0</v>
      </c>
      <c r="G84" s="2">
        <v>0</v>
      </c>
      <c r="H84" s="2">
        <v>0</v>
      </c>
      <c r="I84" s="2">
        <v>0</v>
      </c>
      <c r="J84" s="2">
        <v>0</v>
      </c>
      <c r="K84" s="2">
        <v>0</v>
      </c>
      <c r="L84" s="2">
        <v>0</v>
      </c>
      <c r="M84" s="2">
        <v>0</v>
      </c>
      <c r="N84" s="2">
        <v>0</v>
      </c>
      <c r="O84" s="2">
        <v>0</v>
      </c>
      <c r="P84" s="2">
        <v>0</v>
      </c>
      <c r="Q84" s="2">
        <v>0</v>
      </c>
      <c r="R84" s="2">
        <v>0</v>
      </c>
      <c r="S84" s="2">
        <v>0</v>
      </c>
      <c r="T84" s="2">
        <v>0</v>
      </c>
      <c r="U84" s="2">
        <v>0</v>
      </c>
      <c r="V84" s="2">
        <v>0</v>
      </c>
      <c r="W84" s="2">
        <v>0</v>
      </c>
    </row>
    <row r="85" spans="2:23" ht="15">
      <c r="B85" s="1" t="s">
        <v>145</v>
      </c>
      <c r="C85" s="2">
        <v>0</v>
      </c>
      <c r="D85" s="2">
        <v>0</v>
      </c>
      <c r="E85" s="2">
        <v>0</v>
      </c>
      <c r="F85" s="2">
        <v>226.16</v>
      </c>
      <c r="G85" s="2">
        <v>0</v>
      </c>
      <c r="H85" s="2">
        <v>0</v>
      </c>
      <c r="I85" s="2">
        <v>0</v>
      </c>
      <c r="J85" s="2">
        <v>0</v>
      </c>
      <c r="K85" s="2">
        <v>0</v>
      </c>
      <c r="L85" s="2">
        <v>0</v>
      </c>
      <c r="M85" s="2">
        <v>0</v>
      </c>
      <c r="N85" s="2">
        <v>0</v>
      </c>
      <c r="O85" s="2">
        <v>0</v>
      </c>
      <c r="P85" s="2">
        <v>0</v>
      </c>
      <c r="Q85" s="2">
        <v>0</v>
      </c>
      <c r="R85" s="2">
        <v>0</v>
      </c>
      <c r="S85" s="2">
        <v>0</v>
      </c>
      <c r="T85" s="2">
        <v>0</v>
      </c>
      <c r="U85" s="2">
        <v>0</v>
      </c>
      <c r="V85" s="2">
        <v>0</v>
      </c>
      <c r="W85" s="2">
        <v>0</v>
      </c>
    </row>
    <row r="86" spans="2:23" ht="30">
      <c r="B86" s="1" t="s">
        <v>146</v>
      </c>
      <c r="C86" s="2">
        <v>0</v>
      </c>
      <c r="D86" s="2">
        <v>0</v>
      </c>
      <c r="E86" s="2">
        <v>0</v>
      </c>
      <c r="F86" s="2">
        <v>193.78</v>
      </c>
      <c r="G86" s="2">
        <v>0</v>
      </c>
      <c r="H86" s="2">
        <v>0</v>
      </c>
      <c r="I86" s="2">
        <v>0</v>
      </c>
      <c r="J86" s="2">
        <v>0</v>
      </c>
      <c r="K86" s="2">
        <v>0</v>
      </c>
      <c r="L86" s="2">
        <v>0</v>
      </c>
      <c r="M86" s="2">
        <v>0</v>
      </c>
      <c r="N86" s="2">
        <v>0</v>
      </c>
      <c r="O86" s="2">
        <v>0</v>
      </c>
      <c r="P86" s="2">
        <v>0</v>
      </c>
      <c r="Q86" s="2">
        <v>0</v>
      </c>
      <c r="R86" s="2">
        <v>0</v>
      </c>
      <c r="S86" s="2">
        <v>0</v>
      </c>
      <c r="T86" s="2">
        <v>0</v>
      </c>
      <c r="U86" s="2">
        <v>0</v>
      </c>
      <c r="V86" s="2">
        <v>0</v>
      </c>
      <c r="W86" s="2">
        <v>0</v>
      </c>
    </row>
    <row r="87" spans="2:23" ht="30">
      <c r="B87" s="1" t="s">
        <v>147</v>
      </c>
      <c r="C87" s="2">
        <v>0</v>
      </c>
      <c r="D87" s="2">
        <v>0</v>
      </c>
      <c r="E87" s="2">
        <v>0</v>
      </c>
      <c r="F87" s="2">
        <v>216.74</v>
      </c>
      <c r="G87" s="2">
        <v>0</v>
      </c>
      <c r="H87" s="2">
        <v>0</v>
      </c>
      <c r="I87" s="2">
        <v>0</v>
      </c>
      <c r="J87" s="2">
        <v>0</v>
      </c>
      <c r="K87" s="2">
        <v>0</v>
      </c>
      <c r="L87" s="2">
        <v>0</v>
      </c>
      <c r="M87" s="2">
        <v>0</v>
      </c>
      <c r="N87" s="2">
        <v>0</v>
      </c>
      <c r="O87" s="2">
        <v>0</v>
      </c>
      <c r="P87" s="2">
        <v>0</v>
      </c>
      <c r="Q87" s="2">
        <v>0</v>
      </c>
      <c r="R87" s="2">
        <v>0</v>
      </c>
      <c r="S87" s="2">
        <v>0</v>
      </c>
      <c r="T87" s="2">
        <v>0</v>
      </c>
      <c r="U87" s="2">
        <v>0</v>
      </c>
      <c r="V87" s="2">
        <v>0</v>
      </c>
      <c r="W87" s="2">
        <v>0</v>
      </c>
    </row>
    <row r="88" spans="2:23" ht="30">
      <c r="B88" s="1" t="s">
        <v>148</v>
      </c>
      <c r="C88" s="2">
        <v>0</v>
      </c>
      <c r="D88" s="2">
        <v>0</v>
      </c>
      <c r="E88" s="2">
        <v>0</v>
      </c>
      <c r="F88" s="2">
        <v>185.51</v>
      </c>
      <c r="G88" s="2">
        <v>0</v>
      </c>
      <c r="H88" s="2">
        <v>0</v>
      </c>
      <c r="I88" s="2">
        <v>0</v>
      </c>
      <c r="J88" s="2">
        <v>0</v>
      </c>
      <c r="K88" s="2">
        <v>0</v>
      </c>
      <c r="L88" s="2">
        <v>0</v>
      </c>
      <c r="M88" s="2">
        <v>0</v>
      </c>
      <c r="N88" s="2">
        <v>0</v>
      </c>
      <c r="O88" s="2">
        <v>0</v>
      </c>
      <c r="P88" s="2">
        <v>0</v>
      </c>
      <c r="Q88" s="2">
        <v>0</v>
      </c>
      <c r="R88" s="2">
        <v>0</v>
      </c>
      <c r="S88" s="2">
        <v>0</v>
      </c>
      <c r="T88" s="2">
        <v>0</v>
      </c>
      <c r="U88" s="2">
        <v>0</v>
      </c>
      <c r="V88" s="2">
        <v>0</v>
      </c>
      <c r="W88" s="2">
        <v>0</v>
      </c>
    </row>
    <row r="89" spans="2:23" ht="30">
      <c r="B89" s="1" t="s">
        <v>149</v>
      </c>
      <c r="C89" s="2">
        <v>0</v>
      </c>
      <c r="D89" s="2">
        <v>0</v>
      </c>
      <c r="E89" s="2">
        <v>0</v>
      </c>
      <c r="F89" s="2">
        <v>189.02</v>
      </c>
      <c r="G89" s="2">
        <v>0</v>
      </c>
      <c r="H89" s="2">
        <v>0</v>
      </c>
      <c r="I89" s="2">
        <v>0</v>
      </c>
      <c r="J89" s="2">
        <v>0</v>
      </c>
      <c r="K89" s="2">
        <v>0</v>
      </c>
      <c r="L89" s="2">
        <v>0</v>
      </c>
      <c r="M89" s="2">
        <v>0</v>
      </c>
      <c r="N89" s="2">
        <v>0</v>
      </c>
      <c r="O89" s="2">
        <v>0</v>
      </c>
      <c r="P89" s="2">
        <v>0</v>
      </c>
      <c r="Q89" s="2">
        <v>0</v>
      </c>
      <c r="R89" s="2">
        <v>0</v>
      </c>
      <c r="S89" s="2">
        <v>0</v>
      </c>
      <c r="T89" s="2">
        <v>0</v>
      </c>
      <c r="U89" s="2">
        <v>0</v>
      </c>
      <c r="V89" s="2">
        <v>0</v>
      </c>
      <c r="W89" s="2">
        <v>0</v>
      </c>
    </row>
    <row r="90" spans="2:23" ht="30">
      <c r="B90" s="1" t="s">
        <v>150</v>
      </c>
      <c r="C90" s="2">
        <v>0</v>
      </c>
      <c r="D90" s="2">
        <v>0</v>
      </c>
      <c r="E90" s="2">
        <v>0</v>
      </c>
      <c r="F90" s="2">
        <v>149.13999999999999</v>
      </c>
      <c r="G90" s="2">
        <v>0</v>
      </c>
      <c r="H90" s="2">
        <v>0</v>
      </c>
      <c r="I90" s="2">
        <v>0</v>
      </c>
      <c r="J90" s="2">
        <v>0</v>
      </c>
      <c r="K90" s="2">
        <v>0</v>
      </c>
      <c r="L90" s="2">
        <v>0</v>
      </c>
      <c r="M90" s="2">
        <v>0</v>
      </c>
      <c r="N90" s="2">
        <v>0</v>
      </c>
      <c r="O90" s="2">
        <v>0</v>
      </c>
      <c r="P90" s="2">
        <v>0</v>
      </c>
      <c r="Q90" s="2">
        <v>0</v>
      </c>
      <c r="R90" s="2">
        <v>0</v>
      </c>
      <c r="S90" s="2">
        <v>0</v>
      </c>
      <c r="T90" s="2">
        <v>0</v>
      </c>
      <c r="U90" s="2">
        <v>0</v>
      </c>
      <c r="V90" s="2">
        <v>0</v>
      </c>
      <c r="W90" s="2">
        <v>0</v>
      </c>
    </row>
  </sheetData>
  <mergeCells count="13">
    <mergeCell ref="B3:B6"/>
    <mergeCell ref="C3:H3"/>
    <mergeCell ref="C4:H4"/>
    <mergeCell ref="M4:P4"/>
    <mergeCell ref="C5:H5"/>
    <mergeCell ref="M5:P5"/>
    <mergeCell ref="I3:W3"/>
    <mergeCell ref="I4:L4"/>
    <mergeCell ref="Q4:R4"/>
    <mergeCell ref="S4:W4"/>
    <mergeCell ref="I5:L5"/>
    <mergeCell ref="Q5:R5"/>
    <mergeCell ref="S5:W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113"/>
  <sheetViews>
    <sheetView rightToLeft="1" topLeftCell="C106" workbookViewId="0">
      <selection activeCell="K107" sqref="K107"/>
    </sheetView>
  </sheetViews>
  <sheetFormatPr defaultRowHeight="14.25"/>
  <sheetData>
    <row r="2" spans="1:31">
      <c r="B2" t="s">
        <v>157</v>
      </c>
      <c r="D2" t="s">
        <v>168</v>
      </c>
      <c r="K2" t="s">
        <v>158</v>
      </c>
      <c r="M2" t="s">
        <v>169</v>
      </c>
      <c r="X2" t="s">
        <v>170</v>
      </c>
      <c r="Y2" t="s">
        <v>168</v>
      </c>
    </row>
    <row r="3" spans="1:31" ht="15" customHeight="1">
      <c r="B3" s="247" t="s">
        <v>171</v>
      </c>
      <c r="C3" s="247" t="s">
        <v>0</v>
      </c>
      <c r="D3" s="247"/>
      <c r="E3" s="247"/>
      <c r="F3" s="247"/>
      <c r="G3" s="247"/>
      <c r="H3" s="247"/>
      <c r="K3" s="247" t="s">
        <v>56</v>
      </c>
      <c r="L3" s="9" t="s">
        <v>0</v>
      </c>
      <c r="M3" s="9"/>
      <c r="N3" s="9"/>
      <c r="O3" s="9"/>
      <c r="P3" s="9"/>
      <c r="Q3" s="9"/>
      <c r="X3" s="247" t="s">
        <v>172</v>
      </c>
      <c r="Y3" s="247" t="s">
        <v>0</v>
      </c>
      <c r="Z3" s="247"/>
      <c r="AA3" s="247"/>
      <c r="AB3" s="247"/>
      <c r="AC3" s="247"/>
      <c r="AD3" s="247"/>
    </row>
    <row r="4" spans="1:31" ht="15" customHeight="1">
      <c r="B4" s="247"/>
      <c r="C4" s="247" t="s">
        <v>58</v>
      </c>
      <c r="D4" s="247"/>
      <c r="E4" s="247"/>
      <c r="F4" s="247"/>
      <c r="G4" s="247" t="s">
        <v>59</v>
      </c>
      <c r="H4" s="247"/>
      <c r="K4" s="247"/>
      <c r="L4" s="1" t="s">
        <v>58</v>
      </c>
      <c r="M4" s="1"/>
      <c r="N4" s="1"/>
      <c r="O4" s="1"/>
      <c r="P4" s="1" t="s">
        <v>59</v>
      </c>
      <c r="Q4" s="1"/>
      <c r="X4" s="247"/>
      <c r="Y4" s="247" t="s">
        <v>58</v>
      </c>
      <c r="Z4" s="247"/>
      <c r="AA4" s="247"/>
      <c r="AB4" s="247"/>
      <c r="AC4" s="247" t="s">
        <v>59</v>
      </c>
      <c r="AD4" s="247"/>
    </row>
    <row r="5" spans="1:31" ht="15" customHeight="1">
      <c r="B5" s="247"/>
      <c r="C5" s="1" t="s">
        <v>61</v>
      </c>
      <c r="D5" s="1" t="s">
        <v>62</v>
      </c>
      <c r="E5" s="1" t="s">
        <v>63</v>
      </c>
      <c r="F5" s="1" t="s">
        <v>64</v>
      </c>
      <c r="G5" s="1" t="s">
        <v>65</v>
      </c>
      <c r="H5" s="1" t="s">
        <v>66</v>
      </c>
      <c r="K5" s="247"/>
      <c r="L5" s="1" t="s">
        <v>61</v>
      </c>
      <c r="M5" s="1" t="s">
        <v>62</v>
      </c>
      <c r="N5" s="1" t="s">
        <v>63</v>
      </c>
      <c r="O5" s="1" t="s">
        <v>64</v>
      </c>
      <c r="P5" s="1" t="s">
        <v>65</v>
      </c>
      <c r="Q5" s="1" t="s">
        <v>66</v>
      </c>
      <c r="X5" s="247"/>
      <c r="Y5" s="247" t="s">
        <v>60</v>
      </c>
      <c r="Z5" s="247"/>
      <c r="AA5" s="247"/>
      <c r="AB5" s="247"/>
      <c r="AC5" s="247" t="s">
        <v>60</v>
      </c>
      <c r="AD5" s="247"/>
    </row>
    <row r="6" spans="1:31" ht="30">
      <c r="A6">
        <v>2024</v>
      </c>
      <c r="B6" s="1" t="s">
        <v>67</v>
      </c>
      <c r="C6" s="2">
        <v>744</v>
      </c>
      <c r="D6" s="2">
        <v>744</v>
      </c>
      <c r="E6" s="2">
        <v>0</v>
      </c>
      <c r="F6" s="2">
        <v>0</v>
      </c>
      <c r="G6" s="2">
        <v>744</v>
      </c>
      <c r="H6" s="2">
        <v>576</v>
      </c>
      <c r="I6">
        <f>SUM(C6:H6)</f>
        <v>2808</v>
      </c>
      <c r="K6" s="1" t="s">
        <v>67</v>
      </c>
      <c r="L6" s="2">
        <v>744</v>
      </c>
      <c r="M6" s="2">
        <v>744</v>
      </c>
      <c r="N6" s="2">
        <v>744</v>
      </c>
      <c r="O6" s="2">
        <v>0</v>
      </c>
      <c r="P6" s="2">
        <v>744</v>
      </c>
      <c r="Q6" s="2">
        <v>576</v>
      </c>
      <c r="R6">
        <f>SUM(L6:Q6)</f>
        <v>3552</v>
      </c>
      <c r="X6" s="247"/>
      <c r="Y6" s="1" t="s">
        <v>61</v>
      </c>
      <c r="Z6" s="1" t="s">
        <v>62</v>
      </c>
      <c r="AA6" s="1" t="s">
        <v>63</v>
      </c>
      <c r="AB6" s="1" t="s">
        <v>64</v>
      </c>
      <c r="AC6" s="1" t="s">
        <v>65</v>
      </c>
      <c r="AD6" s="1" t="s">
        <v>66</v>
      </c>
    </row>
    <row r="7" spans="1:31" ht="30">
      <c r="A7">
        <v>2024</v>
      </c>
      <c r="B7" s="1" t="s">
        <v>68</v>
      </c>
      <c r="C7" s="2">
        <v>696</v>
      </c>
      <c r="D7" s="2">
        <v>696</v>
      </c>
      <c r="E7" s="2">
        <v>0</v>
      </c>
      <c r="F7" s="2">
        <v>0</v>
      </c>
      <c r="G7" s="2">
        <v>696</v>
      </c>
      <c r="H7" s="2">
        <v>696</v>
      </c>
      <c r="I7">
        <f t="shared" ref="I7:I70" si="0">SUM(C7:H7)</f>
        <v>2784</v>
      </c>
      <c r="K7" s="1" t="s">
        <v>68</v>
      </c>
      <c r="L7" s="2">
        <v>696</v>
      </c>
      <c r="M7" s="2">
        <v>696</v>
      </c>
      <c r="N7" s="2">
        <v>696</v>
      </c>
      <c r="O7" s="2">
        <v>0</v>
      </c>
      <c r="P7" s="2">
        <v>696</v>
      </c>
      <c r="Q7" s="2">
        <v>696</v>
      </c>
      <c r="R7">
        <f t="shared" ref="R7:R70" si="1">SUM(L7:Q7)</f>
        <v>3480</v>
      </c>
      <c r="X7" s="1" t="s">
        <v>67</v>
      </c>
      <c r="Y7" s="2">
        <v>744</v>
      </c>
      <c r="Z7" s="2">
        <v>744</v>
      </c>
      <c r="AA7" s="2">
        <v>744</v>
      </c>
      <c r="AB7" s="2">
        <v>0</v>
      </c>
      <c r="AC7" s="2">
        <v>744</v>
      </c>
      <c r="AD7" s="2">
        <v>576</v>
      </c>
      <c r="AE7">
        <f>SUM(Y7:AD7)</f>
        <v>3552</v>
      </c>
    </row>
    <row r="8" spans="1:31" ht="30">
      <c r="A8">
        <v>2024</v>
      </c>
      <c r="B8" s="1" t="s">
        <v>69</v>
      </c>
      <c r="C8" s="2">
        <v>0</v>
      </c>
      <c r="D8" s="2">
        <v>0</v>
      </c>
      <c r="E8" s="2">
        <v>0</v>
      </c>
      <c r="F8" s="2">
        <v>0</v>
      </c>
      <c r="G8" s="2">
        <v>0</v>
      </c>
      <c r="H8" s="2">
        <v>0</v>
      </c>
      <c r="I8">
        <f t="shared" si="0"/>
        <v>0</v>
      </c>
      <c r="K8" s="1" t="s">
        <v>69</v>
      </c>
      <c r="L8" s="2">
        <v>576</v>
      </c>
      <c r="M8" s="2">
        <v>576</v>
      </c>
      <c r="N8" s="2">
        <v>720</v>
      </c>
      <c r="O8" s="2">
        <v>0</v>
      </c>
      <c r="P8" s="2">
        <v>744</v>
      </c>
      <c r="Q8" s="2">
        <v>744</v>
      </c>
      <c r="R8">
        <f t="shared" si="1"/>
        <v>3360</v>
      </c>
      <c r="X8" s="1" t="s">
        <v>68</v>
      </c>
      <c r="Y8" s="2">
        <v>696</v>
      </c>
      <c r="Z8" s="2">
        <v>696</v>
      </c>
      <c r="AA8" s="2">
        <v>696</v>
      </c>
      <c r="AB8" s="2">
        <v>0</v>
      </c>
      <c r="AC8" s="2">
        <v>696</v>
      </c>
      <c r="AD8" s="2">
        <v>696</v>
      </c>
      <c r="AE8">
        <f t="shared" ref="AE8:AE71" si="2">SUM(Y8:AD8)</f>
        <v>3480</v>
      </c>
    </row>
    <row r="9" spans="1:31" ht="30">
      <c r="A9">
        <v>2024</v>
      </c>
      <c r="B9" s="1" t="s">
        <v>70</v>
      </c>
      <c r="C9" s="2">
        <v>0</v>
      </c>
      <c r="D9" s="2">
        <v>0</v>
      </c>
      <c r="E9" s="2">
        <v>0</v>
      </c>
      <c r="F9" s="2">
        <v>0</v>
      </c>
      <c r="G9" s="2">
        <v>0</v>
      </c>
      <c r="H9" s="2">
        <v>0</v>
      </c>
      <c r="I9">
        <f t="shared" si="0"/>
        <v>0</v>
      </c>
      <c r="K9" s="1" t="s">
        <v>70</v>
      </c>
      <c r="L9" s="2">
        <v>552</v>
      </c>
      <c r="M9" s="2">
        <v>0</v>
      </c>
      <c r="N9" s="2">
        <v>0</v>
      </c>
      <c r="O9" s="2">
        <v>0</v>
      </c>
      <c r="P9" s="2">
        <v>720</v>
      </c>
      <c r="Q9" s="2">
        <v>48</v>
      </c>
      <c r="R9">
        <f t="shared" si="1"/>
        <v>1320</v>
      </c>
      <c r="X9" s="1" t="s">
        <v>69</v>
      </c>
      <c r="Y9" s="2">
        <v>0</v>
      </c>
      <c r="Z9" s="2">
        <v>0</v>
      </c>
      <c r="AA9" s="2">
        <v>720</v>
      </c>
      <c r="AB9" s="2">
        <v>0</v>
      </c>
      <c r="AC9" s="2">
        <v>0</v>
      </c>
      <c r="AD9" s="2">
        <v>0</v>
      </c>
      <c r="AE9">
        <f t="shared" si="2"/>
        <v>720</v>
      </c>
    </row>
    <row r="10" spans="1:31" ht="30">
      <c r="A10">
        <v>2024</v>
      </c>
      <c r="B10" s="1" t="s">
        <v>71</v>
      </c>
      <c r="C10" s="2">
        <v>0</v>
      </c>
      <c r="D10" s="2">
        <v>0</v>
      </c>
      <c r="E10" s="2">
        <v>0</v>
      </c>
      <c r="F10" s="2">
        <v>0</v>
      </c>
      <c r="G10" s="2">
        <v>0</v>
      </c>
      <c r="H10" s="2">
        <v>0</v>
      </c>
      <c r="I10">
        <f t="shared" si="0"/>
        <v>0</v>
      </c>
      <c r="K10" s="1" t="s">
        <v>71</v>
      </c>
      <c r="L10" s="2">
        <v>576</v>
      </c>
      <c r="M10" s="2">
        <v>696</v>
      </c>
      <c r="N10" s="2">
        <v>0</v>
      </c>
      <c r="O10" s="2">
        <v>0</v>
      </c>
      <c r="P10" s="2">
        <v>744</v>
      </c>
      <c r="Q10" s="2">
        <v>648</v>
      </c>
      <c r="R10">
        <f t="shared" si="1"/>
        <v>2664</v>
      </c>
      <c r="X10" s="1" t="s">
        <v>70</v>
      </c>
      <c r="Y10" s="2">
        <v>0</v>
      </c>
      <c r="Z10" s="2">
        <v>0</v>
      </c>
      <c r="AA10" s="2">
        <v>0</v>
      </c>
      <c r="AB10" s="2">
        <v>0</v>
      </c>
      <c r="AC10" s="2">
        <v>0</v>
      </c>
      <c r="AD10" s="2">
        <v>0</v>
      </c>
      <c r="AE10">
        <f t="shared" si="2"/>
        <v>0</v>
      </c>
    </row>
    <row r="11" spans="1:31" ht="30">
      <c r="A11">
        <v>2024</v>
      </c>
      <c r="B11" s="1" t="s">
        <v>72</v>
      </c>
      <c r="C11" s="2">
        <v>0</v>
      </c>
      <c r="D11" s="2">
        <v>0</v>
      </c>
      <c r="E11" s="2">
        <v>0</v>
      </c>
      <c r="F11" s="2">
        <v>0</v>
      </c>
      <c r="G11" s="2">
        <v>0</v>
      </c>
      <c r="H11" s="2">
        <v>0</v>
      </c>
      <c r="I11">
        <f t="shared" si="0"/>
        <v>0</v>
      </c>
      <c r="K11" s="1" t="s">
        <v>72</v>
      </c>
      <c r="L11" s="2">
        <v>720</v>
      </c>
      <c r="M11" s="2">
        <v>720</v>
      </c>
      <c r="N11" s="2">
        <v>0</v>
      </c>
      <c r="O11" s="2">
        <v>0</v>
      </c>
      <c r="P11" s="2">
        <v>720</v>
      </c>
      <c r="Q11" s="2">
        <v>720</v>
      </c>
      <c r="R11">
        <f t="shared" si="1"/>
        <v>2880</v>
      </c>
      <c r="X11" s="1" t="s">
        <v>71</v>
      </c>
      <c r="Y11" s="2">
        <v>0</v>
      </c>
      <c r="Z11" s="2">
        <v>0</v>
      </c>
      <c r="AA11" s="2">
        <v>0</v>
      </c>
      <c r="AB11" s="2">
        <v>0</v>
      </c>
      <c r="AC11" s="2">
        <v>0</v>
      </c>
      <c r="AD11" s="2">
        <v>0</v>
      </c>
      <c r="AE11">
        <f t="shared" si="2"/>
        <v>0</v>
      </c>
    </row>
    <row r="12" spans="1:31" ht="30">
      <c r="A12">
        <v>2024</v>
      </c>
      <c r="B12" s="1" t="s">
        <v>73</v>
      </c>
      <c r="C12" s="2">
        <v>744</v>
      </c>
      <c r="D12" s="2">
        <v>0</v>
      </c>
      <c r="E12" s="2">
        <v>0</v>
      </c>
      <c r="F12" s="2">
        <v>0</v>
      </c>
      <c r="G12" s="2">
        <v>744</v>
      </c>
      <c r="H12" s="2">
        <v>744</v>
      </c>
      <c r="I12">
        <f t="shared" si="0"/>
        <v>2232</v>
      </c>
      <c r="K12" s="1" t="s">
        <v>73</v>
      </c>
      <c r="L12" s="2">
        <v>744</v>
      </c>
      <c r="M12" s="2">
        <v>744</v>
      </c>
      <c r="N12" s="2">
        <v>0</v>
      </c>
      <c r="O12" s="2">
        <v>0</v>
      </c>
      <c r="P12" s="2">
        <v>744</v>
      </c>
      <c r="Q12" s="2">
        <v>744</v>
      </c>
      <c r="R12">
        <f t="shared" si="1"/>
        <v>2976</v>
      </c>
      <c r="X12" s="1" t="s">
        <v>72</v>
      </c>
      <c r="Y12" s="2">
        <v>0</v>
      </c>
      <c r="Z12" s="2">
        <v>0</v>
      </c>
      <c r="AA12" s="2">
        <v>0</v>
      </c>
      <c r="AB12" s="2">
        <v>0</v>
      </c>
      <c r="AC12" s="2">
        <v>0</v>
      </c>
      <c r="AD12" s="2">
        <v>0</v>
      </c>
      <c r="AE12">
        <f t="shared" si="2"/>
        <v>0</v>
      </c>
    </row>
    <row r="13" spans="1:31" ht="30">
      <c r="A13">
        <v>2024</v>
      </c>
      <c r="B13" s="1" t="s">
        <v>74</v>
      </c>
      <c r="C13" s="2">
        <v>744</v>
      </c>
      <c r="D13" s="2">
        <v>0</v>
      </c>
      <c r="E13" s="2">
        <v>0</v>
      </c>
      <c r="F13" s="2">
        <v>0</v>
      </c>
      <c r="G13" s="2">
        <v>744</v>
      </c>
      <c r="H13" s="2">
        <v>744</v>
      </c>
      <c r="I13">
        <f t="shared" si="0"/>
        <v>2232</v>
      </c>
      <c r="K13" s="1" t="s">
        <v>74</v>
      </c>
      <c r="L13" s="2">
        <v>744</v>
      </c>
      <c r="M13" s="2">
        <v>744</v>
      </c>
      <c r="N13" s="2">
        <v>0</v>
      </c>
      <c r="O13" s="2">
        <v>0</v>
      </c>
      <c r="P13" s="2">
        <v>744</v>
      </c>
      <c r="Q13" s="2">
        <v>744</v>
      </c>
      <c r="R13">
        <f t="shared" si="1"/>
        <v>2976</v>
      </c>
      <c r="X13" s="1" t="s">
        <v>73</v>
      </c>
      <c r="Y13" s="2">
        <v>744</v>
      </c>
      <c r="Z13" s="2">
        <v>744</v>
      </c>
      <c r="AA13" s="2">
        <v>0</v>
      </c>
      <c r="AB13" s="2">
        <v>0</v>
      </c>
      <c r="AC13" s="2">
        <v>744</v>
      </c>
      <c r="AD13" s="2">
        <v>744</v>
      </c>
      <c r="AE13">
        <f t="shared" si="2"/>
        <v>2976</v>
      </c>
    </row>
    <row r="14" spans="1:31" ht="30">
      <c r="A14">
        <v>2024</v>
      </c>
      <c r="B14" s="1" t="s">
        <v>75</v>
      </c>
      <c r="C14" s="2">
        <v>0</v>
      </c>
      <c r="D14" s="2">
        <v>0</v>
      </c>
      <c r="E14" s="2">
        <v>0</v>
      </c>
      <c r="F14" s="2">
        <v>0</v>
      </c>
      <c r="G14" s="2">
        <v>0</v>
      </c>
      <c r="H14" s="2">
        <v>0</v>
      </c>
      <c r="I14">
        <f t="shared" si="0"/>
        <v>0</v>
      </c>
      <c r="K14" s="1" t="s">
        <v>75</v>
      </c>
      <c r="L14" s="2">
        <v>672</v>
      </c>
      <c r="M14" s="2">
        <v>720</v>
      </c>
      <c r="N14" s="2">
        <v>0</v>
      </c>
      <c r="O14" s="2">
        <v>0</v>
      </c>
      <c r="P14" s="2">
        <v>720</v>
      </c>
      <c r="Q14" s="2">
        <v>720</v>
      </c>
      <c r="R14">
        <f t="shared" si="1"/>
        <v>2832</v>
      </c>
      <c r="X14" s="1" t="s">
        <v>74</v>
      </c>
      <c r="Y14" s="2">
        <v>744</v>
      </c>
      <c r="Z14" s="2">
        <v>744</v>
      </c>
      <c r="AA14" s="2">
        <v>0</v>
      </c>
      <c r="AB14" s="2">
        <v>0</v>
      </c>
      <c r="AC14" s="2">
        <v>744</v>
      </c>
      <c r="AD14" s="2">
        <v>744</v>
      </c>
      <c r="AE14">
        <f t="shared" si="2"/>
        <v>2976</v>
      </c>
    </row>
    <row r="15" spans="1:31" ht="30">
      <c r="A15">
        <v>2024</v>
      </c>
      <c r="B15" s="1" t="s">
        <v>76</v>
      </c>
      <c r="C15" s="2">
        <v>0</v>
      </c>
      <c r="D15" s="2">
        <v>0</v>
      </c>
      <c r="E15" s="2">
        <v>0</v>
      </c>
      <c r="F15" s="2">
        <v>0</v>
      </c>
      <c r="G15" s="2">
        <v>0</v>
      </c>
      <c r="H15" s="2">
        <v>0</v>
      </c>
      <c r="I15">
        <f t="shared" si="0"/>
        <v>0</v>
      </c>
      <c r="K15" s="1" t="s">
        <v>76</v>
      </c>
      <c r="L15" s="2">
        <v>504</v>
      </c>
      <c r="M15" s="2">
        <v>744</v>
      </c>
      <c r="N15" s="2">
        <v>0</v>
      </c>
      <c r="O15" s="2">
        <v>0</v>
      </c>
      <c r="P15" s="2">
        <v>240</v>
      </c>
      <c r="Q15" s="2">
        <v>744</v>
      </c>
      <c r="R15">
        <f t="shared" si="1"/>
        <v>2232</v>
      </c>
      <c r="X15" s="1" t="s">
        <v>75</v>
      </c>
      <c r="Y15" s="2">
        <v>0</v>
      </c>
      <c r="Z15" s="2">
        <v>0</v>
      </c>
      <c r="AA15" s="2">
        <v>0</v>
      </c>
      <c r="AB15" s="2">
        <v>0</v>
      </c>
      <c r="AC15" s="2">
        <v>0</v>
      </c>
      <c r="AD15" s="2">
        <v>0</v>
      </c>
      <c r="AE15">
        <f t="shared" si="2"/>
        <v>0</v>
      </c>
    </row>
    <row r="16" spans="1:31" ht="30">
      <c r="A16">
        <v>2024</v>
      </c>
      <c r="B16" s="1" t="s">
        <v>77</v>
      </c>
      <c r="C16" s="2">
        <v>0</v>
      </c>
      <c r="D16" s="2">
        <v>0</v>
      </c>
      <c r="E16" s="2">
        <v>0</v>
      </c>
      <c r="F16" s="2">
        <v>0</v>
      </c>
      <c r="G16" s="2">
        <v>0</v>
      </c>
      <c r="H16" s="2">
        <v>0</v>
      </c>
      <c r="I16">
        <f t="shared" si="0"/>
        <v>0</v>
      </c>
      <c r="K16" s="1" t="s">
        <v>77</v>
      </c>
      <c r="L16" s="2">
        <v>0</v>
      </c>
      <c r="M16" s="2">
        <v>720</v>
      </c>
      <c r="N16" s="2">
        <v>0</v>
      </c>
      <c r="O16" s="2">
        <v>0</v>
      </c>
      <c r="P16" s="2">
        <v>456</v>
      </c>
      <c r="Q16" s="2">
        <v>720</v>
      </c>
      <c r="R16">
        <f t="shared" si="1"/>
        <v>1896</v>
      </c>
      <c r="X16" s="1" t="s">
        <v>76</v>
      </c>
      <c r="Y16" s="2">
        <v>0</v>
      </c>
      <c r="Z16" s="2">
        <v>0</v>
      </c>
      <c r="AA16" s="2">
        <v>0</v>
      </c>
      <c r="AB16" s="2">
        <v>0</v>
      </c>
      <c r="AC16" s="2">
        <v>0</v>
      </c>
      <c r="AD16" s="2">
        <v>0</v>
      </c>
      <c r="AE16">
        <f t="shared" si="2"/>
        <v>0</v>
      </c>
    </row>
    <row r="17" spans="1:31" ht="30">
      <c r="A17">
        <v>2024</v>
      </c>
      <c r="B17" s="1" t="s">
        <v>78</v>
      </c>
      <c r="C17" s="2">
        <v>0</v>
      </c>
      <c r="D17" s="2">
        <v>0</v>
      </c>
      <c r="E17" s="2">
        <v>0</v>
      </c>
      <c r="F17" s="2">
        <v>0</v>
      </c>
      <c r="G17" s="2">
        <v>0</v>
      </c>
      <c r="H17" s="2">
        <v>0</v>
      </c>
      <c r="I17">
        <f t="shared" si="0"/>
        <v>0</v>
      </c>
      <c r="K17" s="1" t="s">
        <v>78</v>
      </c>
      <c r="L17" s="2">
        <v>528</v>
      </c>
      <c r="M17" s="2">
        <v>744</v>
      </c>
      <c r="N17" s="2">
        <v>0</v>
      </c>
      <c r="O17" s="2">
        <v>0</v>
      </c>
      <c r="P17" s="2">
        <v>744</v>
      </c>
      <c r="Q17" s="2">
        <v>744</v>
      </c>
      <c r="R17">
        <f t="shared" si="1"/>
        <v>2760</v>
      </c>
      <c r="X17" s="1" t="s">
        <v>77</v>
      </c>
      <c r="Y17" s="2">
        <v>0</v>
      </c>
      <c r="Z17" s="2">
        <v>0</v>
      </c>
      <c r="AA17" s="2">
        <v>0</v>
      </c>
      <c r="AB17" s="2">
        <v>0</v>
      </c>
      <c r="AC17" s="2">
        <v>0</v>
      </c>
      <c r="AD17" s="2">
        <v>0</v>
      </c>
      <c r="AE17">
        <f t="shared" si="2"/>
        <v>0</v>
      </c>
    </row>
    <row r="18" spans="1:31" ht="30">
      <c r="A18">
        <f>A6+1</f>
        <v>2025</v>
      </c>
      <c r="B18" s="1" t="s">
        <v>79</v>
      </c>
      <c r="C18" s="2">
        <v>0</v>
      </c>
      <c r="D18" s="2">
        <v>0</v>
      </c>
      <c r="E18" s="2">
        <v>0</v>
      </c>
      <c r="F18" s="2">
        <v>0</v>
      </c>
      <c r="G18" s="2">
        <v>744</v>
      </c>
      <c r="H18" s="2">
        <v>744</v>
      </c>
      <c r="I18">
        <f t="shared" si="0"/>
        <v>1488</v>
      </c>
      <c r="K18" s="1" t="s">
        <v>79</v>
      </c>
      <c r="L18" s="2">
        <v>744</v>
      </c>
      <c r="M18" s="2">
        <v>744</v>
      </c>
      <c r="N18" s="2">
        <v>0</v>
      </c>
      <c r="O18" s="2">
        <v>0</v>
      </c>
      <c r="P18" s="2">
        <v>744</v>
      </c>
      <c r="Q18" s="2">
        <v>744</v>
      </c>
      <c r="R18">
        <f t="shared" si="1"/>
        <v>2976</v>
      </c>
      <c r="X18" s="1" t="s">
        <v>78</v>
      </c>
      <c r="Y18" s="2">
        <v>0</v>
      </c>
      <c r="Z18" s="2">
        <v>0</v>
      </c>
      <c r="AA18" s="2">
        <v>0</v>
      </c>
      <c r="AB18" s="2">
        <v>0</v>
      </c>
      <c r="AC18" s="2">
        <v>0</v>
      </c>
      <c r="AD18" s="2">
        <v>0</v>
      </c>
      <c r="AE18">
        <f t="shared" si="2"/>
        <v>0</v>
      </c>
    </row>
    <row r="19" spans="1:31" ht="30">
      <c r="A19">
        <f t="shared" ref="A19:A82" si="3">A7+1</f>
        <v>2025</v>
      </c>
      <c r="B19" s="1" t="s">
        <v>80</v>
      </c>
      <c r="C19" s="2">
        <v>0</v>
      </c>
      <c r="D19" s="2">
        <v>0</v>
      </c>
      <c r="E19" s="2">
        <v>0</v>
      </c>
      <c r="F19" s="2">
        <v>0</v>
      </c>
      <c r="G19" s="2">
        <v>672</v>
      </c>
      <c r="H19" s="2">
        <v>672</v>
      </c>
      <c r="I19">
        <f t="shared" si="0"/>
        <v>1344</v>
      </c>
      <c r="K19" s="1" t="s">
        <v>80</v>
      </c>
      <c r="L19" s="2">
        <v>672</v>
      </c>
      <c r="M19" s="2">
        <v>672</v>
      </c>
      <c r="N19" s="2">
        <v>0</v>
      </c>
      <c r="O19" s="2">
        <v>0</v>
      </c>
      <c r="P19" s="2">
        <v>672</v>
      </c>
      <c r="Q19" s="2">
        <v>672</v>
      </c>
      <c r="R19">
        <f t="shared" si="1"/>
        <v>2688</v>
      </c>
      <c r="X19" s="1" t="s">
        <v>79</v>
      </c>
      <c r="Y19" s="2">
        <v>744</v>
      </c>
      <c r="Z19" s="2">
        <v>744</v>
      </c>
      <c r="AA19" s="2">
        <v>0</v>
      </c>
      <c r="AB19" s="2">
        <v>0</v>
      </c>
      <c r="AC19" s="2">
        <v>744</v>
      </c>
      <c r="AD19" s="2">
        <v>744</v>
      </c>
      <c r="AE19">
        <f t="shared" si="2"/>
        <v>2976</v>
      </c>
    </row>
    <row r="20" spans="1:31" ht="30">
      <c r="A20">
        <f t="shared" si="3"/>
        <v>2025</v>
      </c>
      <c r="B20" s="1" t="s">
        <v>81</v>
      </c>
      <c r="C20" s="2">
        <v>0</v>
      </c>
      <c r="D20" s="2">
        <v>0</v>
      </c>
      <c r="E20" s="2">
        <v>0</v>
      </c>
      <c r="F20" s="2">
        <v>0</v>
      </c>
      <c r="G20" s="2">
        <v>696</v>
      </c>
      <c r="H20" s="2">
        <v>0</v>
      </c>
      <c r="I20">
        <f t="shared" si="0"/>
        <v>696</v>
      </c>
      <c r="K20" s="1" t="s">
        <v>81</v>
      </c>
      <c r="L20" s="2">
        <v>744</v>
      </c>
      <c r="M20" s="2">
        <v>744</v>
      </c>
      <c r="N20" s="2">
        <v>0</v>
      </c>
      <c r="O20" s="2">
        <v>0</v>
      </c>
      <c r="P20" s="2">
        <v>696</v>
      </c>
      <c r="Q20" s="2">
        <v>576</v>
      </c>
      <c r="R20">
        <f t="shared" si="1"/>
        <v>2760</v>
      </c>
      <c r="X20" s="1" t="s">
        <v>80</v>
      </c>
      <c r="Y20" s="2">
        <v>672</v>
      </c>
      <c r="Z20" s="2">
        <v>672</v>
      </c>
      <c r="AA20" s="2">
        <v>0</v>
      </c>
      <c r="AB20" s="2">
        <v>0</v>
      </c>
      <c r="AC20" s="2">
        <v>672</v>
      </c>
      <c r="AD20" s="2">
        <v>672</v>
      </c>
      <c r="AE20">
        <f t="shared" si="2"/>
        <v>2688</v>
      </c>
    </row>
    <row r="21" spans="1:31" ht="30">
      <c r="A21">
        <f t="shared" si="3"/>
        <v>2025</v>
      </c>
      <c r="B21" s="1" t="s">
        <v>82</v>
      </c>
      <c r="C21" s="2">
        <v>0</v>
      </c>
      <c r="D21" s="2">
        <v>0</v>
      </c>
      <c r="E21" s="2">
        <v>0</v>
      </c>
      <c r="F21" s="2">
        <v>0</v>
      </c>
      <c r="G21" s="2">
        <v>600</v>
      </c>
      <c r="H21" s="2">
        <v>0</v>
      </c>
      <c r="I21">
        <f t="shared" si="0"/>
        <v>600</v>
      </c>
      <c r="K21" s="1" t="s">
        <v>82</v>
      </c>
      <c r="L21" s="2">
        <v>720</v>
      </c>
      <c r="M21" s="2">
        <v>720</v>
      </c>
      <c r="N21" s="2">
        <v>0</v>
      </c>
      <c r="O21" s="2">
        <v>0</v>
      </c>
      <c r="P21" s="2">
        <v>0</v>
      </c>
      <c r="Q21" s="2">
        <v>24</v>
      </c>
      <c r="R21">
        <f t="shared" si="1"/>
        <v>1464</v>
      </c>
      <c r="X21" s="1" t="s">
        <v>81</v>
      </c>
      <c r="Y21" s="2">
        <v>0</v>
      </c>
      <c r="Z21" s="2">
        <v>0</v>
      </c>
      <c r="AA21" s="2">
        <v>0</v>
      </c>
      <c r="AB21" s="2">
        <v>0</v>
      </c>
      <c r="AC21" s="2">
        <v>0</v>
      </c>
      <c r="AD21" s="2">
        <v>0</v>
      </c>
      <c r="AE21">
        <f t="shared" si="2"/>
        <v>0</v>
      </c>
    </row>
    <row r="22" spans="1:31" ht="30">
      <c r="A22">
        <f t="shared" si="3"/>
        <v>2025</v>
      </c>
      <c r="B22" s="1" t="s">
        <v>83</v>
      </c>
      <c r="C22" s="2">
        <v>0</v>
      </c>
      <c r="D22" s="2">
        <v>0</v>
      </c>
      <c r="E22" s="2">
        <v>0</v>
      </c>
      <c r="F22" s="2">
        <v>0</v>
      </c>
      <c r="G22" s="2">
        <v>744</v>
      </c>
      <c r="H22" s="2">
        <v>0</v>
      </c>
      <c r="I22">
        <f t="shared" si="0"/>
        <v>744</v>
      </c>
      <c r="K22" s="1" t="s">
        <v>83</v>
      </c>
      <c r="L22" s="2">
        <v>576</v>
      </c>
      <c r="M22" s="2">
        <v>744</v>
      </c>
      <c r="N22" s="2">
        <v>0</v>
      </c>
      <c r="O22" s="2">
        <v>0</v>
      </c>
      <c r="P22" s="2">
        <v>696</v>
      </c>
      <c r="Q22" s="2">
        <v>672</v>
      </c>
      <c r="R22">
        <f t="shared" si="1"/>
        <v>2688</v>
      </c>
      <c r="X22" s="1" t="s">
        <v>82</v>
      </c>
      <c r="Y22" s="2">
        <v>0</v>
      </c>
      <c r="Z22" s="2">
        <v>0</v>
      </c>
      <c r="AA22" s="2">
        <v>0</v>
      </c>
      <c r="AB22" s="2">
        <v>0</v>
      </c>
      <c r="AC22" s="2">
        <v>0</v>
      </c>
      <c r="AD22" s="2">
        <v>0</v>
      </c>
      <c r="AE22">
        <f t="shared" si="2"/>
        <v>0</v>
      </c>
    </row>
    <row r="23" spans="1:31" ht="30">
      <c r="A23">
        <f t="shared" si="3"/>
        <v>2025</v>
      </c>
      <c r="B23" s="1" t="s">
        <v>84</v>
      </c>
      <c r="C23" s="2">
        <v>0</v>
      </c>
      <c r="D23" s="2">
        <v>0</v>
      </c>
      <c r="E23" s="2">
        <v>0</v>
      </c>
      <c r="F23" s="2">
        <v>0</v>
      </c>
      <c r="G23" s="2">
        <v>720</v>
      </c>
      <c r="H23" s="2">
        <v>0</v>
      </c>
      <c r="I23">
        <f t="shared" si="0"/>
        <v>720</v>
      </c>
      <c r="K23" s="1" t="s">
        <v>84</v>
      </c>
      <c r="L23" s="2">
        <v>720</v>
      </c>
      <c r="M23" s="2">
        <v>720</v>
      </c>
      <c r="N23" s="2">
        <v>0</v>
      </c>
      <c r="O23" s="2">
        <v>0</v>
      </c>
      <c r="P23" s="2">
        <v>720</v>
      </c>
      <c r="Q23" s="2">
        <v>720</v>
      </c>
      <c r="R23">
        <f t="shared" si="1"/>
        <v>2880</v>
      </c>
      <c r="X23" s="1" t="s">
        <v>83</v>
      </c>
      <c r="Y23" s="2">
        <v>0</v>
      </c>
      <c r="Z23" s="2">
        <v>0</v>
      </c>
      <c r="AA23" s="2">
        <v>0</v>
      </c>
      <c r="AB23" s="2">
        <v>0</v>
      </c>
      <c r="AC23" s="2">
        <v>0</v>
      </c>
      <c r="AD23" s="2">
        <v>0</v>
      </c>
      <c r="AE23">
        <f t="shared" si="2"/>
        <v>0</v>
      </c>
    </row>
    <row r="24" spans="1:31" ht="30">
      <c r="A24">
        <f t="shared" si="3"/>
        <v>2025</v>
      </c>
      <c r="B24" s="1" t="s">
        <v>85</v>
      </c>
      <c r="C24" s="2">
        <v>0</v>
      </c>
      <c r="D24" s="2">
        <v>0</v>
      </c>
      <c r="E24" s="2">
        <v>0</v>
      </c>
      <c r="F24" s="2">
        <v>0</v>
      </c>
      <c r="G24" s="2">
        <v>576</v>
      </c>
      <c r="H24" s="2">
        <v>0</v>
      </c>
      <c r="I24">
        <f t="shared" si="0"/>
        <v>576</v>
      </c>
      <c r="K24" s="1" t="s">
        <v>85</v>
      </c>
      <c r="L24" s="2">
        <v>744</v>
      </c>
      <c r="M24" s="2">
        <v>744</v>
      </c>
      <c r="N24" s="2">
        <v>0</v>
      </c>
      <c r="O24" s="2">
        <v>0</v>
      </c>
      <c r="P24" s="2">
        <v>576</v>
      </c>
      <c r="Q24" s="2">
        <v>744</v>
      </c>
      <c r="R24">
        <f t="shared" si="1"/>
        <v>2808</v>
      </c>
      <c r="X24" s="1" t="s">
        <v>84</v>
      </c>
      <c r="Y24" s="2">
        <v>0</v>
      </c>
      <c r="Z24" s="2">
        <v>0</v>
      </c>
      <c r="AA24" s="2">
        <v>0</v>
      </c>
      <c r="AB24" s="2">
        <v>0</v>
      </c>
      <c r="AC24" s="2">
        <v>0</v>
      </c>
      <c r="AD24" s="2">
        <v>0</v>
      </c>
      <c r="AE24">
        <f t="shared" si="2"/>
        <v>0</v>
      </c>
    </row>
    <row r="25" spans="1:31" ht="30">
      <c r="A25">
        <f t="shared" si="3"/>
        <v>2025</v>
      </c>
      <c r="B25" s="1" t="s">
        <v>86</v>
      </c>
      <c r="C25" s="2">
        <v>0</v>
      </c>
      <c r="D25" s="2">
        <v>0</v>
      </c>
      <c r="E25" s="2">
        <v>0</v>
      </c>
      <c r="F25" s="2">
        <v>0</v>
      </c>
      <c r="G25" s="2">
        <v>744</v>
      </c>
      <c r="H25" s="2">
        <v>0</v>
      </c>
      <c r="I25">
        <f t="shared" si="0"/>
        <v>744</v>
      </c>
      <c r="K25" s="1" t="s">
        <v>86</v>
      </c>
      <c r="L25" s="2">
        <v>744</v>
      </c>
      <c r="M25" s="2">
        <v>744</v>
      </c>
      <c r="N25" s="2">
        <v>0</v>
      </c>
      <c r="O25" s="2">
        <v>0</v>
      </c>
      <c r="P25" s="2">
        <v>744</v>
      </c>
      <c r="Q25" s="2">
        <v>744</v>
      </c>
      <c r="R25">
        <f t="shared" si="1"/>
        <v>2976</v>
      </c>
      <c r="X25" s="1" t="s">
        <v>85</v>
      </c>
      <c r="Y25" s="2">
        <v>744</v>
      </c>
      <c r="Z25" s="2">
        <v>744</v>
      </c>
      <c r="AA25" s="2">
        <v>0</v>
      </c>
      <c r="AB25" s="2">
        <v>0</v>
      </c>
      <c r="AC25" s="2">
        <v>576</v>
      </c>
      <c r="AD25" s="2">
        <v>744</v>
      </c>
      <c r="AE25">
        <f t="shared" si="2"/>
        <v>2808</v>
      </c>
    </row>
    <row r="26" spans="1:31" ht="30">
      <c r="A26">
        <f t="shared" si="3"/>
        <v>2025</v>
      </c>
      <c r="B26" s="1" t="s">
        <v>87</v>
      </c>
      <c r="C26" s="2">
        <v>0</v>
      </c>
      <c r="D26" s="2">
        <v>0</v>
      </c>
      <c r="E26" s="2">
        <v>0</v>
      </c>
      <c r="F26" s="2">
        <v>0</v>
      </c>
      <c r="G26" s="2">
        <v>720</v>
      </c>
      <c r="H26" s="2">
        <v>0</v>
      </c>
      <c r="I26">
        <f t="shared" si="0"/>
        <v>720</v>
      </c>
      <c r="K26" s="1" t="s">
        <v>87</v>
      </c>
      <c r="L26" s="2">
        <v>720</v>
      </c>
      <c r="M26" s="2">
        <v>720</v>
      </c>
      <c r="N26" s="2">
        <v>0</v>
      </c>
      <c r="O26" s="2">
        <v>0</v>
      </c>
      <c r="P26" s="2">
        <v>720</v>
      </c>
      <c r="Q26" s="2">
        <v>648</v>
      </c>
      <c r="R26">
        <f t="shared" si="1"/>
        <v>2808</v>
      </c>
      <c r="X26" s="1" t="s">
        <v>86</v>
      </c>
      <c r="Y26" s="2">
        <v>744</v>
      </c>
      <c r="Z26" s="2">
        <v>744</v>
      </c>
      <c r="AA26" s="2">
        <v>0</v>
      </c>
      <c r="AB26" s="2">
        <v>0</v>
      </c>
      <c r="AC26" s="2">
        <v>744</v>
      </c>
      <c r="AD26" s="2">
        <v>744</v>
      </c>
      <c r="AE26">
        <f t="shared" si="2"/>
        <v>2976</v>
      </c>
    </row>
    <row r="27" spans="1:31" ht="30">
      <c r="A27">
        <f t="shared" si="3"/>
        <v>2025</v>
      </c>
      <c r="B27" s="1" t="s">
        <v>88</v>
      </c>
      <c r="C27" s="2">
        <v>0</v>
      </c>
      <c r="D27" s="2">
        <v>0</v>
      </c>
      <c r="E27" s="2">
        <v>0</v>
      </c>
      <c r="F27" s="2">
        <v>0</v>
      </c>
      <c r="G27" s="2">
        <v>0</v>
      </c>
      <c r="H27" s="2">
        <v>0</v>
      </c>
      <c r="I27">
        <f t="shared" si="0"/>
        <v>0</v>
      </c>
      <c r="K27" s="1" t="s">
        <v>88</v>
      </c>
      <c r="L27" s="2">
        <v>720</v>
      </c>
      <c r="M27" s="2">
        <v>696</v>
      </c>
      <c r="N27" s="2">
        <v>0</v>
      </c>
      <c r="O27" s="2">
        <v>0</v>
      </c>
      <c r="P27" s="2">
        <v>744</v>
      </c>
      <c r="Q27" s="2">
        <v>648</v>
      </c>
      <c r="R27">
        <f t="shared" si="1"/>
        <v>2808</v>
      </c>
      <c r="X27" s="1" t="s">
        <v>87</v>
      </c>
      <c r="Y27" s="2">
        <v>0</v>
      </c>
      <c r="Z27" s="2">
        <v>0</v>
      </c>
      <c r="AA27" s="2">
        <v>0</v>
      </c>
      <c r="AB27" s="2">
        <v>0</v>
      </c>
      <c r="AC27" s="2">
        <v>0</v>
      </c>
      <c r="AD27" s="2">
        <v>0</v>
      </c>
      <c r="AE27">
        <f t="shared" si="2"/>
        <v>0</v>
      </c>
    </row>
    <row r="28" spans="1:31" ht="30">
      <c r="A28">
        <f t="shared" si="3"/>
        <v>2025</v>
      </c>
      <c r="B28" s="1" t="s">
        <v>89</v>
      </c>
      <c r="C28" s="2">
        <v>0</v>
      </c>
      <c r="D28" s="2">
        <v>0</v>
      </c>
      <c r="E28" s="2">
        <v>0</v>
      </c>
      <c r="F28" s="2">
        <v>0</v>
      </c>
      <c r="G28" s="2">
        <v>696</v>
      </c>
      <c r="H28" s="2">
        <v>0</v>
      </c>
      <c r="I28">
        <f t="shared" si="0"/>
        <v>696</v>
      </c>
      <c r="K28" s="1" t="s">
        <v>89</v>
      </c>
      <c r="L28" s="2">
        <v>0</v>
      </c>
      <c r="M28" s="2">
        <v>0</v>
      </c>
      <c r="N28" s="2">
        <v>0</v>
      </c>
      <c r="O28" s="2">
        <v>0</v>
      </c>
      <c r="P28" s="2">
        <v>720</v>
      </c>
      <c r="Q28" s="2">
        <v>720</v>
      </c>
      <c r="R28">
        <f t="shared" si="1"/>
        <v>1440</v>
      </c>
      <c r="X28" s="1" t="s">
        <v>88</v>
      </c>
      <c r="Y28" s="2">
        <v>0</v>
      </c>
      <c r="Z28" s="2">
        <v>0</v>
      </c>
      <c r="AA28" s="2">
        <v>0</v>
      </c>
      <c r="AB28" s="2">
        <v>0</v>
      </c>
      <c r="AC28" s="2">
        <v>0</v>
      </c>
      <c r="AD28" s="2">
        <v>0</v>
      </c>
      <c r="AE28">
        <f t="shared" si="2"/>
        <v>0</v>
      </c>
    </row>
    <row r="29" spans="1:31" ht="30">
      <c r="A29">
        <f t="shared" si="3"/>
        <v>2025</v>
      </c>
      <c r="B29" s="1" t="s">
        <v>90</v>
      </c>
      <c r="C29" s="2">
        <v>0</v>
      </c>
      <c r="D29" s="2">
        <v>0</v>
      </c>
      <c r="E29" s="2">
        <v>0</v>
      </c>
      <c r="F29" s="2">
        <v>0</v>
      </c>
      <c r="G29" s="2">
        <v>576</v>
      </c>
      <c r="H29" s="2">
        <v>0</v>
      </c>
      <c r="I29">
        <f t="shared" si="0"/>
        <v>576</v>
      </c>
      <c r="K29" s="1" t="s">
        <v>90</v>
      </c>
      <c r="L29" s="2">
        <v>720</v>
      </c>
      <c r="M29" s="2">
        <v>744</v>
      </c>
      <c r="N29" s="2">
        <v>0</v>
      </c>
      <c r="O29" s="2">
        <v>0</v>
      </c>
      <c r="P29" s="2">
        <v>576</v>
      </c>
      <c r="Q29" s="2">
        <v>744</v>
      </c>
      <c r="R29">
        <f t="shared" si="1"/>
        <v>2784</v>
      </c>
      <c r="X29" s="1" t="s">
        <v>89</v>
      </c>
      <c r="Y29" s="2">
        <v>0</v>
      </c>
      <c r="Z29" s="2">
        <v>0</v>
      </c>
      <c r="AA29" s="2">
        <v>0</v>
      </c>
      <c r="AB29" s="2">
        <v>0</v>
      </c>
      <c r="AC29" s="2">
        <v>0</v>
      </c>
      <c r="AD29" s="2">
        <v>0</v>
      </c>
      <c r="AE29">
        <f t="shared" si="2"/>
        <v>0</v>
      </c>
    </row>
    <row r="30" spans="1:31" ht="30">
      <c r="A30">
        <f t="shared" si="3"/>
        <v>2026</v>
      </c>
      <c r="B30" s="1" t="s">
        <v>91</v>
      </c>
      <c r="C30" s="2">
        <v>0</v>
      </c>
      <c r="D30" s="2">
        <v>0</v>
      </c>
      <c r="E30" s="2">
        <v>0</v>
      </c>
      <c r="F30" s="2">
        <v>0</v>
      </c>
      <c r="G30" s="2">
        <v>0</v>
      </c>
      <c r="H30" s="2">
        <v>0</v>
      </c>
      <c r="I30">
        <f t="shared" si="0"/>
        <v>0</v>
      </c>
      <c r="K30" s="1" t="s">
        <v>91</v>
      </c>
      <c r="L30" s="2">
        <v>744</v>
      </c>
      <c r="M30" s="2">
        <v>744</v>
      </c>
      <c r="N30" s="2">
        <v>0</v>
      </c>
      <c r="O30" s="2">
        <v>0</v>
      </c>
      <c r="P30" s="2">
        <v>744</v>
      </c>
      <c r="Q30" s="2">
        <v>744</v>
      </c>
      <c r="R30">
        <f t="shared" si="1"/>
        <v>2976</v>
      </c>
      <c r="X30" s="1" t="s">
        <v>90</v>
      </c>
      <c r="Y30" s="2">
        <v>0</v>
      </c>
      <c r="Z30" s="2">
        <v>0</v>
      </c>
      <c r="AA30" s="2">
        <v>0</v>
      </c>
      <c r="AB30" s="2">
        <v>0</v>
      </c>
      <c r="AC30" s="2">
        <v>0</v>
      </c>
      <c r="AD30" s="2">
        <v>0</v>
      </c>
      <c r="AE30">
        <f t="shared" si="2"/>
        <v>0</v>
      </c>
    </row>
    <row r="31" spans="1:31" ht="30">
      <c r="A31">
        <f t="shared" si="3"/>
        <v>2026</v>
      </c>
      <c r="B31" s="1" t="s">
        <v>92</v>
      </c>
      <c r="C31" s="2">
        <v>0</v>
      </c>
      <c r="D31" s="2">
        <v>0</v>
      </c>
      <c r="E31" s="2">
        <v>0</v>
      </c>
      <c r="F31" s="2">
        <v>0</v>
      </c>
      <c r="G31" s="2">
        <v>0</v>
      </c>
      <c r="H31" s="2">
        <v>0</v>
      </c>
      <c r="I31">
        <f t="shared" si="0"/>
        <v>0</v>
      </c>
      <c r="K31" s="1" t="s">
        <v>92</v>
      </c>
      <c r="L31" s="2">
        <v>672</v>
      </c>
      <c r="M31" s="2">
        <v>672</v>
      </c>
      <c r="N31" s="2">
        <v>0</v>
      </c>
      <c r="O31" s="2">
        <v>0</v>
      </c>
      <c r="P31" s="2">
        <v>672</v>
      </c>
      <c r="Q31" s="2">
        <v>672</v>
      </c>
      <c r="R31">
        <f t="shared" si="1"/>
        <v>2688</v>
      </c>
      <c r="X31" s="1" t="s">
        <v>91</v>
      </c>
      <c r="Y31" s="2">
        <v>744</v>
      </c>
      <c r="Z31" s="2">
        <v>744</v>
      </c>
      <c r="AA31" s="2">
        <v>0</v>
      </c>
      <c r="AB31" s="2">
        <v>0</v>
      </c>
      <c r="AC31" s="2">
        <v>744</v>
      </c>
      <c r="AD31" s="2">
        <v>744</v>
      </c>
      <c r="AE31">
        <f t="shared" si="2"/>
        <v>2976</v>
      </c>
    </row>
    <row r="32" spans="1:31" ht="30">
      <c r="A32">
        <f t="shared" si="3"/>
        <v>2026</v>
      </c>
      <c r="B32" s="1" t="s">
        <v>93</v>
      </c>
      <c r="C32" s="2">
        <v>0</v>
      </c>
      <c r="D32" s="2">
        <v>0</v>
      </c>
      <c r="E32" s="2">
        <v>0</v>
      </c>
      <c r="F32" s="2">
        <v>0</v>
      </c>
      <c r="G32" s="2">
        <v>0</v>
      </c>
      <c r="H32" s="2">
        <v>0</v>
      </c>
      <c r="I32">
        <f t="shared" si="0"/>
        <v>0</v>
      </c>
      <c r="K32" s="1" t="s">
        <v>93</v>
      </c>
      <c r="L32" s="2">
        <v>576</v>
      </c>
      <c r="M32" s="2">
        <v>744</v>
      </c>
      <c r="N32" s="2">
        <v>0</v>
      </c>
      <c r="O32" s="2">
        <v>0</v>
      </c>
      <c r="P32" s="2">
        <v>744</v>
      </c>
      <c r="Q32" s="2">
        <v>744</v>
      </c>
      <c r="R32">
        <f t="shared" si="1"/>
        <v>2808</v>
      </c>
      <c r="X32" s="1" t="s">
        <v>92</v>
      </c>
      <c r="Y32" s="2">
        <v>672</v>
      </c>
      <c r="Z32" s="2">
        <v>672</v>
      </c>
      <c r="AA32" s="2">
        <v>0</v>
      </c>
      <c r="AB32" s="2">
        <v>0</v>
      </c>
      <c r="AC32" s="2">
        <v>672</v>
      </c>
      <c r="AD32" s="2">
        <v>672</v>
      </c>
      <c r="AE32">
        <f t="shared" si="2"/>
        <v>2688</v>
      </c>
    </row>
    <row r="33" spans="1:31" ht="30">
      <c r="A33">
        <f t="shared" si="3"/>
        <v>2026</v>
      </c>
      <c r="B33" s="1" t="s">
        <v>94</v>
      </c>
      <c r="C33" s="2">
        <v>0</v>
      </c>
      <c r="D33" s="2">
        <v>0</v>
      </c>
      <c r="E33" s="2">
        <v>0</v>
      </c>
      <c r="F33" s="2">
        <v>0</v>
      </c>
      <c r="G33" s="2">
        <v>0</v>
      </c>
      <c r="H33" s="2">
        <v>0</v>
      </c>
      <c r="I33">
        <f t="shared" si="0"/>
        <v>0</v>
      </c>
      <c r="K33" s="1" t="s">
        <v>94</v>
      </c>
      <c r="L33" s="2">
        <v>0</v>
      </c>
      <c r="M33" s="2">
        <v>720</v>
      </c>
      <c r="N33" s="2">
        <v>0</v>
      </c>
      <c r="O33" s="2">
        <v>0</v>
      </c>
      <c r="P33" s="2">
        <v>0</v>
      </c>
      <c r="Q33" s="2">
        <v>720</v>
      </c>
      <c r="R33">
        <f t="shared" si="1"/>
        <v>1440</v>
      </c>
      <c r="X33" s="1" t="s">
        <v>93</v>
      </c>
      <c r="Y33" s="2">
        <v>0</v>
      </c>
      <c r="Z33" s="2">
        <v>0</v>
      </c>
      <c r="AA33" s="2">
        <v>0</v>
      </c>
      <c r="AB33" s="2">
        <v>0</v>
      </c>
      <c r="AC33" s="2">
        <v>0</v>
      </c>
      <c r="AD33" s="2">
        <v>0</v>
      </c>
      <c r="AE33">
        <f t="shared" si="2"/>
        <v>0</v>
      </c>
    </row>
    <row r="34" spans="1:31" ht="30">
      <c r="A34">
        <f t="shared" si="3"/>
        <v>2026</v>
      </c>
      <c r="B34" s="1" t="s">
        <v>95</v>
      </c>
      <c r="C34" s="2">
        <v>0</v>
      </c>
      <c r="D34" s="2">
        <v>0</v>
      </c>
      <c r="E34" s="2">
        <v>0</v>
      </c>
      <c r="F34" s="2">
        <v>0</v>
      </c>
      <c r="G34" s="2">
        <v>0</v>
      </c>
      <c r="H34" s="2">
        <v>0</v>
      </c>
      <c r="I34">
        <f t="shared" si="0"/>
        <v>0</v>
      </c>
      <c r="K34" s="1" t="s">
        <v>95</v>
      </c>
      <c r="L34" s="2">
        <v>696</v>
      </c>
      <c r="M34" s="2">
        <v>744</v>
      </c>
      <c r="N34" s="2">
        <v>0</v>
      </c>
      <c r="O34" s="2">
        <v>0</v>
      </c>
      <c r="P34" s="2">
        <v>696</v>
      </c>
      <c r="Q34" s="2">
        <v>744</v>
      </c>
      <c r="R34">
        <f t="shared" si="1"/>
        <v>2880</v>
      </c>
      <c r="X34" s="1" t="s">
        <v>94</v>
      </c>
      <c r="Y34" s="2">
        <v>0</v>
      </c>
      <c r="Z34" s="2">
        <v>0</v>
      </c>
      <c r="AA34" s="2">
        <v>0</v>
      </c>
      <c r="AB34" s="2">
        <v>0</v>
      </c>
      <c r="AC34" s="2">
        <v>0</v>
      </c>
      <c r="AD34" s="2">
        <v>0</v>
      </c>
      <c r="AE34">
        <f t="shared" si="2"/>
        <v>0</v>
      </c>
    </row>
    <row r="35" spans="1:31" ht="30">
      <c r="A35">
        <f t="shared" si="3"/>
        <v>2026</v>
      </c>
      <c r="B35" s="1" t="s">
        <v>96</v>
      </c>
      <c r="C35" s="2">
        <v>0</v>
      </c>
      <c r="D35" s="2">
        <v>0</v>
      </c>
      <c r="E35" s="2">
        <v>0</v>
      </c>
      <c r="F35" s="2">
        <v>0</v>
      </c>
      <c r="G35" s="2">
        <v>0</v>
      </c>
      <c r="H35" s="2">
        <v>0</v>
      </c>
      <c r="I35">
        <f t="shared" si="0"/>
        <v>0</v>
      </c>
      <c r="K35" s="1" t="s">
        <v>96</v>
      </c>
      <c r="L35" s="2">
        <v>720</v>
      </c>
      <c r="M35" s="2">
        <v>720</v>
      </c>
      <c r="N35" s="2">
        <v>0</v>
      </c>
      <c r="O35" s="2">
        <v>0</v>
      </c>
      <c r="P35" s="2">
        <v>552</v>
      </c>
      <c r="Q35" s="2">
        <v>720</v>
      </c>
      <c r="R35">
        <f t="shared" si="1"/>
        <v>2712</v>
      </c>
      <c r="X35" s="1" t="s">
        <v>95</v>
      </c>
      <c r="Y35" s="2">
        <v>0</v>
      </c>
      <c r="Z35" s="2">
        <v>0</v>
      </c>
      <c r="AA35" s="2">
        <v>0</v>
      </c>
      <c r="AB35" s="2">
        <v>0</v>
      </c>
      <c r="AC35" s="2">
        <v>0</v>
      </c>
      <c r="AD35" s="2">
        <v>0</v>
      </c>
      <c r="AE35">
        <f t="shared" si="2"/>
        <v>0</v>
      </c>
    </row>
    <row r="36" spans="1:31" ht="30">
      <c r="A36">
        <f t="shared" si="3"/>
        <v>2026</v>
      </c>
      <c r="B36" s="1" t="s">
        <v>97</v>
      </c>
      <c r="C36" s="2">
        <v>0</v>
      </c>
      <c r="D36" s="2">
        <v>0</v>
      </c>
      <c r="E36" s="2">
        <v>0</v>
      </c>
      <c r="F36" s="2">
        <v>0</v>
      </c>
      <c r="G36" s="2">
        <v>0</v>
      </c>
      <c r="H36" s="2">
        <v>0</v>
      </c>
      <c r="I36">
        <f t="shared" si="0"/>
        <v>0</v>
      </c>
      <c r="K36" s="1" t="s">
        <v>97</v>
      </c>
      <c r="L36" s="2">
        <v>744</v>
      </c>
      <c r="M36" s="2">
        <v>744</v>
      </c>
      <c r="N36" s="2">
        <v>0</v>
      </c>
      <c r="O36" s="2">
        <v>0</v>
      </c>
      <c r="P36" s="2">
        <v>744</v>
      </c>
      <c r="Q36" s="2">
        <v>744</v>
      </c>
      <c r="R36">
        <f t="shared" si="1"/>
        <v>2976</v>
      </c>
      <c r="X36" s="1" t="s">
        <v>96</v>
      </c>
      <c r="Y36" s="2">
        <v>0</v>
      </c>
      <c r="Z36" s="2">
        <v>0</v>
      </c>
      <c r="AA36" s="2">
        <v>0</v>
      </c>
      <c r="AB36" s="2">
        <v>0</v>
      </c>
      <c r="AC36" s="2">
        <v>0</v>
      </c>
      <c r="AD36" s="2">
        <v>0</v>
      </c>
      <c r="AE36">
        <f t="shared" si="2"/>
        <v>0</v>
      </c>
    </row>
    <row r="37" spans="1:31" ht="30">
      <c r="A37">
        <f t="shared" si="3"/>
        <v>2026</v>
      </c>
      <c r="B37" s="1" t="s">
        <v>98</v>
      </c>
      <c r="C37" s="2">
        <v>0</v>
      </c>
      <c r="D37" s="2">
        <v>0</v>
      </c>
      <c r="E37" s="2">
        <v>0</v>
      </c>
      <c r="F37" s="2">
        <v>0</v>
      </c>
      <c r="G37" s="2">
        <v>0</v>
      </c>
      <c r="H37" s="2">
        <v>0</v>
      </c>
      <c r="I37">
        <f t="shared" si="0"/>
        <v>0</v>
      </c>
      <c r="K37" s="1" t="s">
        <v>98</v>
      </c>
      <c r="L37" s="2">
        <v>576</v>
      </c>
      <c r="M37" s="2">
        <v>576</v>
      </c>
      <c r="N37" s="2">
        <v>0</v>
      </c>
      <c r="O37" s="2">
        <v>0</v>
      </c>
      <c r="P37" s="2">
        <v>744</v>
      </c>
      <c r="Q37" s="2">
        <v>576</v>
      </c>
      <c r="R37">
        <f t="shared" si="1"/>
        <v>2472</v>
      </c>
      <c r="X37" s="1" t="s">
        <v>97</v>
      </c>
      <c r="Y37" s="2">
        <v>744</v>
      </c>
      <c r="Z37" s="2">
        <v>744</v>
      </c>
      <c r="AA37" s="2">
        <v>0</v>
      </c>
      <c r="AB37" s="2">
        <v>0</v>
      </c>
      <c r="AC37" s="2">
        <v>744</v>
      </c>
      <c r="AD37" s="2">
        <v>744</v>
      </c>
      <c r="AE37">
        <f t="shared" si="2"/>
        <v>2976</v>
      </c>
    </row>
    <row r="38" spans="1:31" ht="30">
      <c r="A38">
        <f t="shared" si="3"/>
        <v>2026</v>
      </c>
      <c r="B38" s="1" t="s">
        <v>99</v>
      </c>
      <c r="C38" s="2">
        <v>0</v>
      </c>
      <c r="D38" s="2">
        <v>0</v>
      </c>
      <c r="E38" s="2">
        <v>0</v>
      </c>
      <c r="F38" s="2">
        <v>0</v>
      </c>
      <c r="G38" s="2">
        <v>0</v>
      </c>
      <c r="H38" s="2">
        <v>0</v>
      </c>
      <c r="I38">
        <f t="shared" si="0"/>
        <v>0</v>
      </c>
      <c r="K38" s="1" t="s">
        <v>99</v>
      </c>
      <c r="L38" s="2">
        <v>720</v>
      </c>
      <c r="M38" s="2">
        <v>624</v>
      </c>
      <c r="N38" s="2">
        <v>0</v>
      </c>
      <c r="O38" s="2">
        <v>0</v>
      </c>
      <c r="P38" s="2">
        <v>384</v>
      </c>
      <c r="Q38" s="2">
        <v>552</v>
      </c>
      <c r="R38">
        <f t="shared" si="1"/>
        <v>2280</v>
      </c>
      <c r="X38" s="1" t="s">
        <v>98</v>
      </c>
      <c r="Y38" s="2">
        <v>576</v>
      </c>
      <c r="Z38" s="2">
        <v>576</v>
      </c>
      <c r="AA38" s="2">
        <v>0</v>
      </c>
      <c r="AB38" s="2">
        <v>0</v>
      </c>
      <c r="AC38" s="2">
        <v>744</v>
      </c>
      <c r="AD38" s="2">
        <v>576</v>
      </c>
      <c r="AE38">
        <f t="shared" si="2"/>
        <v>2472</v>
      </c>
    </row>
    <row r="39" spans="1:31" ht="30">
      <c r="A39">
        <f t="shared" si="3"/>
        <v>2026</v>
      </c>
      <c r="B39" s="1" t="s">
        <v>100</v>
      </c>
      <c r="C39" s="2">
        <v>0</v>
      </c>
      <c r="D39" s="2">
        <v>0</v>
      </c>
      <c r="E39" s="2">
        <v>0</v>
      </c>
      <c r="F39" s="2">
        <v>0</v>
      </c>
      <c r="G39" s="2">
        <v>0</v>
      </c>
      <c r="H39" s="2">
        <v>0</v>
      </c>
      <c r="I39">
        <f t="shared" si="0"/>
        <v>0</v>
      </c>
      <c r="K39" s="1" t="s">
        <v>100</v>
      </c>
      <c r="L39" s="2">
        <v>744</v>
      </c>
      <c r="M39" s="2">
        <v>0</v>
      </c>
      <c r="N39" s="2">
        <v>0</v>
      </c>
      <c r="O39" s="2">
        <v>0</v>
      </c>
      <c r="P39" s="2">
        <v>408</v>
      </c>
      <c r="Q39" s="2">
        <v>528</v>
      </c>
      <c r="R39">
        <f t="shared" si="1"/>
        <v>1680</v>
      </c>
      <c r="X39" s="1" t="s">
        <v>99</v>
      </c>
      <c r="Y39" s="2">
        <v>0</v>
      </c>
      <c r="Z39" s="2">
        <v>0</v>
      </c>
      <c r="AA39" s="2">
        <v>0</v>
      </c>
      <c r="AB39" s="2">
        <v>0</v>
      </c>
      <c r="AC39" s="2">
        <v>0</v>
      </c>
      <c r="AD39" s="2">
        <v>0</v>
      </c>
      <c r="AE39">
        <f t="shared" si="2"/>
        <v>0</v>
      </c>
    </row>
    <row r="40" spans="1:31" ht="30">
      <c r="A40">
        <f t="shared" si="3"/>
        <v>2026</v>
      </c>
      <c r="B40" s="1" t="s">
        <v>101</v>
      </c>
      <c r="C40" s="2">
        <v>0</v>
      </c>
      <c r="D40" s="2">
        <v>0</v>
      </c>
      <c r="E40" s="2">
        <v>0</v>
      </c>
      <c r="F40" s="2">
        <v>0</v>
      </c>
      <c r="G40" s="2">
        <v>0</v>
      </c>
      <c r="H40" s="2">
        <v>0</v>
      </c>
      <c r="I40">
        <f t="shared" si="0"/>
        <v>0</v>
      </c>
      <c r="K40" s="1" t="s">
        <v>101</v>
      </c>
      <c r="L40" s="2">
        <v>552</v>
      </c>
      <c r="M40" s="2">
        <v>696</v>
      </c>
      <c r="N40" s="2">
        <v>0</v>
      </c>
      <c r="O40" s="2">
        <v>0</v>
      </c>
      <c r="P40" s="2">
        <v>720</v>
      </c>
      <c r="Q40" s="2">
        <v>0</v>
      </c>
      <c r="R40">
        <f t="shared" si="1"/>
        <v>1968</v>
      </c>
      <c r="X40" s="1" t="s">
        <v>100</v>
      </c>
      <c r="Y40" s="2">
        <v>0</v>
      </c>
      <c r="Z40" s="2">
        <v>0</v>
      </c>
      <c r="AA40" s="2">
        <v>0</v>
      </c>
      <c r="AB40" s="2">
        <v>0</v>
      </c>
      <c r="AC40" s="2">
        <v>0</v>
      </c>
      <c r="AD40" s="2">
        <v>0</v>
      </c>
      <c r="AE40">
        <f t="shared" si="2"/>
        <v>0</v>
      </c>
    </row>
    <row r="41" spans="1:31" ht="30">
      <c r="A41">
        <f t="shared" si="3"/>
        <v>2026</v>
      </c>
      <c r="B41" s="1" t="s">
        <v>102</v>
      </c>
      <c r="C41" s="2">
        <v>0</v>
      </c>
      <c r="D41" s="2">
        <v>0</v>
      </c>
      <c r="E41" s="2">
        <v>0</v>
      </c>
      <c r="F41" s="2">
        <v>0</v>
      </c>
      <c r="G41" s="2">
        <v>0</v>
      </c>
      <c r="H41" s="2">
        <v>0</v>
      </c>
      <c r="I41">
        <f t="shared" si="0"/>
        <v>0</v>
      </c>
      <c r="K41" s="1" t="s">
        <v>102</v>
      </c>
      <c r="L41" s="2">
        <v>744</v>
      </c>
      <c r="M41" s="2">
        <v>744</v>
      </c>
      <c r="N41" s="2">
        <v>0</v>
      </c>
      <c r="O41" s="2">
        <v>0</v>
      </c>
      <c r="P41" s="2">
        <v>744</v>
      </c>
      <c r="Q41" s="2">
        <v>744</v>
      </c>
      <c r="R41">
        <f t="shared" si="1"/>
        <v>2976</v>
      </c>
      <c r="X41" s="1" t="s">
        <v>101</v>
      </c>
      <c r="Y41" s="2">
        <v>0</v>
      </c>
      <c r="Z41" s="2">
        <v>0</v>
      </c>
      <c r="AA41" s="2">
        <v>0</v>
      </c>
      <c r="AB41" s="2">
        <v>0</v>
      </c>
      <c r="AC41" s="2">
        <v>0</v>
      </c>
      <c r="AD41" s="2">
        <v>0</v>
      </c>
      <c r="AE41">
        <f t="shared" si="2"/>
        <v>0</v>
      </c>
    </row>
    <row r="42" spans="1:31" ht="30">
      <c r="A42">
        <f t="shared" si="3"/>
        <v>2027</v>
      </c>
      <c r="B42" s="1" t="s">
        <v>103</v>
      </c>
      <c r="C42" s="2">
        <v>0</v>
      </c>
      <c r="D42" s="2">
        <v>0</v>
      </c>
      <c r="E42" s="2">
        <v>0</v>
      </c>
      <c r="F42" s="2">
        <v>0</v>
      </c>
      <c r="G42" s="2">
        <v>0</v>
      </c>
      <c r="H42" s="2">
        <v>0</v>
      </c>
      <c r="I42">
        <f t="shared" si="0"/>
        <v>0</v>
      </c>
      <c r="K42" s="1" t="s">
        <v>103</v>
      </c>
      <c r="L42" s="2">
        <v>744</v>
      </c>
      <c r="M42" s="2">
        <v>576</v>
      </c>
      <c r="N42" s="2">
        <v>0</v>
      </c>
      <c r="O42" s="2">
        <v>0</v>
      </c>
      <c r="P42" s="2">
        <v>744</v>
      </c>
      <c r="Q42" s="2">
        <v>744</v>
      </c>
      <c r="R42">
        <f t="shared" si="1"/>
        <v>2808</v>
      </c>
      <c r="X42" s="1" t="s">
        <v>102</v>
      </c>
      <c r="Y42" s="2">
        <v>0</v>
      </c>
      <c r="Z42" s="2">
        <v>0</v>
      </c>
      <c r="AA42" s="2">
        <v>0</v>
      </c>
      <c r="AB42" s="2">
        <v>0</v>
      </c>
      <c r="AC42" s="2">
        <v>0</v>
      </c>
      <c r="AD42" s="2">
        <v>0</v>
      </c>
      <c r="AE42">
        <f t="shared" si="2"/>
        <v>0</v>
      </c>
    </row>
    <row r="43" spans="1:31" ht="30">
      <c r="A43">
        <f t="shared" si="3"/>
        <v>2027</v>
      </c>
      <c r="B43" s="1" t="s">
        <v>104</v>
      </c>
      <c r="C43" s="2">
        <v>0</v>
      </c>
      <c r="D43" s="2">
        <v>0</v>
      </c>
      <c r="E43" s="2">
        <v>0</v>
      </c>
      <c r="F43" s="2">
        <v>0</v>
      </c>
      <c r="G43" s="2">
        <v>0</v>
      </c>
      <c r="H43" s="2">
        <v>0</v>
      </c>
      <c r="I43">
        <f t="shared" si="0"/>
        <v>0</v>
      </c>
      <c r="K43" s="1" t="s">
        <v>104</v>
      </c>
      <c r="L43" s="2">
        <v>672</v>
      </c>
      <c r="M43" s="2">
        <v>672</v>
      </c>
      <c r="N43" s="2">
        <v>0</v>
      </c>
      <c r="O43" s="2">
        <v>0</v>
      </c>
      <c r="P43" s="2">
        <v>672</v>
      </c>
      <c r="Q43" s="2">
        <v>672</v>
      </c>
      <c r="R43">
        <f t="shared" si="1"/>
        <v>2688</v>
      </c>
      <c r="X43" s="1" t="s">
        <v>103</v>
      </c>
      <c r="Y43" s="2">
        <v>744</v>
      </c>
      <c r="Z43" s="2">
        <v>576</v>
      </c>
      <c r="AA43" s="2">
        <v>0</v>
      </c>
      <c r="AB43" s="2">
        <v>0</v>
      </c>
      <c r="AC43" s="2">
        <v>744</v>
      </c>
      <c r="AD43" s="2">
        <v>744</v>
      </c>
      <c r="AE43">
        <f t="shared" si="2"/>
        <v>2808</v>
      </c>
    </row>
    <row r="44" spans="1:31" ht="30">
      <c r="A44">
        <f t="shared" si="3"/>
        <v>2027</v>
      </c>
      <c r="B44" s="1" t="s">
        <v>105</v>
      </c>
      <c r="C44" s="2">
        <v>0</v>
      </c>
      <c r="D44" s="2">
        <v>0</v>
      </c>
      <c r="E44" s="2">
        <v>0</v>
      </c>
      <c r="F44" s="2">
        <v>0</v>
      </c>
      <c r="G44" s="2">
        <v>0</v>
      </c>
      <c r="H44" s="2">
        <v>0</v>
      </c>
      <c r="I44">
        <f t="shared" si="0"/>
        <v>0</v>
      </c>
      <c r="K44" s="1" t="s">
        <v>105</v>
      </c>
      <c r="L44" s="2">
        <v>720</v>
      </c>
      <c r="M44" s="2">
        <v>744</v>
      </c>
      <c r="N44" s="2">
        <v>0</v>
      </c>
      <c r="O44" s="2">
        <v>0</v>
      </c>
      <c r="P44" s="2">
        <v>744</v>
      </c>
      <c r="Q44" s="2">
        <v>720</v>
      </c>
      <c r="R44">
        <f t="shared" si="1"/>
        <v>2928</v>
      </c>
      <c r="X44" s="1" t="s">
        <v>104</v>
      </c>
      <c r="Y44" s="2">
        <v>672</v>
      </c>
      <c r="Z44" s="2">
        <v>672</v>
      </c>
      <c r="AA44" s="2">
        <v>0</v>
      </c>
      <c r="AB44" s="2">
        <v>0</v>
      </c>
      <c r="AC44" s="2">
        <v>672</v>
      </c>
      <c r="AD44" s="2">
        <v>672</v>
      </c>
      <c r="AE44">
        <f t="shared" si="2"/>
        <v>2688</v>
      </c>
    </row>
    <row r="45" spans="1:31" ht="30">
      <c r="A45">
        <f t="shared" si="3"/>
        <v>2027</v>
      </c>
      <c r="B45" s="1" t="s">
        <v>106</v>
      </c>
      <c r="C45" s="2">
        <v>0</v>
      </c>
      <c r="D45" s="2">
        <v>0</v>
      </c>
      <c r="E45" s="2">
        <v>0</v>
      </c>
      <c r="F45" s="2">
        <v>0</v>
      </c>
      <c r="G45" s="2">
        <v>0</v>
      </c>
      <c r="H45" s="2">
        <v>0</v>
      </c>
      <c r="I45">
        <f t="shared" si="0"/>
        <v>0</v>
      </c>
      <c r="K45" s="1" t="s">
        <v>106</v>
      </c>
      <c r="L45" s="2">
        <v>0</v>
      </c>
      <c r="M45" s="2">
        <v>720</v>
      </c>
      <c r="N45" s="2">
        <v>0</v>
      </c>
      <c r="O45" s="2">
        <v>0</v>
      </c>
      <c r="P45" s="2">
        <v>576</v>
      </c>
      <c r="Q45" s="2">
        <v>0</v>
      </c>
      <c r="R45">
        <f t="shared" si="1"/>
        <v>1296</v>
      </c>
      <c r="X45" s="1" t="s">
        <v>105</v>
      </c>
      <c r="Y45" s="2">
        <v>0</v>
      </c>
      <c r="Z45" s="2">
        <v>0</v>
      </c>
      <c r="AA45" s="2">
        <v>0</v>
      </c>
      <c r="AB45" s="2">
        <v>0</v>
      </c>
      <c r="AC45" s="2">
        <v>0</v>
      </c>
      <c r="AD45" s="2">
        <v>0</v>
      </c>
      <c r="AE45">
        <f t="shared" si="2"/>
        <v>0</v>
      </c>
    </row>
    <row r="46" spans="1:31" ht="30">
      <c r="A46">
        <f t="shared" si="3"/>
        <v>2027</v>
      </c>
      <c r="B46" s="1" t="s">
        <v>107</v>
      </c>
      <c r="C46" s="2">
        <v>0</v>
      </c>
      <c r="D46" s="2">
        <v>0</v>
      </c>
      <c r="E46" s="2">
        <v>0</v>
      </c>
      <c r="F46" s="2">
        <v>0</v>
      </c>
      <c r="G46" s="2">
        <v>0</v>
      </c>
      <c r="H46" s="2">
        <v>0</v>
      </c>
      <c r="I46">
        <f t="shared" si="0"/>
        <v>0</v>
      </c>
      <c r="K46" s="1" t="s">
        <v>107</v>
      </c>
      <c r="L46" s="2">
        <v>720</v>
      </c>
      <c r="M46" s="2">
        <v>744</v>
      </c>
      <c r="N46" s="2">
        <v>0</v>
      </c>
      <c r="O46" s="2">
        <v>0</v>
      </c>
      <c r="P46" s="2">
        <v>552</v>
      </c>
      <c r="Q46" s="2">
        <v>720</v>
      </c>
      <c r="R46">
        <f t="shared" si="1"/>
        <v>2736</v>
      </c>
      <c r="X46" s="1" t="s">
        <v>106</v>
      </c>
      <c r="Y46" s="2">
        <v>0</v>
      </c>
      <c r="Z46" s="2">
        <v>0</v>
      </c>
      <c r="AA46" s="2">
        <v>0</v>
      </c>
      <c r="AB46" s="2">
        <v>0</v>
      </c>
      <c r="AC46" s="2">
        <v>0</v>
      </c>
      <c r="AD46" s="2">
        <v>0</v>
      </c>
      <c r="AE46">
        <f t="shared" si="2"/>
        <v>0</v>
      </c>
    </row>
    <row r="47" spans="1:31" ht="30">
      <c r="A47">
        <f t="shared" si="3"/>
        <v>2027</v>
      </c>
      <c r="B47" s="1" t="s">
        <v>108</v>
      </c>
      <c r="C47" s="2">
        <v>0</v>
      </c>
      <c r="D47" s="2">
        <v>0</v>
      </c>
      <c r="E47" s="2">
        <v>0</v>
      </c>
      <c r="F47" s="2">
        <v>0</v>
      </c>
      <c r="G47" s="2">
        <v>0</v>
      </c>
      <c r="H47" s="2">
        <v>0</v>
      </c>
      <c r="I47">
        <f t="shared" si="0"/>
        <v>0</v>
      </c>
      <c r="K47" s="1" t="s">
        <v>108</v>
      </c>
      <c r="L47" s="2">
        <v>720</v>
      </c>
      <c r="M47" s="2">
        <v>720</v>
      </c>
      <c r="N47" s="2">
        <v>0</v>
      </c>
      <c r="O47" s="2">
        <v>0</v>
      </c>
      <c r="P47" s="2">
        <v>720</v>
      </c>
      <c r="Q47" s="2">
        <v>720</v>
      </c>
      <c r="R47">
        <f t="shared" si="1"/>
        <v>2880</v>
      </c>
      <c r="X47" s="1" t="s">
        <v>107</v>
      </c>
      <c r="Y47" s="2">
        <v>0</v>
      </c>
      <c r="Z47" s="2">
        <v>0</v>
      </c>
      <c r="AA47" s="2">
        <v>0</v>
      </c>
      <c r="AB47" s="2">
        <v>0</v>
      </c>
      <c r="AC47" s="2">
        <v>0</v>
      </c>
      <c r="AD47" s="2">
        <v>0</v>
      </c>
      <c r="AE47">
        <f t="shared" si="2"/>
        <v>0</v>
      </c>
    </row>
    <row r="48" spans="1:31" ht="30">
      <c r="A48">
        <f t="shared" si="3"/>
        <v>2027</v>
      </c>
      <c r="B48" s="1" t="s">
        <v>109</v>
      </c>
      <c r="C48" s="2">
        <v>0</v>
      </c>
      <c r="D48" s="2">
        <v>0</v>
      </c>
      <c r="E48" s="2">
        <v>0</v>
      </c>
      <c r="F48" s="2">
        <v>0</v>
      </c>
      <c r="G48" s="2">
        <v>0</v>
      </c>
      <c r="H48" s="2">
        <v>0</v>
      </c>
      <c r="I48">
        <f t="shared" si="0"/>
        <v>0</v>
      </c>
      <c r="K48" s="1" t="s">
        <v>109</v>
      </c>
      <c r="L48" s="2">
        <v>576</v>
      </c>
      <c r="M48" s="2">
        <v>744</v>
      </c>
      <c r="N48" s="2">
        <v>0</v>
      </c>
      <c r="O48" s="2">
        <v>0</v>
      </c>
      <c r="P48" s="2">
        <v>744</v>
      </c>
      <c r="Q48" s="2">
        <v>744</v>
      </c>
      <c r="R48">
        <f t="shared" si="1"/>
        <v>2808</v>
      </c>
      <c r="X48" s="1" t="s">
        <v>108</v>
      </c>
      <c r="Y48" s="2">
        <v>0</v>
      </c>
      <c r="Z48" s="2">
        <v>0</v>
      </c>
      <c r="AA48" s="2">
        <v>0</v>
      </c>
      <c r="AB48" s="2">
        <v>0</v>
      </c>
      <c r="AC48" s="2">
        <v>0</v>
      </c>
      <c r="AD48" s="2">
        <v>0</v>
      </c>
      <c r="AE48">
        <f t="shared" si="2"/>
        <v>0</v>
      </c>
    </row>
    <row r="49" spans="1:31" ht="30">
      <c r="A49">
        <f t="shared" si="3"/>
        <v>2027</v>
      </c>
      <c r="B49" s="1" t="s">
        <v>110</v>
      </c>
      <c r="C49" s="2">
        <v>0</v>
      </c>
      <c r="D49" s="2">
        <v>0</v>
      </c>
      <c r="E49" s="2">
        <v>0</v>
      </c>
      <c r="F49" s="2">
        <v>0</v>
      </c>
      <c r="G49" s="2">
        <v>0</v>
      </c>
      <c r="H49" s="2">
        <v>0</v>
      </c>
      <c r="I49">
        <f t="shared" si="0"/>
        <v>0</v>
      </c>
      <c r="K49" s="1" t="s">
        <v>110</v>
      </c>
      <c r="L49" s="2">
        <v>744</v>
      </c>
      <c r="M49" s="2">
        <v>744</v>
      </c>
      <c r="N49" s="2">
        <v>0</v>
      </c>
      <c r="O49" s="2">
        <v>0</v>
      </c>
      <c r="P49" s="2">
        <v>744</v>
      </c>
      <c r="Q49" s="2">
        <v>576</v>
      </c>
      <c r="R49">
        <f t="shared" si="1"/>
        <v>2808</v>
      </c>
      <c r="X49" s="1" t="s">
        <v>109</v>
      </c>
      <c r="Y49" s="2">
        <v>576</v>
      </c>
      <c r="Z49" s="2">
        <v>744</v>
      </c>
      <c r="AA49" s="2">
        <v>0</v>
      </c>
      <c r="AB49" s="2">
        <v>0</v>
      </c>
      <c r="AC49" s="2">
        <v>744</v>
      </c>
      <c r="AD49" s="2">
        <v>744</v>
      </c>
      <c r="AE49">
        <f t="shared" si="2"/>
        <v>2808</v>
      </c>
    </row>
    <row r="50" spans="1:31" ht="30">
      <c r="A50">
        <f t="shared" si="3"/>
        <v>2027</v>
      </c>
      <c r="B50" s="1" t="s">
        <v>111</v>
      </c>
      <c r="C50" s="2">
        <v>0</v>
      </c>
      <c r="D50" s="2">
        <v>0</v>
      </c>
      <c r="E50" s="2">
        <v>0</v>
      </c>
      <c r="F50" s="2">
        <v>0</v>
      </c>
      <c r="G50" s="2">
        <v>0</v>
      </c>
      <c r="H50" s="2">
        <v>0</v>
      </c>
      <c r="I50">
        <f t="shared" si="0"/>
        <v>0</v>
      </c>
      <c r="K50" s="1" t="s">
        <v>111</v>
      </c>
      <c r="L50" s="2">
        <v>600</v>
      </c>
      <c r="M50" s="2">
        <v>720</v>
      </c>
      <c r="N50" s="2">
        <v>0</v>
      </c>
      <c r="O50" s="2">
        <v>0</v>
      </c>
      <c r="P50" s="2">
        <v>552</v>
      </c>
      <c r="Q50" s="2">
        <v>720</v>
      </c>
      <c r="R50">
        <f t="shared" si="1"/>
        <v>2592</v>
      </c>
      <c r="X50" s="1" t="s">
        <v>110</v>
      </c>
      <c r="Y50" s="2">
        <v>744</v>
      </c>
      <c r="Z50" s="2">
        <v>744</v>
      </c>
      <c r="AA50" s="2">
        <v>0</v>
      </c>
      <c r="AB50" s="2">
        <v>0</v>
      </c>
      <c r="AC50" s="2">
        <v>744</v>
      </c>
      <c r="AD50" s="2">
        <v>576</v>
      </c>
      <c r="AE50">
        <f t="shared" si="2"/>
        <v>2808</v>
      </c>
    </row>
    <row r="51" spans="1:31" ht="30">
      <c r="A51">
        <f t="shared" si="3"/>
        <v>2027</v>
      </c>
      <c r="B51" s="1" t="s">
        <v>112</v>
      </c>
      <c r="C51" s="2">
        <v>0</v>
      </c>
      <c r="D51" s="2">
        <v>0</v>
      </c>
      <c r="E51" s="2">
        <v>0</v>
      </c>
      <c r="F51" s="2">
        <v>0</v>
      </c>
      <c r="G51" s="2">
        <v>0</v>
      </c>
      <c r="H51" s="2">
        <v>0</v>
      </c>
      <c r="I51">
        <f t="shared" si="0"/>
        <v>0</v>
      </c>
      <c r="K51" s="1" t="s">
        <v>112</v>
      </c>
      <c r="L51" s="2">
        <v>696</v>
      </c>
      <c r="M51" s="2">
        <v>744</v>
      </c>
      <c r="N51" s="2">
        <v>0</v>
      </c>
      <c r="O51" s="2">
        <v>0</v>
      </c>
      <c r="P51" s="2">
        <v>672</v>
      </c>
      <c r="Q51" s="2">
        <v>744</v>
      </c>
      <c r="R51">
        <f t="shared" si="1"/>
        <v>2856</v>
      </c>
      <c r="X51" s="1" t="s">
        <v>111</v>
      </c>
      <c r="Y51" s="2">
        <v>0</v>
      </c>
      <c r="Z51" s="2">
        <v>0</v>
      </c>
      <c r="AA51" s="2">
        <v>0</v>
      </c>
      <c r="AB51" s="2">
        <v>0</v>
      </c>
      <c r="AC51" s="2">
        <v>0</v>
      </c>
      <c r="AD51" s="2">
        <v>0</v>
      </c>
      <c r="AE51">
        <f t="shared" si="2"/>
        <v>0</v>
      </c>
    </row>
    <row r="52" spans="1:31" ht="30">
      <c r="A52">
        <f t="shared" si="3"/>
        <v>2027</v>
      </c>
      <c r="B52" s="1" t="s">
        <v>113</v>
      </c>
      <c r="C52" s="2">
        <v>0</v>
      </c>
      <c r="D52" s="2">
        <v>0</v>
      </c>
      <c r="E52" s="2">
        <v>0</v>
      </c>
      <c r="F52" s="2">
        <v>0</v>
      </c>
      <c r="G52" s="2">
        <v>0</v>
      </c>
      <c r="H52" s="2">
        <v>0</v>
      </c>
      <c r="I52">
        <f t="shared" si="0"/>
        <v>0</v>
      </c>
      <c r="K52" s="1" t="s">
        <v>113</v>
      </c>
      <c r="L52" s="2">
        <v>480</v>
      </c>
      <c r="M52" s="2">
        <v>72</v>
      </c>
      <c r="N52" s="2">
        <v>0</v>
      </c>
      <c r="O52" s="2">
        <v>0</v>
      </c>
      <c r="P52" s="2">
        <v>24</v>
      </c>
      <c r="Q52" s="2">
        <v>720</v>
      </c>
      <c r="R52">
        <f t="shared" si="1"/>
        <v>1296</v>
      </c>
      <c r="X52" s="1" t="s">
        <v>112</v>
      </c>
      <c r="Y52" s="2">
        <v>0</v>
      </c>
      <c r="Z52" s="2">
        <v>0</v>
      </c>
      <c r="AA52" s="2">
        <v>0</v>
      </c>
      <c r="AB52" s="2">
        <v>0</v>
      </c>
      <c r="AC52" s="2">
        <v>0</v>
      </c>
      <c r="AD52" s="2">
        <v>0</v>
      </c>
      <c r="AE52">
        <f t="shared" si="2"/>
        <v>0</v>
      </c>
    </row>
    <row r="53" spans="1:31" ht="30">
      <c r="A53">
        <f t="shared" si="3"/>
        <v>2027</v>
      </c>
      <c r="B53" s="1" t="s">
        <v>114</v>
      </c>
      <c r="C53" s="2">
        <v>0</v>
      </c>
      <c r="D53" s="2">
        <v>0</v>
      </c>
      <c r="E53" s="2">
        <v>0</v>
      </c>
      <c r="F53" s="2">
        <v>0</v>
      </c>
      <c r="G53" s="2">
        <v>0</v>
      </c>
      <c r="H53" s="2">
        <v>0</v>
      </c>
      <c r="I53">
        <f t="shared" si="0"/>
        <v>0</v>
      </c>
      <c r="K53" s="1" t="s">
        <v>114</v>
      </c>
      <c r="L53" s="2">
        <v>648</v>
      </c>
      <c r="M53" s="2">
        <v>624</v>
      </c>
      <c r="N53" s="2">
        <v>0</v>
      </c>
      <c r="O53" s="2">
        <v>0</v>
      </c>
      <c r="P53" s="2">
        <v>744</v>
      </c>
      <c r="Q53" s="2">
        <v>744</v>
      </c>
      <c r="R53">
        <f t="shared" si="1"/>
        <v>2760</v>
      </c>
      <c r="X53" s="1" t="s">
        <v>113</v>
      </c>
      <c r="Y53" s="2">
        <v>0</v>
      </c>
      <c r="Z53" s="2">
        <v>0</v>
      </c>
      <c r="AA53" s="2">
        <v>0</v>
      </c>
      <c r="AB53" s="2">
        <v>0</v>
      </c>
      <c r="AC53" s="2">
        <v>0</v>
      </c>
      <c r="AD53" s="2">
        <v>0</v>
      </c>
      <c r="AE53">
        <f t="shared" si="2"/>
        <v>0</v>
      </c>
    </row>
    <row r="54" spans="1:31" ht="30">
      <c r="A54">
        <f t="shared" si="3"/>
        <v>2028</v>
      </c>
      <c r="B54" s="1" t="s">
        <v>115</v>
      </c>
      <c r="C54" s="2">
        <v>0</v>
      </c>
      <c r="D54" s="2">
        <v>0</v>
      </c>
      <c r="E54" s="2">
        <v>0</v>
      </c>
      <c r="F54" s="2">
        <v>0</v>
      </c>
      <c r="G54" s="2">
        <v>0</v>
      </c>
      <c r="H54" s="2">
        <v>0</v>
      </c>
      <c r="I54">
        <f t="shared" si="0"/>
        <v>0</v>
      </c>
      <c r="K54" s="1" t="s">
        <v>115</v>
      </c>
      <c r="L54" s="2">
        <v>576</v>
      </c>
      <c r="M54" s="2">
        <v>576</v>
      </c>
      <c r="N54" s="2">
        <v>0</v>
      </c>
      <c r="O54" s="2">
        <v>0</v>
      </c>
      <c r="P54" s="2">
        <v>744</v>
      </c>
      <c r="Q54" s="2">
        <v>744</v>
      </c>
      <c r="R54">
        <f t="shared" si="1"/>
        <v>2640</v>
      </c>
      <c r="X54" s="1" t="s">
        <v>114</v>
      </c>
      <c r="Y54" s="2">
        <v>0</v>
      </c>
      <c r="Z54" s="2">
        <v>0</v>
      </c>
      <c r="AA54" s="2">
        <v>0</v>
      </c>
      <c r="AB54" s="2">
        <v>0</v>
      </c>
      <c r="AC54" s="2">
        <v>0</v>
      </c>
      <c r="AD54" s="2">
        <v>0</v>
      </c>
      <c r="AE54">
        <f t="shared" si="2"/>
        <v>0</v>
      </c>
    </row>
    <row r="55" spans="1:31" ht="30">
      <c r="A55">
        <f t="shared" si="3"/>
        <v>2028</v>
      </c>
      <c r="B55" s="1" t="s">
        <v>116</v>
      </c>
      <c r="C55" s="2">
        <v>0</v>
      </c>
      <c r="D55" s="2">
        <v>0</v>
      </c>
      <c r="E55" s="2">
        <v>0</v>
      </c>
      <c r="F55" s="2">
        <v>0</v>
      </c>
      <c r="G55" s="2">
        <v>0</v>
      </c>
      <c r="H55" s="2">
        <v>0</v>
      </c>
      <c r="I55">
        <f t="shared" si="0"/>
        <v>0</v>
      </c>
      <c r="K55" s="1" t="s">
        <v>116</v>
      </c>
      <c r="L55" s="2">
        <v>696</v>
      </c>
      <c r="M55" s="2">
        <v>696</v>
      </c>
      <c r="N55" s="2">
        <v>0</v>
      </c>
      <c r="O55" s="2">
        <v>0</v>
      </c>
      <c r="P55" s="2">
        <v>696</v>
      </c>
      <c r="Q55" s="2">
        <v>696</v>
      </c>
      <c r="R55">
        <f t="shared" si="1"/>
        <v>2784</v>
      </c>
      <c r="X55" s="1" t="s">
        <v>115</v>
      </c>
      <c r="Y55" s="2">
        <v>576</v>
      </c>
      <c r="Z55" s="2">
        <v>576</v>
      </c>
      <c r="AA55" s="2">
        <v>0</v>
      </c>
      <c r="AB55" s="2">
        <v>0</v>
      </c>
      <c r="AC55" s="2">
        <v>744</v>
      </c>
      <c r="AD55" s="2">
        <v>744</v>
      </c>
      <c r="AE55">
        <f t="shared" si="2"/>
        <v>2640</v>
      </c>
    </row>
    <row r="56" spans="1:31" ht="30">
      <c r="A56">
        <f t="shared" si="3"/>
        <v>2028</v>
      </c>
      <c r="B56" s="1" t="s">
        <v>117</v>
      </c>
      <c r="C56" s="2">
        <v>0</v>
      </c>
      <c r="D56" s="2">
        <v>0</v>
      </c>
      <c r="E56" s="2">
        <v>0</v>
      </c>
      <c r="F56" s="2">
        <v>0</v>
      </c>
      <c r="G56" s="2">
        <v>0</v>
      </c>
      <c r="H56" s="2">
        <v>0</v>
      </c>
      <c r="I56">
        <f t="shared" si="0"/>
        <v>0</v>
      </c>
      <c r="K56" s="1" t="s">
        <v>117</v>
      </c>
      <c r="L56" s="2">
        <v>744</v>
      </c>
      <c r="M56" s="2">
        <v>576</v>
      </c>
      <c r="N56" s="2">
        <v>0</v>
      </c>
      <c r="O56" s="2">
        <v>0</v>
      </c>
      <c r="P56" s="2">
        <v>744</v>
      </c>
      <c r="Q56" s="2">
        <v>600</v>
      </c>
      <c r="R56">
        <f t="shared" si="1"/>
        <v>2664</v>
      </c>
      <c r="X56" s="1" t="s">
        <v>116</v>
      </c>
      <c r="Y56" s="2">
        <v>696</v>
      </c>
      <c r="Z56" s="2">
        <v>696</v>
      </c>
      <c r="AA56" s="2">
        <v>0</v>
      </c>
      <c r="AB56" s="2">
        <v>0</v>
      </c>
      <c r="AC56" s="2">
        <v>696</v>
      </c>
      <c r="AD56" s="2">
        <v>696</v>
      </c>
      <c r="AE56">
        <f t="shared" si="2"/>
        <v>2784</v>
      </c>
    </row>
    <row r="57" spans="1:31" ht="30">
      <c r="A57">
        <f t="shared" si="3"/>
        <v>2028</v>
      </c>
      <c r="B57" s="1" t="s">
        <v>118</v>
      </c>
      <c r="C57" s="2">
        <v>0</v>
      </c>
      <c r="D57" s="2">
        <v>0</v>
      </c>
      <c r="E57" s="2">
        <v>0</v>
      </c>
      <c r="F57" s="2">
        <v>0</v>
      </c>
      <c r="G57" s="2">
        <v>0</v>
      </c>
      <c r="H57" s="2">
        <v>0</v>
      </c>
      <c r="I57">
        <f t="shared" si="0"/>
        <v>0</v>
      </c>
      <c r="K57" s="1" t="s">
        <v>118</v>
      </c>
      <c r="L57" s="2">
        <v>720</v>
      </c>
      <c r="M57" s="2">
        <v>0</v>
      </c>
      <c r="N57" s="2">
        <v>0</v>
      </c>
      <c r="O57" s="2">
        <v>0</v>
      </c>
      <c r="P57" s="2">
        <v>720</v>
      </c>
      <c r="Q57" s="2">
        <v>72</v>
      </c>
      <c r="R57">
        <f t="shared" si="1"/>
        <v>1512</v>
      </c>
      <c r="X57" s="1" t="s">
        <v>117</v>
      </c>
      <c r="Y57" s="2">
        <v>0</v>
      </c>
      <c r="Z57" s="2">
        <v>0</v>
      </c>
      <c r="AA57" s="2">
        <v>0</v>
      </c>
      <c r="AB57" s="2">
        <v>0</v>
      </c>
      <c r="AC57" s="2">
        <v>0</v>
      </c>
      <c r="AD57" s="2">
        <v>0</v>
      </c>
      <c r="AE57">
        <f t="shared" si="2"/>
        <v>0</v>
      </c>
    </row>
    <row r="58" spans="1:31" ht="30">
      <c r="A58">
        <f t="shared" si="3"/>
        <v>2028</v>
      </c>
      <c r="B58" s="1" t="s">
        <v>119</v>
      </c>
      <c r="C58" s="2">
        <v>0</v>
      </c>
      <c r="D58" s="2">
        <v>0</v>
      </c>
      <c r="E58" s="2">
        <v>0</v>
      </c>
      <c r="F58" s="2">
        <v>0</v>
      </c>
      <c r="G58" s="2">
        <v>0</v>
      </c>
      <c r="H58" s="2">
        <v>0</v>
      </c>
      <c r="I58">
        <f t="shared" si="0"/>
        <v>0</v>
      </c>
      <c r="K58" s="1" t="s">
        <v>119</v>
      </c>
      <c r="L58" s="2">
        <v>744</v>
      </c>
      <c r="M58" s="2">
        <v>696</v>
      </c>
      <c r="N58" s="2">
        <v>0</v>
      </c>
      <c r="O58" s="2">
        <v>0</v>
      </c>
      <c r="P58" s="2">
        <v>744</v>
      </c>
      <c r="Q58" s="2">
        <v>600</v>
      </c>
      <c r="R58">
        <f t="shared" si="1"/>
        <v>2784</v>
      </c>
      <c r="X58" s="1" t="s">
        <v>118</v>
      </c>
      <c r="Y58" s="2">
        <v>0</v>
      </c>
      <c r="Z58" s="2">
        <v>0</v>
      </c>
      <c r="AA58" s="2">
        <v>0</v>
      </c>
      <c r="AB58" s="2">
        <v>0</v>
      </c>
      <c r="AC58" s="2">
        <v>0</v>
      </c>
      <c r="AD58" s="2">
        <v>0</v>
      </c>
      <c r="AE58">
        <f t="shared" si="2"/>
        <v>0</v>
      </c>
    </row>
    <row r="59" spans="1:31" ht="30">
      <c r="A59">
        <f t="shared" si="3"/>
        <v>2028</v>
      </c>
      <c r="B59" s="1" t="s">
        <v>120</v>
      </c>
      <c r="C59" s="2">
        <v>0</v>
      </c>
      <c r="D59" s="2">
        <v>0</v>
      </c>
      <c r="E59" s="2">
        <v>0</v>
      </c>
      <c r="F59" s="2">
        <v>0</v>
      </c>
      <c r="G59" s="2">
        <v>0</v>
      </c>
      <c r="H59" s="2">
        <v>0</v>
      </c>
      <c r="I59">
        <f t="shared" si="0"/>
        <v>0</v>
      </c>
      <c r="K59" s="1" t="s">
        <v>120</v>
      </c>
      <c r="L59" s="2">
        <v>720</v>
      </c>
      <c r="M59" s="2">
        <v>720</v>
      </c>
      <c r="N59" s="2">
        <v>0</v>
      </c>
      <c r="O59" s="2">
        <v>0</v>
      </c>
      <c r="P59" s="2">
        <v>720</v>
      </c>
      <c r="Q59" s="2">
        <v>720</v>
      </c>
      <c r="R59">
        <f t="shared" si="1"/>
        <v>2880</v>
      </c>
      <c r="X59" s="1" t="s">
        <v>119</v>
      </c>
      <c r="Y59" s="2">
        <v>0</v>
      </c>
      <c r="Z59" s="2">
        <v>0</v>
      </c>
      <c r="AA59" s="2">
        <v>0</v>
      </c>
      <c r="AB59" s="2">
        <v>0</v>
      </c>
      <c r="AC59" s="2">
        <v>0</v>
      </c>
      <c r="AD59" s="2">
        <v>0</v>
      </c>
      <c r="AE59">
        <f t="shared" si="2"/>
        <v>0</v>
      </c>
    </row>
    <row r="60" spans="1:31" ht="30">
      <c r="A60">
        <f t="shared" si="3"/>
        <v>2028</v>
      </c>
      <c r="B60" s="1" t="s">
        <v>121</v>
      </c>
      <c r="C60" s="2">
        <v>0</v>
      </c>
      <c r="D60" s="2">
        <v>0</v>
      </c>
      <c r="E60" s="2">
        <v>0</v>
      </c>
      <c r="F60" s="2">
        <v>0</v>
      </c>
      <c r="G60" s="2">
        <v>0</v>
      </c>
      <c r="H60" s="2">
        <v>0</v>
      </c>
      <c r="I60">
        <f t="shared" si="0"/>
        <v>0</v>
      </c>
      <c r="K60" s="1" t="s">
        <v>121</v>
      </c>
      <c r="L60" s="2">
        <v>744</v>
      </c>
      <c r="M60" s="2">
        <v>744</v>
      </c>
      <c r="N60" s="2">
        <v>0</v>
      </c>
      <c r="O60" s="2">
        <v>0</v>
      </c>
      <c r="P60" s="2">
        <v>744</v>
      </c>
      <c r="Q60" s="2">
        <v>744</v>
      </c>
      <c r="R60">
        <f t="shared" si="1"/>
        <v>2976</v>
      </c>
      <c r="X60" s="1" t="s">
        <v>120</v>
      </c>
      <c r="Y60" s="2">
        <v>0</v>
      </c>
      <c r="Z60" s="2">
        <v>0</v>
      </c>
      <c r="AA60" s="2">
        <v>0</v>
      </c>
      <c r="AB60" s="2">
        <v>0</v>
      </c>
      <c r="AC60" s="2">
        <v>0</v>
      </c>
      <c r="AD60" s="2">
        <v>0</v>
      </c>
      <c r="AE60">
        <f t="shared" si="2"/>
        <v>0</v>
      </c>
    </row>
    <row r="61" spans="1:31" ht="30">
      <c r="A61">
        <f t="shared" si="3"/>
        <v>2028</v>
      </c>
      <c r="B61" s="1" t="s">
        <v>122</v>
      </c>
      <c r="C61" s="2">
        <v>0</v>
      </c>
      <c r="D61" s="2">
        <v>0</v>
      </c>
      <c r="E61" s="2">
        <v>0</v>
      </c>
      <c r="F61" s="2">
        <v>0</v>
      </c>
      <c r="G61" s="2">
        <v>0</v>
      </c>
      <c r="H61" s="2">
        <v>0</v>
      </c>
      <c r="I61">
        <f t="shared" si="0"/>
        <v>0</v>
      </c>
      <c r="K61" s="1" t="s">
        <v>122</v>
      </c>
      <c r="L61" s="2">
        <v>744</v>
      </c>
      <c r="M61" s="2">
        <v>744</v>
      </c>
      <c r="N61" s="2">
        <v>0</v>
      </c>
      <c r="O61" s="2">
        <v>0</v>
      </c>
      <c r="P61" s="2">
        <v>744</v>
      </c>
      <c r="Q61" s="2">
        <v>744</v>
      </c>
      <c r="R61">
        <f t="shared" si="1"/>
        <v>2976</v>
      </c>
      <c r="X61" s="1" t="s">
        <v>121</v>
      </c>
      <c r="Y61" s="2">
        <v>744</v>
      </c>
      <c r="Z61" s="2">
        <v>744</v>
      </c>
      <c r="AA61" s="2">
        <v>0</v>
      </c>
      <c r="AB61" s="2">
        <v>0</v>
      </c>
      <c r="AC61" s="2">
        <v>744</v>
      </c>
      <c r="AD61" s="2">
        <v>744</v>
      </c>
      <c r="AE61">
        <f t="shared" si="2"/>
        <v>2976</v>
      </c>
    </row>
    <row r="62" spans="1:31" ht="30">
      <c r="A62">
        <f t="shared" si="3"/>
        <v>2028</v>
      </c>
      <c r="B62" s="1" t="s">
        <v>123</v>
      </c>
      <c r="C62" s="2">
        <v>0</v>
      </c>
      <c r="D62" s="2">
        <v>0</v>
      </c>
      <c r="E62" s="2">
        <v>0</v>
      </c>
      <c r="F62" s="2">
        <v>0</v>
      </c>
      <c r="G62" s="2">
        <v>0</v>
      </c>
      <c r="H62" s="2">
        <v>0</v>
      </c>
      <c r="I62">
        <f t="shared" si="0"/>
        <v>0</v>
      </c>
      <c r="K62" s="1" t="s">
        <v>123</v>
      </c>
      <c r="L62" s="2">
        <v>552</v>
      </c>
      <c r="M62" s="2">
        <v>720</v>
      </c>
      <c r="N62" s="2">
        <v>0</v>
      </c>
      <c r="O62" s="2">
        <v>0</v>
      </c>
      <c r="P62" s="2">
        <v>720</v>
      </c>
      <c r="Q62" s="2">
        <v>720</v>
      </c>
      <c r="R62">
        <f t="shared" si="1"/>
        <v>2712</v>
      </c>
      <c r="X62" s="1" t="s">
        <v>122</v>
      </c>
      <c r="Y62" s="2">
        <v>744</v>
      </c>
      <c r="Z62" s="2">
        <v>744</v>
      </c>
      <c r="AA62" s="2">
        <v>0</v>
      </c>
      <c r="AB62" s="2">
        <v>0</v>
      </c>
      <c r="AC62" s="2">
        <v>744</v>
      </c>
      <c r="AD62" s="2">
        <v>744</v>
      </c>
      <c r="AE62">
        <f t="shared" si="2"/>
        <v>2976</v>
      </c>
    </row>
    <row r="63" spans="1:31" ht="30">
      <c r="A63">
        <f t="shared" si="3"/>
        <v>2028</v>
      </c>
      <c r="B63" s="1" t="s">
        <v>124</v>
      </c>
      <c r="C63" s="2">
        <v>0</v>
      </c>
      <c r="D63" s="2">
        <v>0</v>
      </c>
      <c r="E63" s="2">
        <v>0</v>
      </c>
      <c r="F63" s="2">
        <v>0</v>
      </c>
      <c r="G63" s="2">
        <v>0</v>
      </c>
      <c r="H63" s="2">
        <v>0</v>
      </c>
      <c r="I63">
        <f t="shared" si="0"/>
        <v>0</v>
      </c>
      <c r="K63" s="1" t="s">
        <v>124</v>
      </c>
      <c r="L63" s="2">
        <v>72</v>
      </c>
      <c r="M63" s="2">
        <v>576</v>
      </c>
      <c r="N63" s="2">
        <v>0</v>
      </c>
      <c r="O63" s="2">
        <v>0</v>
      </c>
      <c r="P63" s="2">
        <v>744</v>
      </c>
      <c r="Q63" s="2">
        <v>576</v>
      </c>
      <c r="R63">
        <f t="shared" si="1"/>
        <v>1968</v>
      </c>
      <c r="X63" s="1" t="s">
        <v>123</v>
      </c>
      <c r="Y63" s="2">
        <v>0</v>
      </c>
      <c r="Z63" s="2">
        <v>0</v>
      </c>
      <c r="AA63" s="2">
        <v>0</v>
      </c>
      <c r="AB63" s="2">
        <v>0</v>
      </c>
      <c r="AC63" s="2">
        <v>0</v>
      </c>
      <c r="AD63" s="2">
        <v>0</v>
      </c>
      <c r="AE63">
        <f t="shared" si="2"/>
        <v>0</v>
      </c>
    </row>
    <row r="64" spans="1:31" ht="30">
      <c r="A64">
        <f t="shared" si="3"/>
        <v>2028</v>
      </c>
      <c r="B64" s="1" t="s">
        <v>125</v>
      </c>
      <c r="C64" s="2">
        <v>0</v>
      </c>
      <c r="D64" s="2">
        <v>0</v>
      </c>
      <c r="E64" s="2">
        <v>0</v>
      </c>
      <c r="F64" s="2">
        <v>0</v>
      </c>
      <c r="G64" s="2">
        <v>0</v>
      </c>
      <c r="H64" s="2">
        <v>0</v>
      </c>
      <c r="I64">
        <f t="shared" si="0"/>
        <v>0</v>
      </c>
      <c r="K64" s="1" t="s">
        <v>125</v>
      </c>
      <c r="L64" s="2">
        <v>624</v>
      </c>
      <c r="M64" s="2">
        <v>720</v>
      </c>
      <c r="N64" s="2">
        <v>0</v>
      </c>
      <c r="O64" s="2">
        <v>0</v>
      </c>
      <c r="P64" s="2">
        <v>0</v>
      </c>
      <c r="Q64" s="2">
        <v>720</v>
      </c>
      <c r="R64">
        <f t="shared" si="1"/>
        <v>2064</v>
      </c>
      <c r="X64" s="1" t="s">
        <v>124</v>
      </c>
      <c r="Y64" s="2">
        <v>0</v>
      </c>
      <c r="Z64" s="2">
        <v>0</v>
      </c>
      <c r="AA64" s="2">
        <v>0</v>
      </c>
      <c r="AB64" s="2">
        <v>0</v>
      </c>
      <c r="AC64" s="2">
        <v>0</v>
      </c>
      <c r="AD64" s="2">
        <v>0</v>
      </c>
      <c r="AE64">
        <f t="shared" si="2"/>
        <v>0</v>
      </c>
    </row>
    <row r="65" spans="1:31" ht="30">
      <c r="A65">
        <f t="shared" si="3"/>
        <v>2028</v>
      </c>
      <c r="B65" s="1" t="s">
        <v>126</v>
      </c>
      <c r="C65" s="2">
        <v>0</v>
      </c>
      <c r="D65" s="2">
        <v>0</v>
      </c>
      <c r="E65" s="2">
        <v>0</v>
      </c>
      <c r="F65" s="2">
        <v>0</v>
      </c>
      <c r="G65" s="2">
        <v>0</v>
      </c>
      <c r="H65" s="2">
        <v>0</v>
      </c>
      <c r="I65">
        <f t="shared" si="0"/>
        <v>0</v>
      </c>
      <c r="K65" s="1" t="s">
        <v>126</v>
      </c>
      <c r="L65" s="2">
        <v>408</v>
      </c>
      <c r="M65" s="2">
        <v>744</v>
      </c>
      <c r="N65" s="2">
        <v>0</v>
      </c>
      <c r="O65" s="2">
        <v>0</v>
      </c>
      <c r="P65" s="2">
        <v>528</v>
      </c>
      <c r="Q65" s="2">
        <v>576</v>
      </c>
      <c r="R65">
        <f t="shared" si="1"/>
        <v>2256</v>
      </c>
      <c r="X65" s="1" t="s">
        <v>125</v>
      </c>
      <c r="Y65" s="2">
        <v>0</v>
      </c>
      <c r="Z65" s="2">
        <v>0</v>
      </c>
      <c r="AA65" s="2">
        <v>0</v>
      </c>
      <c r="AB65" s="2">
        <v>0</v>
      </c>
      <c r="AC65" s="2">
        <v>0</v>
      </c>
      <c r="AD65" s="2">
        <v>0</v>
      </c>
      <c r="AE65">
        <f t="shared" si="2"/>
        <v>0</v>
      </c>
    </row>
    <row r="66" spans="1:31" ht="30">
      <c r="A66">
        <f t="shared" si="3"/>
        <v>2029</v>
      </c>
      <c r="B66" s="1" t="s">
        <v>127</v>
      </c>
      <c r="C66" s="2">
        <v>0</v>
      </c>
      <c r="D66" s="2">
        <v>0</v>
      </c>
      <c r="E66" s="2">
        <v>0</v>
      </c>
      <c r="F66" s="2">
        <v>0</v>
      </c>
      <c r="G66" s="2">
        <v>0</v>
      </c>
      <c r="H66" s="2">
        <v>0</v>
      </c>
      <c r="I66">
        <f t="shared" si="0"/>
        <v>0</v>
      </c>
      <c r="K66" s="1" t="s">
        <v>127</v>
      </c>
      <c r="L66" s="2">
        <v>744</v>
      </c>
      <c r="M66" s="2">
        <v>744</v>
      </c>
      <c r="N66" s="2">
        <v>0</v>
      </c>
      <c r="O66" s="2">
        <v>0</v>
      </c>
      <c r="P66" s="2">
        <v>744</v>
      </c>
      <c r="Q66" s="2">
        <v>744</v>
      </c>
      <c r="R66">
        <f t="shared" si="1"/>
        <v>2976</v>
      </c>
      <c r="X66" s="1" t="s">
        <v>126</v>
      </c>
      <c r="Y66" s="2">
        <v>0</v>
      </c>
      <c r="Z66" s="2">
        <v>0</v>
      </c>
      <c r="AA66" s="2">
        <v>0</v>
      </c>
      <c r="AB66" s="2">
        <v>0</v>
      </c>
      <c r="AC66" s="2">
        <v>0</v>
      </c>
      <c r="AD66" s="2">
        <v>0</v>
      </c>
      <c r="AE66">
        <f t="shared" si="2"/>
        <v>0</v>
      </c>
    </row>
    <row r="67" spans="1:31" ht="30">
      <c r="A67">
        <f t="shared" si="3"/>
        <v>2029</v>
      </c>
      <c r="B67" s="1" t="s">
        <v>128</v>
      </c>
      <c r="C67" s="2">
        <v>0</v>
      </c>
      <c r="D67" s="2">
        <v>0</v>
      </c>
      <c r="E67" s="2">
        <v>0</v>
      </c>
      <c r="F67" s="2">
        <v>0</v>
      </c>
      <c r="G67" s="2">
        <v>0</v>
      </c>
      <c r="H67" s="2">
        <v>0</v>
      </c>
      <c r="I67">
        <f t="shared" si="0"/>
        <v>0</v>
      </c>
      <c r="K67" s="1" t="s">
        <v>128</v>
      </c>
      <c r="L67" s="2">
        <v>672</v>
      </c>
      <c r="M67" s="2">
        <v>672</v>
      </c>
      <c r="N67" s="2">
        <v>0</v>
      </c>
      <c r="O67" s="2">
        <v>0</v>
      </c>
      <c r="P67" s="2">
        <v>672</v>
      </c>
      <c r="Q67" s="2">
        <v>504</v>
      </c>
      <c r="R67">
        <f t="shared" si="1"/>
        <v>2520</v>
      </c>
      <c r="X67" s="1" t="s">
        <v>127</v>
      </c>
      <c r="Y67" s="2">
        <v>744</v>
      </c>
      <c r="Z67" s="2">
        <v>0</v>
      </c>
      <c r="AA67" s="2">
        <v>0</v>
      </c>
      <c r="AB67" s="2">
        <v>0</v>
      </c>
      <c r="AC67" s="2">
        <v>0</v>
      </c>
      <c r="AD67" s="2">
        <v>0</v>
      </c>
      <c r="AE67">
        <f t="shared" si="2"/>
        <v>744</v>
      </c>
    </row>
    <row r="68" spans="1:31" ht="30">
      <c r="A68">
        <f t="shared" si="3"/>
        <v>2029</v>
      </c>
      <c r="B68" s="1" t="s">
        <v>129</v>
      </c>
      <c r="C68" s="2">
        <v>0</v>
      </c>
      <c r="D68" s="2">
        <v>0</v>
      </c>
      <c r="E68" s="2">
        <v>0</v>
      </c>
      <c r="F68" s="2">
        <v>0</v>
      </c>
      <c r="G68" s="2">
        <v>0</v>
      </c>
      <c r="H68" s="2">
        <v>0</v>
      </c>
      <c r="I68">
        <f t="shared" si="0"/>
        <v>0</v>
      </c>
      <c r="K68" s="1" t="s">
        <v>129</v>
      </c>
      <c r="L68" s="2">
        <v>744</v>
      </c>
      <c r="M68" s="2">
        <v>744</v>
      </c>
      <c r="N68" s="2">
        <v>0</v>
      </c>
      <c r="O68" s="2">
        <v>0</v>
      </c>
      <c r="P68" s="2">
        <v>744</v>
      </c>
      <c r="Q68" s="2">
        <v>744</v>
      </c>
      <c r="R68">
        <f t="shared" si="1"/>
        <v>2976</v>
      </c>
      <c r="X68" s="1" t="s">
        <v>128</v>
      </c>
      <c r="Y68" s="2">
        <v>672</v>
      </c>
      <c r="Z68" s="2">
        <v>0</v>
      </c>
      <c r="AA68" s="2">
        <v>0</v>
      </c>
      <c r="AB68" s="2">
        <v>0</v>
      </c>
      <c r="AC68" s="2">
        <v>0</v>
      </c>
      <c r="AD68" s="2">
        <v>0</v>
      </c>
      <c r="AE68">
        <f t="shared" si="2"/>
        <v>672</v>
      </c>
    </row>
    <row r="69" spans="1:31" ht="30">
      <c r="A69">
        <f t="shared" si="3"/>
        <v>2029</v>
      </c>
      <c r="B69" s="1" t="s">
        <v>130</v>
      </c>
      <c r="C69" s="2">
        <v>0</v>
      </c>
      <c r="D69" s="2">
        <v>0</v>
      </c>
      <c r="E69" s="2">
        <v>0</v>
      </c>
      <c r="F69" s="2">
        <v>0</v>
      </c>
      <c r="G69" s="2">
        <v>0</v>
      </c>
      <c r="H69" s="2">
        <v>0</v>
      </c>
      <c r="I69">
        <f t="shared" si="0"/>
        <v>0</v>
      </c>
      <c r="K69" s="1" t="s">
        <v>130</v>
      </c>
      <c r="L69" s="2">
        <v>720</v>
      </c>
      <c r="M69" s="2">
        <v>720</v>
      </c>
      <c r="N69" s="2">
        <v>0</v>
      </c>
      <c r="O69" s="2">
        <v>0</v>
      </c>
      <c r="P69" s="2">
        <v>72</v>
      </c>
      <c r="Q69" s="2">
        <v>720</v>
      </c>
      <c r="R69">
        <f t="shared" si="1"/>
        <v>2232</v>
      </c>
      <c r="X69" s="1" t="s">
        <v>129</v>
      </c>
      <c r="Y69" s="2">
        <v>0</v>
      </c>
      <c r="Z69" s="2">
        <v>0</v>
      </c>
      <c r="AA69" s="2">
        <v>0</v>
      </c>
      <c r="AB69" s="2">
        <v>0</v>
      </c>
      <c r="AC69" s="2">
        <v>0</v>
      </c>
      <c r="AD69" s="2">
        <v>0</v>
      </c>
      <c r="AE69">
        <f t="shared" si="2"/>
        <v>0</v>
      </c>
    </row>
    <row r="70" spans="1:31" ht="30">
      <c r="A70">
        <f t="shared" si="3"/>
        <v>2029</v>
      </c>
      <c r="B70" s="1" t="s">
        <v>131</v>
      </c>
      <c r="C70" s="2">
        <v>0</v>
      </c>
      <c r="D70" s="2">
        <v>0</v>
      </c>
      <c r="E70" s="2">
        <v>0</v>
      </c>
      <c r="F70" s="2">
        <v>0</v>
      </c>
      <c r="G70" s="2">
        <v>0</v>
      </c>
      <c r="H70" s="2">
        <v>0</v>
      </c>
      <c r="I70">
        <f t="shared" si="0"/>
        <v>0</v>
      </c>
      <c r="K70" s="1" t="s">
        <v>131</v>
      </c>
      <c r="L70" s="2">
        <v>624</v>
      </c>
      <c r="M70" s="2">
        <v>744</v>
      </c>
      <c r="N70" s="2">
        <v>0</v>
      </c>
      <c r="O70" s="2">
        <v>0</v>
      </c>
      <c r="P70" s="2">
        <v>624</v>
      </c>
      <c r="Q70" s="2">
        <v>744</v>
      </c>
      <c r="R70">
        <f t="shared" si="1"/>
        <v>2736</v>
      </c>
      <c r="X70" s="1" t="s">
        <v>130</v>
      </c>
      <c r="Y70" s="2">
        <v>0</v>
      </c>
      <c r="Z70" s="2">
        <v>0</v>
      </c>
      <c r="AA70" s="2">
        <v>0</v>
      </c>
      <c r="AB70" s="2">
        <v>0</v>
      </c>
      <c r="AC70" s="2">
        <v>0</v>
      </c>
      <c r="AD70" s="2">
        <v>0</v>
      </c>
      <c r="AE70">
        <f t="shared" si="2"/>
        <v>0</v>
      </c>
    </row>
    <row r="71" spans="1:31" ht="30">
      <c r="A71">
        <f t="shared" si="3"/>
        <v>2029</v>
      </c>
      <c r="B71" s="1" t="s">
        <v>132</v>
      </c>
      <c r="C71" s="2">
        <v>0</v>
      </c>
      <c r="D71" s="2">
        <v>0</v>
      </c>
      <c r="E71" s="2">
        <v>0</v>
      </c>
      <c r="F71" s="2">
        <v>0</v>
      </c>
      <c r="G71" s="2">
        <v>0</v>
      </c>
      <c r="H71" s="2">
        <v>0</v>
      </c>
      <c r="I71">
        <f t="shared" ref="I71:I89" si="4">SUM(C71:H71)</f>
        <v>0</v>
      </c>
      <c r="K71" s="1" t="s">
        <v>132</v>
      </c>
      <c r="L71" s="2">
        <v>672</v>
      </c>
      <c r="M71" s="2">
        <v>720</v>
      </c>
      <c r="N71" s="2">
        <v>0</v>
      </c>
      <c r="O71" s="2">
        <v>0</v>
      </c>
      <c r="P71" s="2">
        <v>720</v>
      </c>
      <c r="Q71" s="2">
        <v>720</v>
      </c>
      <c r="R71">
        <f t="shared" ref="R71:R89" si="5">SUM(L71:Q71)</f>
        <v>2832</v>
      </c>
      <c r="X71" s="1" t="s">
        <v>131</v>
      </c>
      <c r="Y71" s="2">
        <v>0</v>
      </c>
      <c r="Z71" s="2">
        <v>0</v>
      </c>
      <c r="AA71" s="2">
        <v>0</v>
      </c>
      <c r="AB71" s="2">
        <v>0</v>
      </c>
      <c r="AC71" s="2">
        <v>0</v>
      </c>
      <c r="AD71" s="2">
        <v>0</v>
      </c>
      <c r="AE71">
        <f t="shared" si="2"/>
        <v>0</v>
      </c>
    </row>
    <row r="72" spans="1:31" ht="30">
      <c r="A72">
        <f t="shared" si="3"/>
        <v>2029</v>
      </c>
      <c r="B72" s="1" t="s">
        <v>133</v>
      </c>
      <c r="C72" s="2">
        <v>0</v>
      </c>
      <c r="D72" s="2">
        <v>0</v>
      </c>
      <c r="E72" s="2">
        <v>0</v>
      </c>
      <c r="F72" s="2">
        <v>0</v>
      </c>
      <c r="G72" s="2">
        <v>0</v>
      </c>
      <c r="H72" s="2">
        <v>0</v>
      </c>
      <c r="I72">
        <f t="shared" si="4"/>
        <v>0</v>
      </c>
      <c r="K72" s="1" t="s">
        <v>133</v>
      </c>
      <c r="L72" s="2">
        <v>744</v>
      </c>
      <c r="M72" s="2">
        <v>744</v>
      </c>
      <c r="N72" s="2">
        <v>0</v>
      </c>
      <c r="O72" s="2">
        <v>0</v>
      </c>
      <c r="P72" s="2">
        <v>744</v>
      </c>
      <c r="Q72" s="2">
        <v>744</v>
      </c>
      <c r="R72">
        <f t="shared" si="5"/>
        <v>2976</v>
      </c>
      <c r="X72" s="1" t="s">
        <v>132</v>
      </c>
      <c r="Y72" s="2">
        <v>0</v>
      </c>
      <c r="Z72" s="2">
        <v>0</v>
      </c>
      <c r="AA72" s="2">
        <v>0</v>
      </c>
      <c r="AB72" s="2">
        <v>0</v>
      </c>
      <c r="AC72" s="2">
        <v>0</v>
      </c>
      <c r="AD72" s="2">
        <v>0</v>
      </c>
      <c r="AE72">
        <f t="shared" ref="AE72:AE90" si="6">SUM(Y72:AD72)</f>
        <v>0</v>
      </c>
    </row>
    <row r="73" spans="1:31" ht="30">
      <c r="A73">
        <f t="shared" si="3"/>
        <v>2029</v>
      </c>
      <c r="B73" s="1" t="s">
        <v>134</v>
      </c>
      <c r="C73" s="2">
        <v>0</v>
      </c>
      <c r="D73" s="2">
        <v>0</v>
      </c>
      <c r="E73" s="2">
        <v>0</v>
      </c>
      <c r="F73" s="2">
        <v>0</v>
      </c>
      <c r="G73" s="2">
        <v>0</v>
      </c>
      <c r="H73" s="2">
        <v>0</v>
      </c>
      <c r="I73">
        <f t="shared" si="4"/>
        <v>0</v>
      </c>
      <c r="K73" s="1" t="s">
        <v>134</v>
      </c>
      <c r="L73" s="2">
        <v>744</v>
      </c>
      <c r="M73" s="2">
        <v>744</v>
      </c>
      <c r="N73" s="2">
        <v>0</v>
      </c>
      <c r="O73" s="2">
        <v>0</v>
      </c>
      <c r="P73" s="2">
        <v>744</v>
      </c>
      <c r="Q73" s="2">
        <v>744</v>
      </c>
      <c r="R73">
        <f t="shared" si="5"/>
        <v>2976</v>
      </c>
      <c r="X73" s="1" t="s">
        <v>133</v>
      </c>
      <c r="Y73" s="2">
        <v>744</v>
      </c>
      <c r="Z73" s="2">
        <v>0</v>
      </c>
      <c r="AA73" s="2">
        <v>0</v>
      </c>
      <c r="AB73" s="2">
        <v>0</v>
      </c>
      <c r="AC73" s="2">
        <v>0</v>
      </c>
      <c r="AD73" s="2">
        <v>0</v>
      </c>
      <c r="AE73">
        <f t="shared" si="6"/>
        <v>744</v>
      </c>
    </row>
    <row r="74" spans="1:31" ht="30">
      <c r="A74">
        <f t="shared" si="3"/>
        <v>2029</v>
      </c>
      <c r="B74" s="1" t="s">
        <v>135</v>
      </c>
      <c r="C74" s="2">
        <v>0</v>
      </c>
      <c r="D74" s="2">
        <v>0</v>
      </c>
      <c r="E74" s="2">
        <v>0</v>
      </c>
      <c r="F74" s="2">
        <v>0</v>
      </c>
      <c r="G74" s="2">
        <v>0</v>
      </c>
      <c r="H74" s="2">
        <v>0</v>
      </c>
      <c r="I74">
        <f t="shared" si="4"/>
        <v>0</v>
      </c>
      <c r="K74" s="1" t="s">
        <v>135</v>
      </c>
      <c r="L74" s="2">
        <v>720</v>
      </c>
      <c r="M74" s="2">
        <v>672</v>
      </c>
      <c r="N74" s="2">
        <v>0</v>
      </c>
      <c r="O74" s="2">
        <v>0</v>
      </c>
      <c r="P74" s="2">
        <v>720</v>
      </c>
      <c r="Q74" s="2">
        <v>720</v>
      </c>
      <c r="R74">
        <f t="shared" si="5"/>
        <v>2832</v>
      </c>
      <c r="X74" s="1" t="s">
        <v>134</v>
      </c>
      <c r="Y74" s="2">
        <v>744</v>
      </c>
      <c r="Z74" s="2">
        <v>0</v>
      </c>
      <c r="AA74" s="2">
        <v>0</v>
      </c>
      <c r="AB74" s="2">
        <v>0</v>
      </c>
      <c r="AC74" s="2">
        <v>0</v>
      </c>
      <c r="AD74" s="2">
        <v>0</v>
      </c>
      <c r="AE74">
        <f t="shared" si="6"/>
        <v>744</v>
      </c>
    </row>
    <row r="75" spans="1:31" ht="30">
      <c r="A75">
        <f t="shared" si="3"/>
        <v>2029</v>
      </c>
      <c r="B75" s="1" t="s">
        <v>136</v>
      </c>
      <c r="C75" s="2">
        <v>0</v>
      </c>
      <c r="D75" s="2">
        <v>0</v>
      </c>
      <c r="E75" s="2">
        <v>0</v>
      </c>
      <c r="F75" s="2">
        <v>0</v>
      </c>
      <c r="G75" s="2">
        <v>0</v>
      </c>
      <c r="H75" s="2">
        <v>0</v>
      </c>
      <c r="I75">
        <f t="shared" si="4"/>
        <v>0</v>
      </c>
      <c r="K75" s="1" t="s">
        <v>136</v>
      </c>
      <c r="L75" s="2">
        <v>720</v>
      </c>
      <c r="M75" s="2">
        <v>24</v>
      </c>
      <c r="N75" s="2">
        <v>0</v>
      </c>
      <c r="O75" s="2">
        <v>0</v>
      </c>
      <c r="P75" s="2">
        <v>744</v>
      </c>
      <c r="Q75" s="2">
        <v>96</v>
      </c>
      <c r="R75">
        <f t="shared" si="5"/>
        <v>1584</v>
      </c>
      <c r="X75" s="1" t="s">
        <v>135</v>
      </c>
      <c r="Y75" s="2">
        <v>0</v>
      </c>
      <c r="Z75" s="2">
        <v>0</v>
      </c>
      <c r="AA75" s="2">
        <v>0</v>
      </c>
      <c r="AB75" s="2">
        <v>0</v>
      </c>
      <c r="AC75" s="2">
        <v>0</v>
      </c>
      <c r="AD75" s="2">
        <v>0</v>
      </c>
      <c r="AE75">
        <f t="shared" si="6"/>
        <v>0</v>
      </c>
    </row>
    <row r="76" spans="1:31" ht="30">
      <c r="A76">
        <f t="shared" si="3"/>
        <v>2029</v>
      </c>
      <c r="B76" s="1" t="s">
        <v>137</v>
      </c>
      <c r="C76" s="2">
        <v>0</v>
      </c>
      <c r="D76" s="2">
        <v>0</v>
      </c>
      <c r="E76" s="2">
        <v>0</v>
      </c>
      <c r="F76" s="2">
        <v>0</v>
      </c>
      <c r="G76" s="2">
        <v>0</v>
      </c>
      <c r="H76" s="2">
        <v>0</v>
      </c>
      <c r="I76">
        <f t="shared" si="4"/>
        <v>0</v>
      </c>
      <c r="K76" s="1" t="s">
        <v>137</v>
      </c>
      <c r="L76" s="2">
        <v>0</v>
      </c>
      <c r="M76" s="2">
        <v>720</v>
      </c>
      <c r="N76" s="2">
        <v>0</v>
      </c>
      <c r="O76" s="2">
        <v>0</v>
      </c>
      <c r="P76" s="2">
        <v>720</v>
      </c>
      <c r="Q76" s="2">
        <v>600</v>
      </c>
      <c r="R76">
        <f t="shared" si="5"/>
        <v>2040</v>
      </c>
      <c r="X76" s="1" t="s">
        <v>136</v>
      </c>
      <c r="Y76" s="2">
        <v>0</v>
      </c>
      <c r="Z76" s="2">
        <v>0</v>
      </c>
      <c r="AA76" s="2">
        <v>0</v>
      </c>
      <c r="AB76" s="2">
        <v>0</v>
      </c>
      <c r="AC76" s="2">
        <v>0</v>
      </c>
      <c r="AD76" s="2">
        <v>0</v>
      </c>
      <c r="AE76">
        <f t="shared" si="6"/>
        <v>0</v>
      </c>
    </row>
    <row r="77" spans="1:31" ht="30">
      <c r="A77">
        <f t="shared" si="3"/>
        <v>2029</v>
      </c>
      <c r="B77" s="1" t="s">
        <v>138</v>
      </c>
      <c r="C77" s="2">
        <v>0</v>
      </c>
      <c r="D77" s="2">
        <v>0</v>
      </c>
      <c r="E77" s="2">
        <v>0</v>
      </c>
      <c r="F77" s="2">
        <v>0</v>
      </c>
      <c r="G77" s="2">
        <v>0</v>
      </c>
      <c r="H77" s="2">
        <v>0</v>
      </c>
      <c r="I77">
        <f t="shared" si="4"/>
        <v>0</v>
      </c>
      <c r="K77" s="1" t="s">
        <v>138</v>
      </c>
      <c r="L77" s="2">
        <v>720</v>
      </c>
      <c r="M77" s="2">
        <v>744</v>
      </c>
      <c r="N77" s="2">
        <v>0</v>
      </c>
      <c r="O77" s="2">
        <v>0</v>
      </c>
      <c r="P77" s="2">
        <v>744</v>
      </c>
      <c r="Q77" s="2">
        <v>744</v>
      </c>
      <c r="R77">
        <f t="shared" si="5"/>
        <v>2952</v>
      </c>
      <c r="X77" s="1" t="s">
        <v>137</v>
      </c>
      <c r="Y77" s="2">
        <v>0</v>
      </c>
      <c r="Z77" s="2">
        <v>0</v>
      </c>
      <c r="AA77" s="2">
        <v>0</v>
      </c>
      <c r="AB77" s="2">
        <v>0</v>
      </c>
      <c r="AC77" s="2">
        <v>0</v>
      </c>
      <c r="AD77" s="2">
        <v>0</v>
      </c>
      <c r="AE77">
        <f t="shared" si="6"/>
        <v>0</v>
      </c>
    </row>
    <row r="78" spans="1:31" ht="30">
      <c r="A78">
        <f t="shared" si="3"/>
        <v>2030</v>
      </c>
      <c r="B78" s="1" t="s">
        <v>139</v>
      </c>
      <c r="C78" s="2">
        <v>0</v>
      </c>
      <c r="D78" s="2">
        <v>0</v>
      </c>
      <c r="E78" s="2">
        <v>0</v>
      </c>
      <c r="F78" s="2">
        <v>0</v>
      </c>
      <c r="G78" s="2">
        <v>0</v>
      </c>
      <c r="H78" s="2">
        <v>0</v>
      </c>
      <c r="I78">
        <f t="shared" si="4"/>
        <v>0</v>
      </c>
      <c r="K78" s="1" t="s">
        <v>139</v>
      </c>
      <c r="L78" s="2">
        <v>744</v>
      </c>
      <c r="M78" s="2">
        <v>744</v>
      </c>
      <c r="N78" s="2">
        <v>0</v>
      </c>
      <c r="O78" s="2">
        <v>0</v>
      </c>
      <c r="P78" s="2">
        <v>744</v>
      </c>
      <c r="Q78" s="2">
        <v>744</v>
      </c>
      <c r="R78">
        <f t="shared" si="5"/>
        <v>2976</v>
      </c>
      <c r="X78" s="1" t="s">
        <v>138</v>
      </c>
      <c r="Y78" s="2">
        <v>0</v>
      </c>
      <c r="Z78" s="2">
        <v>0</v>
      </c>
      <c r="AA78" s="2">
        <v>0</v>
      </c>
      <c r="AB78" s="2">
        <v>0</v>
      </c>
      <c r="AC78" s="2">
        <v>0</v>
      </c>
      <c r="AD78" s="2">
        <v>0</v>
      </c>
      <c r="AE78">
        <f t="shared" si="6"/>
        <v>0</v>
      </c>
    </row>
    <row r="79" spans="1:31" ht="30">
      <c r="A79">
        <f t="shared" si="3"/>
        <v>2030</v>
      </c>
      <c r="B79" s="1" t="s">
        <v>140</v>
      </c>
      <c r="C79" s="2">
        <v>0</v>
      </c>
      <c r="D79" s="2">
        <v>0</v>
      </c>
      <c r="E79" s="2">
        <v>0</v>
      </c>
      <c r="F79" s="2">
        <v>0</v>
      </c>
      <c r="G79" s="2">
        <v>0</v>
      </c>
      <c r="H79" s="2">
        <v>0</v>
      </c>
      <c r="I79">
        <f t="shared" si="4"/>
        <v>0</v>
      </c>
      <c r="K79" s="1" t="s">
        <v>140</v>
      </c>
      <c r="L79" s="2">
        <v>672</v>
      </c>
      <c r="M79" s="2">
        <v>672</v>
      </c>
      <c r="N79" s="2">
        <v>0</v>
      </c>
      <c r="O79" s="2">
        <v>0</v>
      </c>
      <c r="P79" s="2">
        <v>672</v>
      </c>
      <c r="Q79" s="2">
        <v>672</v>
      </c>
      <c r="R79">
        <f t="shared" si="5"/>
        <v>2688</v>
      </c>
      <c r="X79" s="1" t="s">
        <v>139</v>
      </c>
      <c r="Y79" s="2">
        <v>744</v>
      </c>
      <c r="Z79" s="2">
        <v>0</v>
      </c>
      <c r="AA79" s="2">
        <v>0</v>
      </c>
      <c r="AB79" s="2">
        <v>0</v>
      </c>
      <c r="AC79" s="2">
        <v>0</v>
      </c>
      <c r="AD79" s="2">
        <v>0</v>
      </c>
      <c r="AE79">
        <f t="shared" si="6"/>
        <v>744</v>
      </c>
    </row>
    <row r="80" spans="1:31" ht="30">
      <c r="A80">
        <f t="shared" si="3"/>
        <v>2030</v>
      </c>
      <c r="B80" s="1" t="s">
        <v>141</v>
      </c>
      <c r="C80" s="2">
        <v>0</v>
      </c>
      <c r="D80" s="2">
        <v>0</v>
      </c>
      <c r="E80" s="2">
        <v>0</v>
      </c>
      <c r="F80" s="2">
        <v>0</v>
      </c>
      <c r="G80" s="2">
        <v>0</v>
      </c>
      <c r="H80" s="2">
        <v>0</v>
      </c>
      <c r="I80">
        <f t="shared" si="4"/>
        <v>0</v>
      </c>
      <c r="K80" s="1" t="s">
        <v>141</v>
      </c>
      <c r="L80" s="2">
        <v>744</v>
      </c>
      <c r="M80" s="2">
        <v>576</v>
      </c>
      <c r="N80" s="2">
        <v>0</v>
      </c>
      <c r="O80" s="2">
        <v>0</v>
      </c>
      <c r="P80" s="2">
        <v>720</v>
      </c>
      <c r="Q80" s="2">
        <v>744</v>
      </c>
      <c r="R80">
        <f t="shared" si="5"/>
        <v>2784</v>
      </c>
      <c r="X80" s="1" t="s">
        <v>140</v>
      </c>
      <c r="Y80" s="2">
        <v>672</v>
      </c>
      <c r="Z80" s="2">
        <v>0</v>
      </c>
      <c r="AA80" s="2">
        <v>0</v>
      </c>
      <c r="AB80" s="2">
        <v>0</v>
      </c>
      <c r="AC80" s="2">
        <v>0</v>
      </c>
      <c r="AD80" s="2">
        <v>0</v>
      </c>
      <c r="AE80">
        <f t="shared" si="6"/>
        <v>672</v>
      </c>
    </row>
    <row r="81" spans="1:31" ht="30">
      <c r="A81">
        <f t="shared" si="3"/>
        <v>2030</v>
      </c>
      <c r="B81" s="1" t="s">
        <v>142</v>
      </c>
      <c r="C81" s="2">
        <v>0</v>
      </c>
      <c r="D81" s="2">
        <v>0</v>
      </c>
      <c r="E81" s="2">
        <v>0</v>
      </c>
      <c r="F81" s="2">
        <v>0</v>
      </c>
      <c r="G81" s="2">
        <v>0</v>
      </c>
      <c r="H81" s="2">
        <v>0</v>
      </c>
      <c r="I81">
        <f t="shared" si="4"/>
        <v>0</v>
      </c>
      <c r="K81" s="1" t="s">
        <v>142</v>
      </c>
      <c r="L81" s="2">
        <v>48</v>
      </c>
      <c r="M81" s="2">
        <v>552</v>
      </c>
      <c r="N81" s="2">
        <v>0</v>
      </c>
      <c r="O81" s="2">
        <v>0</v>
      </c>
      <c r="P81" s="2">
        <v>0</v>
      </c>
      <c r="Q81" s="2">
        <v>720</v>
      </c>
      <c r="R81">
        <f t="shared" si="5"/>
        <v>1320</v>
      </c>
      <c r="X81" s="1" t="s">
        <v>141</v>
      </c>
      <c r="Y81" s="2">
        <v>0</v>
      </c>
      <c r="Z81" s="2">
        <v>0</v>
      </c>
      <c r="AA81" s="2">
        <v>0</v>
      </c>
      <c r="AB81" s="2">
        <v>0</v>
      </c>
      <c r="AC81" s="2">
        <v>0</v>
      </c>
      <c r="AD81" s="2">
        <v>0</v>
      </c>
      <c r="AE81">
        <f t="shared" si="6"/>
        <v>0</v>
      </c>
    </row>
    <row r="82" spans="1:31" ht="30">
      <c r="A82">
        <f t="shared" si="3"/>
        <v>2030</v>
      </c>
      <c r="B82" s="1" t="s">
        <v>143</v>
      </c>
      <c r="C82" s="2">
        <v>0</v>
      </c>
      <c r="D82" s="2">
        <v>0</v>
      </c>
      <c r="E82" s="2">
        <v>0</v>
      </c>
      <c r="F82" s="2">
        <v>0</v>
      </c>
      <c r="G82" s="2">
        <v>0</v>
      </c>
      <c r="H82" s="2">
        <v>0</v>
      </c>
      <c r="I82">
        <f t="shared" si="4"/>
        <v>0</v>
      </c>
      <c r="K82" s="1" t="s">
        <v>143</v>
      </c>
      <c r="L82" s="2">
        <v>648</v>
      </c>
      <c r="M82" s="2">
        <v>744</v>
      </c>
      <c r="N82" s="2">
        <v>0</v>
      </c>
      <c r="O82" s="2">
        <v>0</v>
      </c>
      <c r="P82" s="2">
        <v>648</v>
      </c>
      <c r="Q82" s="2">
        <v>744</v>
      </c>
      <c r="R82">
        <f t="shared" si="5"/>
        <v>2784</v>
      </c>
      <c r="X82" s="1" t="s">
        <v>142</v>
      </c>
      <c r="Y82" s="2">
        <v>0</v>
      </c>
      <c r="Z82" s="2">
        <v>0</v>
      </c>
      <c r="AA82" s="2">
        <v>0</v>
      </c>
      <c r="AB82" s="2">
        <v>0</v>
      </c>
      <c r="AC82" s="2">
        <v>0</v>
      </c>
      <c r="AD82" s="2">
        <v>0</v>
      </c>
      <c r="AE82">
        <f t="shared" si="6"/>
        <v>0</v>
      </c>
    </row>
    <row r="83" spans="1:31" ht="30">
      <c r="A83">
        <f t="shared" ref="A83:A89" si="7">A71+1</f>
        <v>2030</v>
      </c>
      <c r="B83" s="1" t="s">
        <v>144</v>
      </c>
      <c r="C83" s="2">
        <v>0</v>
      </c>
      <c r="D83" s="2">
        <v>0</v>
      </c>
      <c r="E83" s="2">
        <v>0</v>
      </c>
      <c r="F83" s="2">
        <v>0</v>
      </c>
      <c r="G83" s="2">
        <v>0</v>
      </c>
      <c r="H83" s="2">
        <v>0</v>
      </c>
      <c r="I83">
        <f t="shared" si="4"/>
        <v>0</v>
      </c>
      <c r="K83" s="1" t="s">
        <v>144</v>
      </c>
      <c r="L83" s="2">
        <v>720</v>
      </c>
      <c r="M83" s="2">
        <v>720</v>
      </c>
      <c r="N83" s="2">
        <v>0</v>
      </c>
      <c r="O83" s="2">
        <v>0</v>
      </c>
      <c r="P83" s="2">
        <v>720</v>
      </c>
      <c r="Q83" s="2">
        <v>720</v>
      </c>
      <c r="R83">
        <f t="shared" si="5"/>
        <v>2880</v>
      </c>
      <c r="X83" s="1" t="s">
        <v>143</v>
      </c>
      <c r="Y83" s="2">
        <v>0</v>
      </c>
      <c r="Z83" s="2">
        <v>0</v>
      </c>
      <c r="AA83" s="2">
        <v>0</v>
      </c>
      <c r="AB83" s="2">
        <v>0</v>
      </c>
      <c r="AC83" s="2">
        <v>0</v>
      </c>
      <c r="AD83" s="2">
        <v>0</v>
      </c>
      <c r="AE83">
        <f t="shared" si="6"/>
        <v>0</v>
      </c>
    </row>
    <row r="84" spans="1:31" ht="30">
      <c r="A84">
        <f t="shared" si="7"/>
        <v>2030</v>
      </c>
      <c r="B84" s="1" t="s">
        <v>145</v>
      </c>
      <c r="C84" s="2">
        <v>0</v>
      </c>
      <c r="D84" s="2">
        <v>0</v>
      </c>
      <c r="E84" s="2">
        <v>0</v>
      </c>
      <c r="F84" s="2">
        <v>0</v>
      </c>
      <c r="G84" s="2">
        <v>0</v>
      </c>
      <c r="H84" s="2">
        <v>0</v>
      </c>
      <c r="I84">
        <f t="shared" si="4"/>
        <v>0</v>
      </c>
      <c r="K84" s="1" t="s">
        <v>145</v>
      </c>
      <c r="L84" s="2">
        <v>744</v>
      </c>
      <c r="M84" s="2">
        <v>744</v>
      </c>
      <c r="N84" s="2">
        <v>0</v>
      </c>
      <c r="O84" s="2">
        <v>0</v>
      </c>
      <c r="P84" s="2">
        <v>744</v>
      </c>
      <c r="Q84" s="2">
        <v>744</v>
      </c>
      <c r="R84">
        <f t="shared" si="5"/>
        <v>2976</v>
      </c>
      <c r="X84" s="1" t="s">
        <v>144</v>
      </c>
      <c r="Y84" s="2">
        <v>0</v>
      </c>
      <c r="Z84" s="2">
        <v>0</v>
      </c>
      <c r="AA84" s="2">
        <v>0</v>
      </c>
      <c r="AB84" s="2">
        <v>0</v>
      </c>
      <c r="AC84" s="2">
        <v>0</v>
      </c>
      <c r="AD84" s="2">
        <v>0</v>
      </c>
      <c r="AE84">
        <f t="shared" si="6"/>
        <v>0</v>
      </c>
    </row>
    <row r="85" spans="1:31" ht="30">
      <c r="A85">
        <f t="shared" si="7"/>
        <v>2030</v>
      </c>
      <c r="B85" s="1" t="s">
        <v>146</v>
      </c>
      <c r="C85" s="2">
        <v>0</v>
      </c>
      <c r="D85" s="2">
        <v>0</v>
      </c>
      <c r="E85" s="2">
        <v>0</v>
      </c>
      <c r="F85" s="2">
        <v>0</v>
      </c>
      <c r="G85" s="2">
        <v>0</v>
      </c>
      <c r="H85" s="2">
        <v>0</v>
      </c>
      <c r="I85">
        <f t="shared" si="4"/>
        <v>0</v>
      </c>
      <c r="K85" s="1" t="s">
        <v>146</v>
      </c>
      <c r="L85" s="2">
        <v>576</v>
      </c>
      <c r="M85" s="2">
        <v>744</v>
      </c>
      <c r="N85" s="2">
        <v>0</v>
      </c>
      <c r="O85" s="2">
        <v>0</v>
      </c>
      <c r="P85" s="2">
        <v>744</v>
      </c>
      <c r="Q85" s="2">
        <v>744</v>
      </c>
      <c r="R85">
        <f t="shared" si="5"/>
        <v>2808</v>
      </c>
      <c r="X85" s="1" t="s">
        <v>145</v>
      </c>
      <c r="Y85" s="2">
        <v>744</v>
      </c>
      <c r="Z85" s="2">
        <v>0</v>
      </c>
      <c r="AA85" s="2">
        <v>0</v>
      </c>
      <c r="AB85" s="2">
        <v>0</v>
      </c>
      <c r="AC85" s="2">
        <v>0</v>
      </c>
      <c r="AD85" s="2">
        <v>0</v>
      </c>
      <c r="AE85">
        <f t="shared" si="6"/>
        <v>744</v>
      </c>
    </row>
    <row r="86" spans="1:31" ht="30">
      <c r="A86">
        <f t="shared" si="7"/>
        <v>2030</v>
      </c>
      <c r="B86" s="1" t="s">
        <v>147</v>
      </c>
      <c r="C86" s="2">
        <v>0</v>
      </c>
      <c r="D86" s="2">
        <v>0</v>
      </c>
      <c r="E86" s="2">
        <v>0</v>
      </c>
      <c r="F86" s="2">
        <v>0</v>
      </c>
      <c r="G86" s="2">
        <v>0</v>
      </c>
      <c r="H86" s="2">
        <v>0</v>
      </c>
      <c r="I86">
        <f t="shared" si="4"/>
        <v>0</v>
      </c>
      <c r="K86" s="1" t="s">
        <v>147</v>
      </c>
      <c r="L86" s="2">
        <v>720</v>
      </c>
      <c r="M86" s="2">
        <v>720</v>
      </c>
      <c r="N86" s="2">
        <v>0</v>
      </c>
      <c r="O86" s="2">
        <v>0</v>
      </c>
      <c r="P86" s="2">
        <v>720</v>
      </c>
      <c r="Q86" s="2">
        <v>552</v>
      </c>
      <c r="R86">
        <f t="shared" si="5"/>
        <v>2712</v>
      </c>
      <c r="X86" s="1" t="s">
        <v>146</v>
      </c>
      <c r="Y86" s="2">
        <v>576</v>
      </c>
      <c r="Z86" s="2">
        <v>0</v>
      </c>
      <c r="AA86" s="2">
        <v>0</v>
      </c>
      <c r="AB86" s="2">
        <v>0</v>
      </c>
      <c r="AC86" s="2">
        <v>0</v>
      </c>
      <c r="AD86" s="2">
        <v>0</v>
      </c>
      <c r="AE86">
        <f t="shared" si="6"/>
        <v>576</v>
      </c>
    </row>
    <row r="87" spans="1:31" ht="30">
      <c r="A87">
        <f t="shared" si="7"/>
        <v>2030</v>
      </c>
      <c r="B87" s="1" t="s">
        <v>148</v>
      </c>
      <c r="C87" s="2">
        <v>0</v>
      </c>
      <c r="D87" s="2">
        <v>0</v>
      </c>
      <c r="E87" s="2">
        <v>0</v>
      </c>
      <c r="F87" s="2">
        <v>0</v>
      </c>
      <c r="G87" s="2">
        <v>0</v>
      </c>
      <c r="H87" s="2">
        <v>0</v>
      </c>
      <c r="I87">
        <f t="shared" si="4"/>
        <v>0</v>
      </c>
      <c r="K87" s="1" t="s">
        <v>148</v>
      </c>
      <c r="L87" s="2">
        <v>744</v>
      </c>
      <c r="M87" s="2">
        <v>720</v>
      </c>
      <c r="N87" s="2">
        <v>0</v>
      </c>
      <c r="O87" s="2">
        <v>0</v>
      </c>
      <c r="P87" s="2">
        <v>744</v>
      </c>
      <c r="Q87" s="2">
        <v>216</v>
      </c>
      <c r="R87">
        <f t="shared" si="5"/>
        <v>2424</v>
      </c>
      <c r="X87" s="1" t="s">
        <v>147</v>
      </c>
      <c r="Y87" s="2">
        <v>0</v>
      </c>
      <c r="Z87" s="2">
        <v>0</v>
      </c>
      <c r="AA87" s="2">
        <v>0</v>
      </c>
      <c r="AB87" s="2">
        <v>0</v>
      </c>
      <c r="AC87" s="2">
        <v>0</v>
      </c>
      <c r="AD87" s="2">
        <v>0</v>
      </c>
      <c r="AE87">
        <f t="shared" si="6"/>
        <v>0</v>
      </c>
    </row>
    <row r="88" spans="1:31" ht="30">
      <c r="A88">
        <f t="shared" si="7"/>
        <v>2030</v>
      </c>
      <c r="B88" s="1" t="s">
        <v>149</v>
      </c>
      <c r="C88" s="2">
        <v>0</v>
      </c>
      <c r="D88" s="2">
        <v>0</v>
      </c>
      <c r="E88" s="2">
        <v>0</v>
      </c>
      <c r="F88" s="2">
        <v>0</v>
      </c>
      <c r="G88" s="2">
        <v>0</v>
      </c>
      <c r="H88" s="2">
        <v>0</v>
      </c>
      <c r="I88">
        <f t="shared" si="4"/>
        <v>0</v>
      </c>
      <c r="K88" s="1" t="s">
        <v>149</v>
      </c>
      <c r="L88" s="2">
        <v>720</v>
      </c>
      <c r="M88" s="2">
        <v>0</v>
      </c>
      <c r="N88" s="2">
        <v>0</v>
      </c>
      <c r="O88" s="2">
        <v>0</v>
      </c>
      <c r="P88" s="2">
        <v>552</v>
      </c>
      <c r="Q88" s="2">
        <v>480</v>
      </c>
      <c r="R88">
        <f t="shared" si="5"/>
        <v>1752</v>
      </c>
      <c r="X88" s="1" t="s">
        <v>148</v>
      </c>
      <c r="Y88" s="2">
        <v>0</v>
      </c>
      <c r="Z88" s="2">
        <v>0</v>
      </c>
      <c r="AA88" s="2">
        <v>0</v>
      </c>
      <c r="AB88" s="2">
        <v>0</v>
      </c>
      <c r="AC88" s="2">
        <v>0</v>
      </c>
      <c r="AD88" s="2">
        <v>0</v>
      </c>
      <c r="AE88">
        <f t="shared" si="6"/>
        <v>0</v>
      </c>
    </row>
    <row r="89" spans="1:31" ht="30">
      <c r="A89">
        <f t="shared" si="7"/>
        <v>2030</v>
      </c>
      <c r="B89" s="1" t="s">
        <v>150</v>
      </c>
      <c r="C89" s="2">
        <v>0</v>
      </c>
      <c r="D89" s="2">
        <v>0</v>
      </c>
      <c r="E89" s="2">
        <v>0</v>
      </c>
      <c r="F89" s="2">
        <v>0</v>
      </c>
      <c r="G89" s="2">
        <v>0</v>
      </c>
      <c r="H89" s="2">
        <v>0</v>
      </c>
      <c r="I89">
        <f t="shared" si="4"/>
        <v>0</v>
      </c>
      <c r="K89" s="1" t="s">
        <v>150</v>
      </c>
      <c r="L89" s="2">
        <v>744</v>
      </c>
      <c r="M89" s="2">
        <v>720</v>
      </c>
      <c r="N89" s="2">
        <v>0</v>
      </c>
      <c r="O89" s="2">
        <v>0</v>
      </c>
      <c r="P89" s="2">
        <v>744</v>
      </c>
      <c r="Q89" s="2">
        <v>576</v>
      </c>
      <c r="R89">
        <f t="shared" si="5"/>
        <v>2784</v>
      </c>
      <c r="X89" s="1" t="s">
        <v>149</v>
      </c>
      <c r="Y89" s="2">
        <v>0</v>
      </c>
      <c r="Z89" s="2">
        <v>0</v>
      </c>
      <c r="AA89" s="2">
        <v>0</v>
      </c>
      <c r="AB89" s="2">
        <v>0</v>
      </c>
      <c r="AC89" s="2">
        <v>0</v>
      </c>
      <c r="AD89" s="2">
        <v>0</v>
      </c>
      <c r="AE89">
        <f t="shared" si="6"/>
        <v>0</v>
      </c>
    </row>
    <row r="90" spans="1:31" ht="30">
      <c r="X90" s="1" t="s">
        <v>150</v>
      </c>
      <c r="Y90" s="2">
        <v>0</v>
      </c>
      <c r="Z90" s="2">
        <v>0</v>
      </c>
      <c r="AA90" s="2">
        <v>0</v>
      </c>
      <c r="AB90" s="2">
        <v>0</v>
      </c>
      <c r="AC90" s="2">
        <v>0</v>
      </c>
      <c r="AD90" s="2">
        <v>0</v>
      </c>
      <c r="AE90">
        <f t="shared" si="6"/>
        <v>0</v>
      </c>
    </row>
    <row r="92" spans="1:31">
      <c r="B92" t="s">
        <v>157</v>
      </c>
    </row>
    <row r="93" spans="1:31" ht="30">
      <c r="B93" s="1"/>
      <c r="C93" s="1" t="s">
        <v>173</v>
      </c>
      <c r="D93" s="1"/>
      <c r="E93" s="1"/>
      <c r="F93" s="1"/>
      <c r="G93" s="1"/>
      <c r="H93" s="1"/>
      <c r="K93" t="s">
        <v>158</v>
      </c>
      <c r="X93" t="s">
        <v>170</v>
      </c>
    </row>
    <row r="94" spans="1:31" ht="15" customHeight="1">
      <c r="B94" s="1"/>
      <c r="C94" s="1" t="s">
        <v>0</v>
      </c>
      <c r="D94" s="1"/>
      <c r="E94" s="1"/>
      <c r="F94" s="1"/>
      <c r="G94" s="1"/>
      <c r="H94" s="1"/>
      <c r="K94" s="247" t="s">
        <v>56</v>
      </c>
      <c r="L94" s="247" t="s">
        <v>174</v>
      </c>
      <c r="M94" s="247"/>
      <c r="N94" s="247"/>
      <c r="O94" s="247"/>
      <c r="P94" s="247"/>
      <c r="Q94" s="247"/>
      <c r="X94" s="247" t="str">
        <f>X3</f>
        <v xml:space="preserve">תרחיש 2 מדיניות </v>
      </c>
      <c r="Y94" s="247" t="s">
        <v>174</v>
      </c>
      <c r="Z94" s="247"/>
      <c r="AA94" s="247"/>
      <c r="AB94" s="247"/>
      <c r="AC94" s="247"/>
      <c r="AD94" s="247"/>
    </row>
    <row r="95" spans="1:31" ht="30">
      <c r="B95" s="1"/>
      <c r="C95" s="1" t="s">
        <v>61</v>
      </c>
      <c r="D95" s="1" t="s">
        <v>62</v>
      </c>
      <c r="E95" s="1" t="s">
        <v>63</v>
      </c>
      <c r="F95" s="1" t="s">
        <v>64</v>
      </c>
      <c r="G95" s="1" t="s">
        <v>65</v>
      </c>
      <c r="H95" s="1" t="s">
        <v>66</v>
      </c>
      <c r="K95" s="247"/>
      <c r="L95" s="1" t="s">
        <v>61</v>
      </c>
      <c r="M95" s="1" t="s">
        <v>62</v>
      </c>
      <c r="N95" s="1" t="s">
        <v>63</v>
      </c>
      <c r="O95" s="1" t="s">
        <v>64</v>
      </c>
      <c r="P95" s="1" t="s">
        <v>65</v>
      </c>
      <c r="Q95" s="1" t="s">
        <v>66</v>
      </c>
      <c r="X95" s="247"/>
      <c r="Y95" s="1" t="s">
        <v>61</v>
      </c>
      <c r="Z95" s="1" t="s">
        <v>62</v>
      </c>
      <c r="AA95" s="1" t="s">
        <v>63</v>
      </c>
      <c r="AB95" s="1" t="s">
        <v>64</v>
      </c>
      <c r="AC95" s="1" t="s">
        <v>65</v>
      </c>
      <c r="AD95" s="1" t="s">
        <v>66</v>
      </c>
    </row>
    <row r="96" spans="1:31" ht="15" customHeight="1">
      <c r="B96" s="1">
        <v>2024</v>
      </c>
      <c r="C96" s="2">
        <v>1</v>
      </c>
      <c r="D96" s="2">
        <v>2</v>
      </c>
      <c r="E96" s="2">
        <v>5</v>
      </c>
      <c r="F96" s="2">
        <v>4</v>
      </c>
      <c r="G96" s="2">
        <v>1</v>
      </c>
      <c r="H96" s="2">
        <v>2</v>
      </c>
      <c r="K96" s="1">
        <v>2024</v>
      </c>
      <c r="L96" s="2">
        <v>6</v>
      </c>
      <c r="M96" s="2">
        <v>2</v>
      </c>
      <c r="N96" s="2">
        <v>3</v>
      </c>
      <c r="O96" s="2">
        <v>4</v>
      </c>
      <c r="P96" s="2">
        <v>1</v>
      </c>
      <c r="Q96" s="2">
        <v>2</v>
      </c>
      <c r="X96" s="1">
        <v>2024</v>
      </c>
      <c r="Y96" s="2">
        <v>1</v>
      </c>
      <c r="Z96" s="2">
        <v>1</v>
      </c>
      <c r="AA96" s="2">
        <v>3</v>
      </c>
      <c r="AB96" s="2">
        <v>4</v>
      </c>
      <c r="AC96" s="2">
        <v>1</v>
      </c>
      <c r="AD96" s="2">
        <v>2</v>
      </c>
    </row>
    <row r="97" spans="2:30" ht="15">
      <c r="B97" s="1">
        <v>2025</v>
      </c>
      <c r="C97" s="2">
        <v>4</v>
      </c>
      <c r="D97" s="2">
        <v>5</v>
      </c>
      <c r="E97" s="2">
        <v>3</v>
      </c>
      <c r="F97" s="2">
        <v>3</v>
      </c>
      <c r="G97" s="2">
        <v>5</v>
      </c>
      <c r="H97" s="2">
        <v>2</v>
      </c>
      <c r="K97" s="1">
        <v>2025</v>
      </c>
      <c r="L97" s="2">
        <v>2</v>
      </c>
      <c r="M97" s="2">
        <v>1</v>
      </c>
      <c r="N97" s="2">
        <v>3</v>
      </c>
      <c r="O97" s="2">
        <v>3</v>
      </c>
      <c r="P97" s="2">
        <v>3</v>
      </c>
      <c r="Q97" s="2">
        <v>3</v>
      </c>
      <c r="X97" s="1">
        <v>2025</v>
      </c>
      <c r="Y97" s="2">
        <v>2</v>
      </c>
      <c r="Z97" s="2">
        <v>2</v>
      </c>
      <c r="AA97" s="2">
        <v>3</v>
      </c>
      <c r="AB97" s="2">
        <v>3</v>
      </c>
      <c r="AC97" s="2">
        <v>3</v>
      </c>
      <c r="AD97" s="2">
        <v>2</v>
      </c>
    </row>
    <row r="98" spans="2:30" ht="15">
      <c r="B98" s="1">
        <v>2026</v>
      </c>
      <c r="C98" s="2">
        <v>6</v>
      </c>
      <c r="D98" s="2">
        <v>2</v>
      </c>
      <c r="E98" s="2">
        <v>4</v>
      </c>
      <c r="F98" s="2">
        <v>3</v>
      </c>
      <c r="G98" s="2">
        <v>2</v>
      </c>
      <c r="H98" s="2">
        <v>3</v>
      </c>
      <c r="K98" s="1">
        <v>2026</v>
      </c>
      <c r="L98" s="2">
        <v>4</v>
      </c>
      <c r="M98" s="2">
        <v>2</v>
      </c>
      <c r="N98" s="2">
        <v>4</v>
      </c>
      <c r="O98" s="2">
        <v>4</v>
      </c>
      <c r="P98" s="2">
        <v>4</v>
      </c>
      <c r="Q98" s="2">
        <v>4</v>
      </c>
      <c r="X98" s="1">
        <v>2026</v>
      </c>
      <c r="Y98" s="2">
        <v>3</v>
      </c>
      <c r="Z98" s="2">
        <v>3</v>
      </c>
      <c r="AA98" s="2">
        <v>4</v>
      </c>
      <c r="AB98" s="2">
        <v>4</v>
      </c>
      <c r="AC98" s="2">
        <v>2</v>
      </c>
      <c r="AD98" s="2">
        <v>3</v>
      </c>
    </row>
    <row r="99" spans="2:30" ht="15">
      <c r="B99" s="1">
        <v>2027</v>
      </c>
      <c r="C99" s="2">
        <v>6</v>
      </c>
      <c r="D99" s="2">
        <v>5</v>
      </c>
      <c r="E99" s="2">
        <v>6</v>
      </c>
      <c r="F99" s="2">
        <v>3</v>
      </c>
      <c r="G99" s="2">
        <v>3</v>
      </c>
      <c r="H99" s="2">
        <v>4</v>
      </c>
      <c r="K99" s="1">
        <v>2027</v>
      </c>
      <c r="L99" s="2">
        <v>5</v>
      </c>
      <c r="M99" s="2">
        <v>2</v>
      </c>
      <c r="N99" s="2">
        <v>6</v>
      </c>
      <c r="O99" s="2">
        <v>3</v>
      </c>
      <c r="P99" s="2">
        <v>3</v>
      </c>
      <c r="Q99" s="2">
        <v>2</v>
      </c>
      <c r="X99" s="1">
        <v>2027</v>
      </c>
      <c r="Y99" s="2">
        <v>3</v>
      </c>
      <c r="Z99" s="2">
        <v>3</v>
      </c>
      <c r="AA99" s="2">
        <v>5</v>
      </c>
      <c r="AB99" s="2">
        <v>3</v>
      </c>
      <c r="AC99" s="2">
        <v>2</v>
      </c>
      <c r="AD99" s="2">
        <v>3</v>
      </c>
    </row>
    <row r="100" spans="2:30" ht="15">
      <c r="B100" s="1">
        <v>2028</v>
      </c>
      <c r="C100" s="2">
        <v>3</v>
      </c>
      <c r="D100" s="2">
        <v>3</v>
      </c>
      <c r="E100" s="2">
        <v>4</v>
      </c>
      <c r="F100" s="2">
        <v>3</v>
      </c>
      <c r="G100" s="2">
        <v>2</v>
      </c>
      <c r="H100" s="2">
        <v>2</v>
      </c>
      <c r="K100" s="1">
        <v>2028</v>
      </c>
      <c r="L100" s="2">
        <v>5</v>
      </c>
      <c r="M100" s="2">
        <v>4</v>
      </c>
      <c r="N100" s="2">
        <v>4</v>
      </c>
      <c r="O100" s="2">
        <v>3</v>
      </c>
      <c r="P100" s="2">
        <v>2</v>
      </c>
      <c r="Q100" s="2">
        <v>4</v>
      </c>
      <c r="X100" s="1">
        <v>2028</v>
      </c>
      <c r="Y100" s="2">
        <v>3</v>
      </c>
      <c r="Z100" s="2">
        <v>3</v>
      </c>
      <c r="AA100" s="2">
        <v>4</v>
      </c>
      <c r="AB100" s="2">
        <v>3</v>
      </c>
      <c r="AC100" s="2">
        <v>2</v>
      </c>
      <c r="AD100" s="2">
        <v>2</v>
      </c>
    </row>
    <row r="101" spans="2:30" ht="15">
      <c r="B101" s="1">
        <v>2029</v>
      </c>
      <c r="C101" s="2">
        <v>6</v>
      </c>
      <c r="D101" s="2">
        <v>4</v>
      </c>
      <c r="E101" s="2">
        <v>3</v>
      </c>
      <c r="F101" s="2">
        <v>4</v>
      </c>
      <c r="G101" s="2">
        <v>1</v>
      </c>
      <c r="H101" s="2">
        <v>2</v>
      </c>
      <c r="K101" s="1">
        <v>2029</v>
      </c>
      <c r="L101" s="2">
        <v>2</v>
      </c>
      <c r="M101" s="2">
        <v>1</v>
      </c>
      <c r="N101" s="2">
        <v>3</v>
      </c>
      <c r="O101" s="2">
        <v>4</v>
      </c>
      <c r="P101" s="2">
        <v>1</v>
      </c>
      <c r="Q101" s="2">
        <v>2</v>
      </c>
      <c r="X101" s="1">
        <v>2029</v>
      </c>
      <c r="Y101" s="2">
        <v>2</v>
      </c>
      <c r="Z101" s="2">
        <v>0</v>
      </c>
      <c r="AA101" s="2">
        <v>3</v>
      </c>
      <c r="AB101" s="2">
        <v>4</v>
      </c>
      <c r="AC101" s="2">
        <v>0</v>
      </c>
      <c r="AD101" s="2">
        <v>0</v>
      </c>
    </row>
    <row r="102" spans="2:30" ht="15">
      <c r="B102" s="1">
        <v>2030</v>
      </c>
      <c r="C102" s="2">
        <v>2</v>
      </c>
      <c r="D102" s="2">
        <v>4</v>
      </c>
      <c r="E102" s="2">
        <v>5</v>
      </c>
      <c r="F102" s="2">
        <v>4</v>
      </c>
      <c r="G102" s="2">
        <v>2</v>
      </c>
      <c r="H102" s="2">
        <v>2</v>
      </c>
      <c r="K102" s="1">
        <v>2030</v>
      </c>
      <c r="L102" s="2">
        <v>2</v>
      </c>
      <c r="M102" s="2">
        <v>3</v>
      </c>
      <c r="N102" s="2">
        <v>4</v>
      </c>
      <c r="O102" s="2">
        <v>5</v>
      </c>
      <c r="P102" s="2">
        <v>2</v>
      </c>
      <c r="Q102" s="2">
        <v>3</v>
      </c>
      <c r="X102" s="1">
        <v>2030</v>
      </c>
      <c r="Y102" s="2">
        <v>3</v>
      </c>
      <c r="Z102" s="2">
        <v>0</v>
      </c>
      <c r="AA102" s="2">
        <v>4</v>
      </c>
      <c r="AB102" s="2">
        <v>5</v>
      </c>
      <c r="AC102" s="2">
        <v>0</v>
      </c>
      <c r="AD102" s="2">
        <v>0</v>
      </c>
    </row>
    <row r="105" spans="2:30">
      <c r="D105" t="s">
        <v>55</v>
      </c>
      <c r="E105" t="s">
        <v>56</v>
      </c>
      <c r="F105" t="s">
        <v>57</v>
      </c>
      <c r="I105" t="s">
        <v>55</v>
      </c>
      <c r="J105" t="s">
        <v>56</v>
      </c>
      <c r="K105" t="s">
        <v>57</v>
      </c>
    </row>
    <row r="106" spans="2:30" ht="15">
      <c r="C106" s="1">
        <v>2024</v>
      </c>
      <c r="D106" s="6">
        <f>+SUMIFS($I$6:$I$89,$A$6:$A$89,C106)</f>
        <v>10056</v>
      </c>
      <c r="E106" s="6">
        <f>+SUMIFS($R$6:$R$89,$A$6:$A$89,C106)</f>
        <v>32928</v>
      </c>
      <c r="F106" s="6">
        <f>+SUMIFS($AE$7:$AE$90,$A$6:$A$89,C106)</f>
        <v>13704</v>
      </c>
      <c r="H106" s="1">
        <v>2024</v>
      </c>
      <c r="I106" s="6">
        <f>C96+D96/2+G96+H96</f>
        <v>5</v>
      </c>
      <c r="J106" s="6">
        <f>SUM(L96:Q96)</f>
        <v>18</v>
      </c>
      <c r="K106" s="6">
        <f>SUM(Y96:AD96)</f>
        <v>12</v>
      </c>
    </row>
    <row r="107" spans="2:30" ht="15">
      <c r="C107" s="1">
        <v>2025</v>
      </c>
      <c r="D107" s="6">
        <f t="shared" ref="D107:D112" si="8">+SUMIFS($I$6:$I$89,$A$6:$A$89,C107)</f>
        <v>8904</v>
      </c>
      <c r="E107" s="6">
        <f t="shared" ref="E107:E112" si="9">+SUMIFS($R$6:$R$89,$A$6:$A$89,C107)</f>
        <v>31080</v>
      </c>
      <c r="F107" s="6">
        <f t="shared" ref="F107:F112" si="10">+SUMIFS($AE$7:$AE$90,$A$6:$A$89,C107)</f>
        <v>11448</v>
      </c>
      <c r="H107" s="1">
        <v>2025</v>
      </c>
      <c r="I107" s="6">
        <f>H97/2+G97</f>
        <v>6</v>
      </c>
      <c r="J107" s="6">
        <f t="shared" ref="J107:J112" si="11">SUM(L97:Q97)</f>
        <v>15</v>
      </c>
      <c r="K107" s="6">
        <f t="shared" ref="K107:K112" si="12">SUM(Y97:AD97)</f>
        <v>15</v>
      </c>
    </row>
    <row r="108" spans="2:30" ht="15">
      <c r="C108" s="1">
        <v>2026</v>
      </c>
      <c r="D108" s="6">
        <f t="shared" si="8"/>
        <v>0</v>
      </c>
      <c r="E108" s="6">
        <f t="shared" si="9"/>
        <v>29856</v>
      </c>
      <c r="F108" s="6">
        <f t="shared" si="10"/>
        <v>11112</v>
      </c>
      <c r="H108" s="1">
        <v>2026</v>
      </c>
      <c r="I108" s="6">
        <v>0</v>
      </c>
      <c r="J108" s="6">
        <f t="shared" si="11"/>
        <v>22</v>
      </c>
      <c r="K108" s="6">
        <f t="shared" si="12"/>
        <v>19</v>
      </c>
    </row>
    <row r="109" spans="2:30" ht="15">
      <c r="C109" s="1">
        <v>2027</v>
      </c>
      <c r="D109" s="6">
        <f t="shared" si="8"/>
        <v>0</v>
      </c>
      <c r="E109" s="6">
        <f t="shared" si="9"/>
        <v>30456</v>
      </c>
      <c r="F109" s="6">
        <f t="shared" si="10"/>
        <v>11112</v>
      </c>
      <c r="H109" s="1">
        <v>2027</v>
      </c>
      <c r="I109" s="6">
        <v>0</v>
      </c>
      <c r="J109" s="6">
        <f t="shared" si="11"/>
        <v>21</v>
      </c>
      <c r="K109" s="6">
        <f t="shared" si="12"/>
        <v>19</v>
      </c>
    </row>
    <row r="110" spans="2:30" ht="15">
      <c r="C110" s="1">
        <v>2028</v>
      </c>
      <c r="D110" s="6">
        <f t="shared" si="8"/>
        <v>0</v>
      </c>
      <c r="E110" s="6">
        <f t="shared" si="9"/>
        <v>30216</v>
      </c>
      <c r="F110" s="6">
        <f t="shared" si="10"/>
        <v>11376</v>
      </c>
      <c r="H110" s="1">
        <v>2028</v>
      </c>
      <c r="I110" s="6">
        <v>0</v>
      </c>
      <c r="J110" s="6">
        <f t="shared" si="11"/>
        <v>22</v>
      </c>
      <c r="K110" s="6">
        <f t="shared" si="12"/>
        <v>17</v>
      </c>
    </row>
    <row r="111" spans="2:30" ht="15">
      <c r="C111" s="1">
        <v>2029</v>
      </c>
      <c r="D111" s="6">
        <f t="shared" si="8"/>
        <v>0</v>
      </c>
      <c r="E111" s="6">
        <f t="shared" si="9"/>
        <v>31632</v>
      </c>
      <c r="F111" s="6">
        <f t="shared" si="10"/>
        <v>2904</v>
      </c>
      <c r="H111" s="1">
        <v>2029</v>
      </c>
      <c r="I111" s="6">
        <v>0</v>
      </c>
      <c r="J111" s="6">
        <f t="shared" si="11"/>
        <v>13</v>
      </c>
      <c r="K111" s="6">
        <f t="shared" si="12"/>
        <v>9</v>
      </c>
    </row>
    <row r="112" spans="2:30" ht="15">
      <c r="C112" s="1">
        <v>2030</v>
      </c>
      <c r="D112" s="6">
        <f t="shared" si="8"/>
        <v>0</v>
      </c>
      <c r="E112" s="6">
        <f t="shared" si="9"/>
        <v>30888</v>
      </c>
      <c r="F112" s="6">
        <f t="shared" si="10"/>
        <v>2736</v>
      </c>
      <c r="H112" s="1">
        <v>2030</v>
      </c>
      <c r="I112" s="6">
        <v>0</v>
      </c>
      <c r="J112" s="6">
        <f t="shared" si="11"/>
        <v>19</v>
      </c>
      <c r="K112" s="6">
        <f t="shared" si="12"/>
        <v>12</v>
      </c>
    </row>
    <row r="113" spans="4:11">
      <c r="D113" s="5">
        <f>SUM(D106:D112)</f>
        <v>18960</v>
      </c>
      <c r="E113" s="5">
        <f>SUM(E106:E112)</f>
        <v>217056</v>
      </c>
      <c r="F113" s="5">
        <f>SUM(F106:F112)</f>
        <v>64392</v>
      </c>
      <c r="I113" s="5">
        <f>SUM(I106:I112)</f>
        <v>11</v>
      </c>
      <c r="J113" s="5">
        <f>SUM(J106:J112)</f>
        <v>130</v>
      </c>
      <c r="K113" s="5">
        <f>SUM(K106:K112)</f>
        <v>103</v>
      </c>
    </row>
  </sheetData>
  <mergeCells count="15">
    <mergeCell ref="K94:K95"/>
    <mergeCell ref="L94:Q94"/>
    <mergeCell ref="X94:X95"/>
    <mergeCell ref="Y94:AD94"/>
    <mergeCell ref="B3:B5"/>
    <mergeCell ref="C3:H3"/>
    <mergeCell ref="K3:K5"/>
    <mergeCell ref="X3:X6"/>
    <mergeCell ref="Y3:AD3"/>
    <mergeCell ref="C4:F4"/>
    <mergeCell ref="G4:H4"/>
    <mergeCell ref="Y4:AB4"/>
    <mergeCell ref="AC4:AD4"/>
    <mergeCell ref="Y5:AB5"/>
    <mergeCell ref="AC5:AD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2:Y63"/>
  <sheetViews>
    <sheetView rightToLeft="1" topLeftCell="D1" workbookViewId="0">
      <selection activeCell="S4" sqref="S4:T5"/>
    </sheetView>
  </sheetViews>
  <sheetFormatPr defaultRowHeight="14.25"/>
  <cols>
    <col min="3" max="3" width="38.5" customWidth="1"/>
    <col min="4" max="4" width="7.75" bestFit="1" customWidth="1"/>
    <col min="5" max="5" width="9.625" customWidth="1"/>
    <col min="6" max="6" width="7.5" customWidth="1"/>
    <col min="7" max="7" width="9.75" bestFit="1" customWidth="1"/>
    <col min="8" max="8" width="7.375" bestFit="1" customWidth="1"/>
    <col min="9" max="9" width="9" bestFit="1" customWidth="1"/>
    <col min="10" max="11" width="9.125" bestFit="1" customWidth="1"/>
    <col min="12" max="14" width="9.25" bestFit="1" customWidth="1"/>
    <col min="15" max="15" width="9.75" bestFit="1" customWidth="1"/>
    <col min="16" max="16" width="10" bestFit="1" customWidth="1"/>
    <col min="17" max="17" width="9.75" bestFit="1" customWidth="1"/>
    <col min="18" max="18" width="9.125" bestFit="1" customWidth="1"/>
  </cols>
  <sheetData>
    <row r="2" spans="2:20" ht="15">
      <c r="C2" s="4" t="s">
        <v>17</v>
      </c>
    </row>
    <row r="4" spans="2:20" ht="15">
      <c r="C4" t="s">
        <v>157</v>
      </c>
      <c r="L4" t="s">
        <v>157</v>
      </c>
      <c r="S4" s="1" t="s">
        <v>163</v>
      </c>
      <c r="T4">
        <v>52421</v>
      </c>
    </row>
    <row r="5" spans="2:20" ht="30">
      <c r="B5" t="s">
        <v>54</v>
      </c>
      <c r="C5" s="247" t="s">
        <v>18</v>
      </c>
      <c r="D5" s="1" t="s">
        <v>14</v>
      </c>
      <c r="E5" s="1" t="s">
        <v>15</v>
      </c>
      <c r="F5" s="1" t="s">
        <v>5</v>
      </c>
      <c r="G5" s="1" t="s">
        <v>2</v>
      </c>
      <c r="H5" s="1" t="s">
        <v>0</v>
      </c>
      <c r="I5" s="1" t="s">
        <v>45</v>
      </c>
      <c r="L5" s="1" t="s">
        <v>19</v>
      </c>
      <c r="M5" s="1" t="s">
        <v>14</v>
      </c>
      <c r="N5" s="1" t="s">
        <v>15</v>
      </c>
      <c r="O5" s="1" t="s">
        <v>5</v>
      </c>
      <c r="P5" s="1"/>
      <c r="Q5" s="1" t="s">
        <v>0</v>
      </c>
      <c r="S5" t="s">
        <v>164</v>
      </c>
      <c r="T5">
        <f>T4*28/10^9</f>
        <v>1.467788E-3</v>
      </c>
    </row>
    <row r="6" spans="2:20" ht="15" hidden="1" customHeight="1">
      <c r="C6" s="247"/>
      <c r="D6" s="1" t="s">
        <v>1</v>
      </c>
      <c r="E6" s="1" t="s">
        <v>1</v>
      </c>
      <c r="F6" s="1" t="s">
        <v>1</v>
      </c>
      <c r="G6" s="1" t="s">
        <v>3</v>
      </c>
      <c r="H6" s="1" t="s">
        <v>1</v>
      </c>
      <c r="L6" s="1"/>
      <c r="M6" s="1" t="s">
        <v>1</v>
      </c>
      <c r="N6" s="1" t="s">
        <v>1</v>
      </c>
      <c r="O6" s="1" t="s">
        <v>1</v>
      </c>
      <c r="P6" s="1"/>
      <c r="Q6" s="1" t="s">
        <v>1</v>
      </c>
    </row>
    <row r="7" spans="2:20" ht="15" hidden="1" customHeight="1">
      <c r="C7" s="247"/>
      <c r="D7" s="247" t="s">
        <v>1</v>
      </c>
      <c r="E7" s="247"/>
      <c r="F7" s="247"/>
      <c r="G7" s="1" t="s">
        <v>1</v>
      </c>
      <c r="H7" s="1" t="s">
        <v>1</v>
      </c>
      <c r="K7" s="1"/>
      <c r="L7" s="247" t="s">
        <v>1</v>
      </c>
      <c r="M7" s="247"/>
      <c r="N7" s="247"/>
      <c r="O7" s="1" t="s">
        <v>1</v>
      </c>
      <c r="P7" s="1" t="s">
        <v>1</v>
      </c>
    </row>
    <row r="8" spans="2:20" ht="15" customHeight="1">
      <c r="C8" s="1" t="s">
        <v>6</v>
      </c>
      <c r="D8" s="3">
        <v>3.43</v>
      </c>
      <c r="E8" s="3">
        <v>0</v>
      </c>
      <c r="F8" s="3">
        <v>1.1599999999999999</v>
      </c>
      <c r="G8" s="3">
        <v>9168.41</v>
      </c>
      <c r="H8" s="3">
        <v>1791.05</v>
      </c>
      <c r="I8" s="6"/>
      <c r="K8" s="1" t="s">
        <v>6</v>
      </c>
      <c r="L8" s="3">
        <v>6.09</v>
      </c>
      <c r="M8" s="3">
        <v>0</v>
      </c>
      <c r="N8" s="3">
        <v>0</v>
      </c>
      <c r="O8" s="3">
        <v>64315.66</v>
      </c>
      <c r="P8" s="3">
        <v>4760.8500000000004</v>
      </c>
    </row>
    <row r="9" spans="2:20" ht="15" customHeight="1">
      <c r="C9" s="1" t="s">
        <v>7</v>
      </c>
      <c r="D9" s="3">
        <v>10.87</v>
      </c>
      <c r="E9" s="3">
        <v>0.78</v>
      </c>
      <c r="F9" s="3">
        <v>1.73</v>
      </c>
      <c r="G9" s="3">
        <v>9574.5300000000007</v>
      </c>
      <c r="H9" s="3">
        <v>1019.89</v>
      </c>
      <c r="I9" s="6"/>
      <c r="K9" s="1" t="s">
        <v>7</v>
      </c>
      <c r="L9" s="3">
        <v>33.5</v>
      </c>
      <c r="M9" s="3">
        <v>1.1499999999999999</v>
      </c>
      <c r="N9" s="3">
        <v>0</v>
      </c>
      <c r="O9" s="3">
        <v>66380.14</v>
      </c>
      <c r="P9" s="3">
        <v>2664.16</v>
      </c>
    </row>
    <row r="10" spans="2:20" ht="15">
      <c r="C10" s="1" t="s">
        <v>8</v>
      </c>
      <c r="D10" s="3">
        <v>8.56</v>
      </c>
      <c r="E10" s="3">
        <v>0.06</v>
      </c>
      <c r="F10" s="3">
        <v>0</v>
      </c>
      <c r="G10" s="3">
        <v>10211.91</v>
      </c>
      <c r="H10" s="3">
        <v>0</v>
      </c>
      <c r="I10" s="6"/>
      <c r="K10" s="1" t="s">
        <v>8</v>
      </c>
      <c r="L10" s="3">
        <v>22.81</v>
      </c>
      <c r="M10" s="3">
        <v>7.0000000000000007E-2</v>
      </c>
      <c r="N10" s="3">
        <v>0</v>
      </c>
      <c r="O10" s="3">
        <v>69356.009999999995</v>
      </c>
      <c r="P10" s="3">
        <v>0</v>
      </c>
    </row>
    <row r="11" spans="2:20" ht="15">
      <c r="C11" s="1" t="s">
        <v>9</v>
      </c>
      <c r="D11" s="3">
        <v>3.79</v>
      </c>
      <c r="E11" s="3">
        <v>0.06</v>
      </c>
      <c r="F11" s="3">
        <v>0</v>
      </c>
      <c r="G11" s="3">
        <v>10214.52</v>
      </c>
      <c r="H11" s="3">
        <v>0</v>
      </c>
      <c r="I11" s="6"/>
      <c r="K11" s="1" t="s">
        <v>9</v>
      </c>
      <c r="L11" s="3">
        <v>11.62</v>
      </c>
      <c r="M11" s="3">
        <v>7.0000000000000007E-2</v>
      </c>
      <c r="N11" s="3">
        <v>0</v>
      </c>
      <c r="O11" s="3">
        <v>69540.160000000003</v>
      </c>
      <c r="P11" s="3">
        <v>0</v>
      </c>
    </row>
    <row r="12" spans="2:20" ht="15">
      <c r="C12" s="1" t="s">
        <v>10</v>
      </c>
      <c r="D12" s="3">
        <v>6.42</v>
      </c>
      <c r="E12" s="3">
        <v>0.14000000000000001</v>
      </c>
      <c r="F12" s="3">
        <v>0</v>
      </c>
      <c r="G12" s="3">
        <v>10263.25</v>
      </c>
      <c r="H12" s="3">
        <v>0</v>
      </c>
      <c r="I12" s="6"/>
      <c r="K12" s="1" t="s">
        <v>10</v>
      </c>
      <c r="L12" s="3">
        <v>17.48</v>
      </c>
      <c r="M12" s="3">
        <v>0.18</v>
      </c>
      <c r="N12" s="3">
        <v>0</v>
      </c>
      <c r="O12" s="3">
        <v>69441.19</v>
      </c>
      <c r="P12" s="3">
        <v>0</v>
      </c>
    </row>
    <row r="13" spans="2:20" ht="15">
      <c r="C13" s="1" t="s">
        <v>11</v>
      </c>
      <c r="D13" s="3">
        <v>0.28999999999999998</v>
      </c>
      <c r="E13" s="3">
        <v>0</v>
      </c>
      <c r="F13" s="3">
        <v>0</v>
      </c>
      <c r="G13" s="3">
        <v>10086.459999999999</v>
      </c>
      <c r="H13" s="3">
        <v>0</v>
      </c>
      <c r="I13" s="6"/>
      <c r="K13" s="1" t="s">
        <v>11</v>
      </c>
      <c r="L13" s="3">
        <v>0.82</v>
      </c>
      <c r="M13" s="3">
        <v>0</v>
      </c>
      <c r="N13" s="3">
        <v>0</v>
      </c>
      <c r="O13" s="3">
        <v>69183.14</v>
      </c>
      <c r="P13" s="3">
        <v>0</v>
      </c>
    </row>
    <row r="14" spans="2:20" ht="15">
      <c r="C14" s="1" t="s">
        <v>12</v>
      </c>
      <c r="D14" s="3">
        <v>0</v>
      </c>
      <c r="E14" s="3">
        <v>0</v>
      </c>
      <c r="F14" s="3">
        <v>0</v>
      </c>
      <c r="G14" s="3">
        <v>9989.7900000000009</v>
      </c>
      <c r="H14" s="3">
        <v>0</v>
      </c>
      <c r="I14" s="6"/>
      <c r="K14" s="1" t="s">
        <v>12</v>
      </c>
      <c r="L14" s="3">
        <v>0</v>
      </c>
      <c r="M14" s="3">
        <v>0</v>
      </c>
      <c r="N14" s="3">
        <v>0</v>
      </c>
      <c r="O14" s="3">
        <v>68637.8</v>
      </c>
      <c r="P14" s="3">
        <v>0</v>
      </c>
    </row>
    <row r="15" spans="2:20" ht="15">
      <c r="C15" s="1" t="s">
        <v>46</v>
      </c>
      <c r="D15" s="6">
        <f>SUM(D8:D14)</f>
        <v>33.36</v>
      </c>
      <c r="E15" s="6">
        <f>SUM(E8:E14)</f>
        <v>1.04</v>
      </c>
      <c r="F15" s="6">
        <f>SUM(F8:F14)</f>
        <v>2.8899999999999997</v>
      </c>
      <c r="G15" s="6">
        <f>SUM(G8:G14)</f>
        <v>69508.87</v>
      </c>
      <c r="H15" s="6">
        <f>SUM(H8:H14)</f>
        <v>2810.94</v>
      </c>
      <c r="I15" s="6"/>
      <c r="L15" s="5">
        <f>SUM(L8:L14)</f>
        <v>92.320000000000007</v>
      </c>
      <c r="M15" s="5">
        <f>SUM(M8:M14)</f>
        <v>1.47</v>
      </c>
      <c r="N15" s="5">
        <f>SUM(N8:N14)</f>
        <v>0</v>
      </c>
      <c r="O15" s="5">
        <f>SUM(O8:O14)</f>
        <v>476854.1</v>
      </c>
      <c r="P15" s="5">
        <f>SUM(P8:P14)</f>
        <v>7425.01</v>
      </c>
    </row>
    <row r="16" spans="2:20" ht="15">
      <c r="C16" s="1" t="s">
        <v>47</v>
      </c>
      <c r="D16" s="6">
        <f>D15*'מחירי דלקים '!$D$6/1000</f>
        <v>288.80002200000001</v>
      </c>
      <c r="E16" s="6">
        <f>E15*'מחירי דלקים '!$D$6/1000</f>
        <v>9.0033580000000004</v>
      </c>
      <c r="F16" s="6"/>
      <c r="G16" s="6">
        <f>G15*'מחירי דלקים '!$D$5/1000</f>
        <v>80675.058425742289</v>
      </c>
      <c r="H16" s="6">
        <f>H15*'מחירי דלקים '!$D$4/1000</f>
        <v>1796.4656251852666</v>
      </c>
      <c r="I16" s="6">
        <f>SUM(D16:H16)</f>
        <v>82769.327430927558</v>
      </c>
    </row>
    <row r="17" spans="3:25" ht="15">
      <c r="C17" s="1" t="s">
        <v>48</v>
      </c>
      <c r="D17" s="6">
        <f>D16</f>
        <v>288.80002200000001</v>
      </c>
      <c r="E17" s="6">
        <f>E16</f>
        <v>9.0033580000000004</v>
      </c>
      <c r="F17" s="6">
        <f>F16</f>
        <v>0</v>
      </c>
      <c r="G17" s="6">
        <f>G16</f>
        <v>80675.058425742289</v>
      </c>
      <c r="H17" s="6">
        <f>H15*'מחירי דלקים '!$E$4/1000</f>
        <v>1144.05258</v>
      </c>
      <c r="I17" s="6">
        <f>SUM(D17:H17)</f>
        <v>82116.91438574229</v>
      </c>
    </row>
    <row r="18" spans="3:25" ht="15">
      <c r="C18" s="1" t="s">
        <v>51</v>
      </c>
      <c r="D18" s="6">
        <f>D17</f>
        <v>288.80002200000001</v>
      </c>
      <c r="E18" s="6"/>
      <c r="F18" s="6"/>
      <c r="G18" s="6">
        <f>G16+(G15-$G$31)*('מחירי דלקים '!$D$7-'מחירי דלקים '!$D$5)/1000</f>
        <v>85918.234524353757</v>
      </c>
      <c r="H18" s="6">
        <f>H17</f>
        <v>1144.05258</v>
      </c>
      <c r="I18" s="6">
        <f>SUM(D18:H18)</f>
        <v>87351.087126353756</v>
      </c>
    </row>
    <row r="19" spans="3:25" ht="15">
      <c r="C19" s="1"/>
      <c r="D19" s="6"/>
      <c r="E19" s="6"/>
      <c r="F19" s="6"/>
      <c r="G19" s="6"/>
      <c r="H19" s="6"/>
      <c r="I19" s="6"/>
    </row>
    <row r="20" spans="3:25" ht="15">
      <c r="C20" s="12" t="s">
        <v>21</v>
      </c>
      <c r="D20" s="6"/>
      <c r="E20" s="6"/>
      <c r="F20" s="6"/>
      <c r="G20" s="6"/>
      <c r="H20" s="6"/>
      <c r="I20" s="6"/>
    </row>
    <row r="21" spans="3:25">
      <c r="D21" s="6"/>
      <c r="E21" s="6"/>
      <c r="F21" s="6"/>
      <c r="G21" s="6"/>
      <c r="H21" s="6"/>
      <c r="I21" s="6"/>
    </row>
    <row r="22" spans="3:25">
      <c r="C22" t="s">
        <v>20</v>
      </c>
      <c r="D22" s="6"/>
      <c r="E22" s="6"/>
      <c r="F22" s="6"/>
      <c r="G22" s="6"/>
      <c r="H22" s="6"/>
      <c r="I22" s="6"/>
      <c r="L22" t="s">
        <v>20</v>
      </c>
    </row>
    <row r="23" spans="3:25" ht="45">
      <c r="C23" s="1" t="s">
        <v>18</v>
      </c>
      <c r="D23" s="11" t="s">
        <v>14</v>
      </c>
      <c r="E23" s="11" t="s">
        <v>15</v>
      </c>
      <c r="F23" s="11" t="s">
        <v>5</v>
      </c>
      <c r="G23" s="11" t="s">
        <v>2</v>
      </c>
      <c r="H23" s="11" t="s">
        <v>0</v>
      </c>
      <c r="I23" s="6"/>
      <c r="K23" s="1" t="s">
        <v>19</v>
      </c>
      <c r="L23" s="1" t="s">
        <v>14</v>
      </c>
      <c r="M23" s="1" t="s">
        <v>15</v>
      </c>
      <c r="N23" s="1" t="s">
        <v>5</v>
      </c>
      <c r="O23" s="1" t="s">
        <v>2</v>
      </c>
      <c r="P23" s="1" t="s">
        <v>0</v>
      </c>
      <c r="T23" t="s">
        <v>158</v>
      </c>
    </row>
    <row r="24" spans="3:25" ht="30">
      <c r="C24" s="1" t="s">
        <v>6</v>
      </c>
      <c r="D24" s="3">
        <v>1.71</v>
      </c>
      <c r="E24" s="3">
        <v>0</v>
      </c>
      <c r="F24" s="3">
        <v>3.18</v>
      </c>
      <c r="G24" s="3">
        <v>8183.59</v>
      </c>
      <c r="H24" s="3">
        <v>4300.32</v>
      </c>
      <c r="I24" s="6"/>
      <c r="K24" s="1" t="s">
        <v>6</v>
      </c>
      <c r="L24" s="3">
        <v>1.45</v>
      </c>
      <c r="M24" s="3">
        <v>0</v>
      </c>
      <c r="N24" s="3">
        <v>0</v>
      </c>
      <c r="O24" s="3">
        <v>57562.05</v>
      </c>
      <c r="P24" s="3">
        <v>11493.71</v>
      </c>
      <c r="Q24" s="5">
        <f>SUM(L24:P24)</f>
        <v>69057.209999999992</v>
      </c>
      <c r="T24" s="1"/>
      <c r="U24" s="1" t="s">
        <v>14</v>
      </c>
      <c r="V24" s="1" t="s">
        <v>15</v>
      </c>
      <c r="W24" s="1" t="s">
        <v>5</v>
      </c>
      <c r="X24" s="1" t="s">
        <v>2</v>
      </c>
      <c r="Y24" s="1" t="s">
        <v>0</v>
      </c>
    </row>
    <row r="25" spans="3:25" ht="15">
      <c r="C25" s="1" t="s">
        <v>7</v>
      </c>
      <c r="D25" s="3">
        <v>3.4</v>
      </c>
      <c r="E25" s="3">
        <v>0.22</v>
      </c>
      <c r="F25" s="3">
        <v>2.59</v>
      </c>
      <c r="G25" s="3">
        <v>8482.2000000000007</v>
      </c>
      <c r="H25" s="3">
        <v>3458.96</v>
      </c>
      <c r="I25" s="6"/>
      <c r="K25" s="1" t="s">
        <v>7</v>
      </c>
      <c r="L25" s="3">
        <v>9.5299999999999994</v>
      </c>
      <c r="M25" s="3">
        <v>0.28000000000000003</v>
      </c>
      <c r="N25" s="3">
        <v>0</v>
      </c>
      <c r="O25" s="3">
        <v>59743.25</v>
      </c>
      <c r="P25" s="3">
        <v>9301.67</v>
      </c>
      <c r="T25" s="1" t="s">
        <v>6</v>
      </c>
      <c r="U25" s="2">
        <v>1.71</v>
      </c>
      <c r="V25" s="2">
        <v>0</v>
      </c>
      <c r="W25" s="2">
        <v>3.18</v>
      </c>
      <c r="X25" s="2">
        <v>8183.59</v>
      </c>
      <c r="Y25" s="2">
        <v>4300.32</v>
      </c>
    </row>
    <row r="26" spans="3:25" ht="15" customHeight="1">
      <c r="C26" s="1" t="s">
        <v>8</v>
      </c>
      <c r="D26" s="3">
        <v>1.4</v>
      </c>
      <c r="E26" s="3">
        <v>0</v>
      </c>
      <c r="F26" s="3">
        <v>4.03</v>
      </c>
      <c r="G26" s="3">
        <v>8637.64</v>
      </c>
      <c r="H26" s="3">
        <v>3315.69</v>
      </c>
      <c r="I26" s="6"/>
      <c r="K26" s="1" t="s">
        <v>8</v>
      </c>
      <c r="L26" s="3">
        <v>3.89</v>
      </c>
      <c r="M26" s="3">
        <v>0</v>
      </c>
      <c r="N26" s="3">
        <v>0</v>
      </c>
      <c r="O26" s="3">
        <v>60431.56</v>
      </c>
      <c r="P26" s="3">
        <v>8915.51</v>
      </c>
      <c r="T26" s="1" t="s">
        <v>7</v>
      </c>
      <c r="U26" s="2">
        <v>3.4</v>
      </c>
      <c r="V26" s="2">
        <v>0.22</v>
      </c>
      <c r="W26" s="2">
        <v>2.59</v>
      </c>
      <c r="X26" s="2">
        <v>8482.2000000000007</v>
      </c>
      <c r="Y26" s="2">
        <v>3458.96</v>
      </c>
    </row>
    <row r="27" spans="3:25" ht="15" customHeight="1">
      <c r="C27" s="1" t="s">
        <v>9</v>
      </c>
      <c r="D27" s="3">
        <v>5.17</v>
      </c>
      <c r="E27" s="3">
        <v>0.2</v>
      </c>
      <c r="F27" s="3">
        <v>3.46</v>
      </c>
      <c r="G27" s="3">
        <v>8615.74</v>
      </c>
      <c r="H27" s="3">
        <v>3377.05</v>
      </c>
      <c r="I27" s="6"/>
      <c r="K27" s="1" t="s">
        <v>9</v>
      </c>
      <c r="L27" s="3">
        <v>15.85</v>
      </c>
      <c r="M27" s="3">
        <v>0.26</v>
      </c>
      <c r="N27" s="3">
        <v>0</v>
      </c>
      <c r="O27" s="3">
        <v>60433.120000000003</v>
      </c>
      <c r="P27" s="3">
        <v>9072.2800000000007</v>
      </c>
      <c r="T27" s="1" t="s">
        <v>8</v>
      </c>
      <c r="U27" s="2">
        <v>1.4</v>
      </c>
      <c r="V27" s="2">
        <v>0</v>
      </c>
      <c r="W27" s="2">
        <v>4.03</v>
      </c>
      <c r="X27" s="2">
        <v>8637.64</v>
      </c>
      <c r="Y27" s="2">
        <v>3315.69</v>
      </c>
    </row>
    <row r="28" spans="3:25" ht="15" customHeight="1">
      <c r="C28" s="1" t="s">
        <v>10</v>
      </c>
      <c r="D28" s="3">
        <v>3.25</v>
      </c>
      <c r="E28" s="3">
        <v>0.13</v>
      </c>
      <c r="F28" s="3">
        <v>4.32</v>
      </c>
      <c r="G28" s="3">
        <v>8640.39</v>
      </c>
      <c r="H28" s="3">
        <v>3345.31</v>
      </c>
      <c r="I28" s="6"/>
      <c r="K28" s="1" t="s">
        <v>10</v>
      </c>
      <c r="L28" s="3">
        <v>8.89</v>
      </c>
      <c r="M28" s="3">
        <v>0.17</v>
      </c>
      <c r="N28" s="3">
        <v>0</v>
      </c>
      <c r="O28" s="3">
        <v>60436.07</v>
      </c>
      <c r="P28" s="3">
        <v>8983.9</v>
      </c>
      <c r="T28" s="1" t="s">
        <v>9</v>
      </c>
      <c r="U28" s="2">
        <v>5.17</v>
      </c>
      <c r="V28" s="2">
        <v>0.2</v>
      </c>
      <c r="W28" s="2">
        <v>3.46</v>
      </c>
      <c r="X28" s="2">
        <v>8615.74</v>
      </c>
      <c r="Y28" s="2">
        <v>3377.05</v>
      </c>
    </row>
    <row r="29" spans="3:25" ht="15">
      <c r="C29" s="1" t="s">
        <v>11</v>
      </c>
      <c r="D29" s="3">
        <v>0</v>
      </c>
      <c r="E29" s="3">
        <v>0</v>
      </c>
      <c r="F29" s="3">
        <v>1.74</v>
      </c>
      <c r="G29" s="3">
        <v>8428.52</v>
      </c>
      <c r="H29" s="3">
        <v>3463.21</v>
      </c>
      <c r="I29" s="6"/>
      <c r="K29" s="1" t="s">
        <v>11</v>
      </c>
      <c r="L29" s="3">
        <v>0</v>
      </c>
      <c r="M29" s="3">
        <v>0</v>
      </c>
      <c r="N29" s="3">
        <v>0</v>
      </c>
      <c r="O29" s="3">
        <v>59870.53</v>
      </c>
      <c r="P29" s="3">
        <v>9298.58</v>
      </c>
      <c r="T29" s="1" t="s">
        <v>10</v>
      </c>
      <c r="U29" s="2">
        <v>3.25</v>
      </c>
      <c r="V29" s="2">
        <v>0.13</v>
      </c>
      <c r="W29" s="2">
        <v>4.32</v>
      </c>
      <c r="X29" s="2">
        <v>8640.39</v>
      </c>
      <c r="Y29" s="2">
        <v>3345.31</v>
      </c>
    </row>
    <row r="30" spans="3:25" ht="15">
      <c r="C30" s="1" t="s">
        <v>12</v>
      </c>
      <c r="D30" s="3">
        <v>0</v>
      </c>
      <c r="E30" s="3">
        <v>0</v>
      </c>
      <c r="F30" s="3">
        <v>2.88</v>
      </c>
      <c r="G30" s="3">
        <v>8356.48</v>
      </c>
      <c r="H30" s="3">
        <v>3353.36</v>
      </c>
      <c r="I30" s="6"/>
      <c r="K30" s="1" t="s">
        <v>12</v>
      </c>
      <c r="L30" s="3">
        <v>0</v>
      </c>
      <c r="M30" s="3">
        <v>0</v>
      </c>
      <c r="N30" s="3">
        <v>0</v>
      </c>
      <c r="O30" s="3">
        <v>59594.94</v>
      </c>
      <c r="P30" s="3">
        <v>9001.01</v>
      </c>
      <c r="T30" s="1" t="s">
        <v>11</v>
      </c>
      <c r="U30" s="2">
        <v>0</v>
      </c>
      <c r="V30" s="2">
        <v>0</v>
      </c>
      <c r="W30" s="2">
        <v>1.74</v>
      </c>
      <c r="X30" s="2">
        <v>8428.52</v>
      </c>
      <c r="Y30" s="2">
        <v>3463.21</v>
      </c>
    </row>
    <row r="31" spans="3:25" ht="15">
      <c r="C31" s="1" t="s">
        <v>46</v>
      </c>
      <c r="D31" s="6">
        <f>SUM(D24:D30)</f>
        <v>14.93</v>
      </c>
      <c r="E31" s="6">
        <f>SUM(E24:E30)</f>
        <v>0.55000000000000004</v>
      </c>
      <c r="F31" s="6">
        <f>SUM(F24:F30)</f>
        <v>22.2</v>
      </c>
      <c r="G31" s="6">
        <f>SUM(G24:G30)</f>
        <v>59344.56</v>
      </c>
      <c r="H31" s="6">
        <f>SUM(H24:H30)</f>
        <v>24613.9</v>
      </c>
      <c r="I31" s="6"/>
      <c r="L31" s="5">
        <f>SUM(L24:L30)</f>
        <v>39.61</v>
      </c>
      <c r="M31" s="5">
        <f>SUM(M24:M30)</f>
        <v>0.71000000000000008</v>
      </c>
      <c r="N31" s="5">
        <f>SUM(N24:N30)</f>
        <v>0</v>
      </c>
      <c r="O31" s="5">
        <f>SUM(O24:O30)</f>
        <v>418071.51999999996</v>
      </c>
      <c r="P31" s="5">
        <f>SUM(P24:P30)</f>
        <v>66066.66</v>
      </c>
      <c r="T31" s="1" t="s">
        <v>12</v>
      </c>
      <c r="U31" s="2">
        <v>0</v>
      </c>
      <c r="V31" s="2">
        <v>0</v>
      </c>
      <c r="W31" s="2">
        <v>2.88</v>
      </c>
      <c r="X31" s="2">
        <v>8356.48</v>
      </c>
      <c r="Y31" s="2">
        <v>3353.36</v>
      </c>
    </row>
    <row r="32" spans="3:25" ht="15">
      <c r="C32" s="1" t="s">
        <v>47</v>
      </c>
      <c r="D32" s="6">
        <f>D31*'מחירי דלקים '!$D$6/1000</f>
        <v>129.25012975000001</v>
      </c>
      <c r="E32" s="6">
        <f>E31*'מחירי דלקים '!$D$6/1000</f>
        <v>4.7613912500000009</v>
      </c>
      <c r="F32" s="6"/>
      <c r="G32" s="6">
        <f>G31*'מחירי דלקים '!$D$5/1000</f>
        <v>68877.912203866479</v>
      </c>
      <c r="H32" s="6">
        <f>H31*'מחירי דלקים '!$D$4/1000</f>
        <v>15730.689823243341</v>
      </c>
      <c r="I32" s="6">
        <f>SUM(D32:H32)</f>
        <v>84742.613548109817</v>
      </c>
      <c r="M32" s="5"/>
      <c r="N32" s="5"/>
      <c r="O32" s="5"/>
      <c r="P32" s="5"/>
      <c r="Q32" s="5"/>
    </row>
    <row r="33" spans="3:17" ht="15">
      <c r="C33" s="1" t="s">
        <v>48</v>
      </c>
      <c r="D33" s="6">
        <f>D32</f>
        <v>129.25012975000001</v>
      </c>
      <c r="E33" s="6">
        <f>E32</f>
        <v>4.7613912500000009</v>
      </c>
      <c r="F33" s="6">
        <f>F32</f>
        <v>0</v>
      </c>
      <c r="G33" s="6">
        <f>G32</f>
        <v>68877.912203866479</v>
      </c>
      <c r="H33" s="6">
        <f>H31*'מחירי דלקים '!$E$4/1000</f>
        <v>10017.857300000001</v>
      </c>
      <c r="I33" s="6">
        <f>SUM(D33:H33)</f>
        <v>79029.781024866475</v>
      </c>
      <c r="M33" s="5"/>
      <c r="N33" s="5"/>
      <c r="O33" s="5"/>
      <c r="P33" s="5"/>
      <c r="Q33" s="5"/>
    </row>
    <row r="34" spans="3:17" ht="15">
      <c r="C34" s="1" t="s">
        <v>51</v>
      </c>
      <c r="D34" s="6">
        <f>D33</f>
        <v>129.25012975000001</v>
      </c>
      <c r="E34" s="6"/>
      <c r="F34" s="6"/>
      <c r="G34" s="6">
        <f>G32+(G31-$G$31)*('מחירי דלקים '!$D$7-'מחירי דלקים '!$D$5)/1000</f>
        <v>68877.912203866479</v>
      </c>
      <c r="H34" s="6">
        <f>H33</f>
        <v>10017.857300000001</v>
      </c>
      <c r="I34" s="6">
        <f>SUM(D34:H34)</f>
        <v>79025.019633616481</v>
      </c>
      <c r="M34" s="5"/>
      <c r="N34" s="5"/>
      <c r="O34" s="5"/>
      <c r="P34" s="5"/>
      <c r="Q34" s="5"/>
    </row>
    <row r="35" spans="3:17" ht="15">
      <c r="C35" s="12" t="s">
        <v>22</v>
      </c>
      <c r="D35" s="6"/>
      <c r="E35" s="6"/>
      <c r="F35" s="6"/>
      <c r="G35" s="6"/>
      <c r="H35" s="6"/>
      <c r="I35" s="6"/>
    </row>
    <row r="36" spans="3:17">
      <c r="D36" s="6"/>
      <c r="E36" s="6"/>
      <c r="F36" s="6"/>
      <c r="G36" s="6"/>
      <c r="H36" s="6"/>
      <c r="I36" s="6"/>
    </row>
    <row r="37" spans="3:17">
      <c r="C37" t="s">
        <v>4</v>
      </c>
      <c r="D37" s="6"/>
      <c r="E37" s="6"/>
      <c r="F37" s="6"/>
      <c r="G37" s="6"/>
      <c r="H37" s="6"/>
      <c r="I37" s="6"/>
      <c r="L37" t="s">
        <v>4</v>
      </c>
    </row>
    <row r="38" spans="3:17" ht="45">
      <c r="C38" s="1"/>
      <c r="D38" s="11" t="s">
        <v>14</v>
      </c>
      <c r="E38" s="11" t="s">
        <v>15</v>
      </c>
      <c r="F38" s="11" t="s">
        <v>5</v>
      </c>
      <c r="G38" s="11" t="s">
        <v>2</v>
      </c>
      <c r="H38" s="11" t="s">
        <v>0</v>
      </c>
      <c r="I38" s="6"/>
      <c r="L38" s="1"/>
      <c r="M38" s="1" t="s">
        <v>14</v>
      </c>
      <c r="N38" s="1" t="s">
        <v>15</v>
      </c>
      <c r="O38" s="1" t="s">
        <v>5</v>
      </c>
      <c r="P38" s="1" t="s">
        <v>2</v>
      </c>
      <c r="Q38" s="1" t="s">
        <v>0</v>
      </c>
    </row>
    <row r="39" spans="3:17" ht="15">
      <c r="C39" s="1" t="s">
        <v>6</v>
      </c>
      <c r="D39" s="3">
        <v>1.73</v>
      </c>
      <c r="E39" s="3">
        <v>0</v>
      </c>
      <c r="F39" s="3">
        <v>1.45</v>
      </c>
      <c r="G39" s="3">
        <v>8991.39</v>
      </c>
      <c r="H39" s="3">
        <v>2190.19</v>
      </c>
      <c r="I39" s="6"/>
      <c r="K39" s="1" t="s">
        <v>6</v>
      </c>
      <c r="L39" s="3">
        <v>1.5</v>
      </c>
      <c r="M39" s="3">
        <v>0</v>
      </c>
      <c r="N39" s="3">
        <v>0</v>
      </c>
      <c r="O39" s="3">
        <v>63248.95</v>
      </c>
      <c r="P39" s="3">
        <v>5831.92</v>
      </c>
    </row>
    <row r="40" spans="3:17" ht="15">
      <c r="C40" s="1" t="s">
        <v>7</v>
      </c>
      <c r="D40" s="3">
        <v>5.89</v>
      </c>
      <c r="E40" s="3">
        <v>0.22</v>
      </c>
      <c r="F40" s="3">
        <v>2.6</v>
      </c>
      <c r="G40" s="3">
        <v>9312.0499999999993</v>
      </c>
      <c r="H40" s="3">
        <v>1280.06</v>
      </c>
      <c r="I40" s="6"/>
      <c r="K40" s="1" t="s">
        <v>7</v>
      </c>
      <c r="L40" s="3">
        <v>16.2</v>
      </c>
      <c r="M40" s="3">
        <v>0.28000000000000003</v>
      </c>
      <c r="N40" s="3">
        <v>0</v>
      </c>
      <c r="O40" s="3">
        <v>65615.179999999993</v>
      </c>
      <c r="P40" s="3">
        <v>3441.64</v>
      </c>
    </row>
    <row r="41" spans="3:17" ht="15">
      <c r="C41" s="1" t="s">
        <v>8</v>
      </c>
      <c r="D41" s="3">
        <v>5.09</v>
      </c>
      <c r="E41" s="3">
        <v>0.04</v>
      </c>
      <c r="F41" s="3">
        <v>3.16</v>
      </c>
      <c r="G41" s="3">
        <v>9436.83</v>
      </c>
      <c r="H41" s="3">
        <v>1243.8599999999999</v>
      </c>
      <c r="I41" s="6"/>
      <c r="K41" s="1" t="s">
        <v>8</v>
      </c>
      <c r="L41" s="3">
        <v>13.76</v>
      </c>
      <c r="M41" s="3">
        <v>0.04</v>
      </c>
      <c r="N41" s="3">
        <v>0</v>
      </c>
      <c r="O41" s="3">
        <v>66007.3</v>
      </c>
      <c r="P41" s="3">
        <v>3341.7</v>
      </c>
    </row>
    <row r="42" spans="3:17" ht="15">
      <c r="C42" s="1" t="s">
        <v>9</v>
      </c>
      <c r="D42" s="3">
        <v>7.66</v>
      </c>
      <c r="E42" s="3">
        <v>0.25</v>
      </c>
      <c r="F42" s="3">
        <v>3.16</v>
      </c>
      <c r="G42" s="3">
        <v>9417.16</v>
      </c>
      <c r="H42" s="3">
        <v>1245.7</v>
      </c>
      <c r="I42" s="6"/>
      <c r="K42" s="1" t="s">
        <v>9</v>
      </c>
      <c r="L42" s="3">
        <v>22.44</v>
      </c>
      <c r="M42" s="3">
        <v>0.32</v>
      </c>
      <c r="N42" s="3">
        <v>0</v>
      </c>
      <c r="O42" s="3">
        <v>66136.06</v>
      </c>
      <c r="P42" s="3">
        <v>3346.89</v>
      </c>
    </row>
    <row r="43" spans="3:17" ht="15">
      <c r="C43" s="1" t="s">
        <v>10</v>
      </c>
      <c r="D43" s="3">
        <v>5.35</v>
      </c>
      <c r="E43" s="3">
        <v>0.2</v>
      </c>
      <c r="F43" s="3">
        <v>2.88</v>
      </c>
      <c r="G43" s="3">
        <v>9410.61</v>
      </c>
      <c r="H43" s="3">
        <v>1274.31</v>
      </c>
      <c r="I43" s="6"/>
      <c r="K43" s="1" t="s">
        <v>10</v>
      </c>
      <c r="L43" s="3">
        <v>14.9</v>
      </c>
      <c r="M43" s="3">
        <v>0.27</v>
      </c>
      <c r="N43" s="3">
        <v>0</v>
      </c>
      <c r="O43" s="3">
        <v>65958.11</v>
      </c>
      <c r="P43" s="3">
        <v>3422.58</v>
      </c>
    </row>
    <row r="44" spans="3:17" ht="15">
      <c r="C44" s="1" t="s">
        <v>11</v>
      </c>
      <c r="D44" s="3">
        <v>8.64</v>
      </c>
      <c r="E44" s="3">
        <v>0.25</v>
      </c>
      <c r="F44" s="3">
        <v>0.57999999999999996</v>
      </c>
      <c r="G44" s="3">
        <v>9550.7000000000007</v>
      </c>
      <c r="H44" s="3">
        <v>314.33999999999997</v>
      </c>
      <c r="I44" s="6"/>
      <c r="K44" s="1" t="s">
        <v>11</v>
      </c>
      <c r="L44" s="3">
        <v>23.88</v>
      </c>
      <c r="M44" s="3">
        <v>0.33</v>
      </c>
      <c r="N44" s="3">
        <v>0</v>
      </c>
      <c r="O44" s="3">
        <v>68206.149999999994</v>
      </c>
      <c r="P44" s="3">
        <v>869.42</v>
      </c>
    </row>
    <row r="45" spans="3:17" ht="15">
      <c r="C45" s="1" t="s">
        <v>12</v>
      </c>
      <c r="D45" s="3">
        <v>6</v>
      </c>
      <c r="E45" s="3">
        <v>7.0000000000000007E-2</v>
      </c>
      <c r="F45" s="3">
        <v>0.86</v>
      </c>
      <c r="G45" s="3">
        <v>9417.14</v>
      </c>
      <c r="H45" s="3">
        <v>294.7</v>
      </c>
      <c r="I45" s="6"/>
      <c r="K45" s="1" t="s">
        <v>12</v>
      </c>
      <c r="L45" s="3">
        <v>17.18</v>
      </c>
      <c r="M45" s="3">
        <v>0.1</v>
      </c>
      <c r="N45" s="3">
        <v>0</v>
      </c>
      <c r="O45" s="3">
        <v>67625.100000000006</v>
      </c>
      <c r="P45" s="3">
        <v>814.85</v>
      </c>
    </row>
    <row r="46" spans="3:17" ht="15">
      <c r="C46" s="1" t="s">
        <v>46</v>
      </c>
      <c r="D46" s="6">
        <f>SUM(D39:D45)</f>
        <v>40.36</v>
      </c>
      <c r="E46" s="6">
        <f>SUM(E39:E45)</f>
        <v>1.03</v>
      </c>
      <c r="F46" s="6">
        <f>SUM(F39:F45)</f>
        <v>14.69</v>
      </c>
      <c r="G46" s="6">
        <f>SUM(G39:G45)</f>
        <v>65535.87999999999</v>
      </c>
      <c r="H46" s="6">
        <f>SUM(H39:H45)</f>
        <v>7843.1599999999989</v>
      </c>
      <c r="I46" s="6"/>
      <c r="L46" s="6">
        <f>SUM(L39:L45)</f>
        <v>109.86000000000001</v>
      </c>
      <c r="M46" s="6">
        <f>SUM(M39:M45)</f>
        <v>1.34</v>
      </c>
      <c r="N46" s="6">
        <f>SUM(N39:N45)</f>
        <v>0</v>
      </c>
      <c r="O46" s="6">
        <f>SUM(O39:O45)</f>
        <v>462796.85</v>
      </c>
      <c r="P46" s="6">
        <f>SUM(P39:P45)</f>
        <v>21068.999999999993</v>
      </c>
      <c r="Q46" s="7">
        <f>P46/P31</f>
        <v>0.31890517849699063</v>
      </c>
    </row>
    <row r="47" spans="3:17" ht="15">
      <c r="C47" s="1" t="s">
        <v>47</v>
      </c>
      <c r="D47" s="6">
        <f>D46*'מחירי דלקים '!$D$6/1000</f>
        <v>349.39954700000004</v>
      </c>
      <c r="E47" s="6">
        <f>E46*'מחירי דלקים '!$D$6/1000</f>
        <v>8.9167872500000005</v>
      </c>
      <c r="F47" s="6"/>
      <c r="G47" s="6">
        <f>G46*'מחירי דלקים '!$D$5/1000</f>
        <v>76063.831105043646</v>
      </c>
      <c r="H47" s="6">
        <f>H46*'מחירי דלקים '!$D$4/1000</f>
        <v>5012.5464552171425</v>
      </c>
      <c r="I47" s="6">
        <f>SUM(D47:H47)</f>
        <v>81434.693894510798</v>
      </c>
      <c r="L47" s="6"/>
      <c r="M47" s="6"/>
      <c r="N47" s="6"/>
      <c r="O47" s="6"/>
      <c r="P47" s="6"/>
    </row>
    <row r="48" spans="3:17" ht="15">
      <c r="C48" s="1" t="s">
        <v>48</v>
      </c>
      <c r="D48" s="6">
        <f>D47</f>
        <v>349.39954700000004</v>
      </c>
      <c r="E48" s="6">
        <f>E47</f>
        <v>8.9167872500000005</v>
      </c>
      <c r="F48" s="6">
        <f>F47</f>
        <v>0</v>
      </c>
      <c r="G48" s="6">
        <f>G47</f>
        <v>76063.831105043646</v>
      </c>
      <c r="H48" s="6">
        <f>H46*'מחירי דלקים '!$E$4/1000</f>
        <v>3192.1661199999999</v>
      </c>
      <c r="I48" s="6">
        <f>SUM(D48:H48)</f>
        <v>79614.313559293645</v>
      </c>
    </row>
    <row r="49" spans="2:9" ht="15">
      <c r="C49" s="1" t="s">
        <v>51</v>
      </c>
      <c r="D49" s="6">
        <f>D48</f>
        <v>349.39954700000004</v>
      </c>
      <c r="E49" s="6"/>
      <c r="F49" s="6"/>
      <c r="G49" s="6">
        <f>G47+(G46-$G$31)*('מחירי דלקים '!$D$7-'מחירי דלקים '!$D$5)/1000</f>
        <v>79257.57283890016</v>
      </c>
      <c r="H49" s="6">
        <f>H48</f>
        <v>3192.1661199999999</v>
      </c>
      <c r="I49" s="6">
        <f>SUM(D49:H49)</f>
        <v>82799.138505900148</v>
      </c>
    </row>
    <row r="60" spans="2:9" ht="90">
      <c r="C60" s="1" t="s">
        <v>52</v>
      </c>
      <c r="D60" s="1" t="s">
        <v>53</v>
      </c>
      <c r="E60" s="1" t="s">
        <v>51</v>
      </c>
    </row>
    <row r="61" spans="2:9" ht="30">
      <c r="B61" s="1" t="s">
        <v>55</v>
      </c>
      <c r="C61" s="5">
        <f>+I16</f>
        <v>82769.327430927558</v>
      </c>
      <c r="D61" s="5">
        <f>+I17</f>
        <v>82116.91438574229</v>
      </c>
      <c r="E61" s="5">
        <f>+I18</f>
        <v>87351.087126353756</v>
      </c>
    </row>
    <row r="62" spans="2:9" ht="15">
      <c r="B62" s="1" t="s">
        <v>56</v>
      </c>
      <c r="C62" s="5">
        <f>+I32</f>
        <v>84742.613548109817</v>
      </c>
      <c r="D62" s="5">
        <f>+I33</f>
        <v>79029.781024866475</v>
      </c>
      <c r="E62" s="5">
        <f>+I34</f>
        <v>79025.019633616481</v>
      </c>
    </row>
    <row r="63" spans="2:9" ht="15">
      <c r="B63" s="1" t="s">
        <v>57</v>
      </c>
      <c r="C63" s="5">
        <f>+I47</f>
        <v>81434.693894510798</v>
      </c>
      <c r="D63" s="5">
        <f>+I48</f>
        <v>79614.313559293645</v>
      </c>
      <c r="E63" s="5">
        <f>+I49</f>
        <v>82799.138505900148</v>
      </c>
    </row>
  </sheetData>
  <mergeCells count="3">
    <mergeCell ref="C5:C7"/>
    <mergeCell ref="D7:F7"/>
    <mergeCell ref="L7:N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R110"/>
  <sheetViews>
    <sheetView rightToLeft="1" topLeftCell="D79" workbookViewId="0">
      <selection activeCell="E94" sqref="E94"/>
    </sheetView>
  </sheetViews>
  <sheetFormatPr defaultRowHeight="14.25"/>
  <cols>
    <col min="3" max="3" width="15.625" customWidth="1"/>
    <col min="4" max="4" width="70.375" customWidth="1"/>
    <col min="5" max="5" width="26.125" customWidth="1"/>
    <col min="6" max="6" width="24" customWidth="1"/>
    <col min="7" max="7" width="21.375" customWidth="1"/>
    <col min="8" max="8" width="15.125" customWidth="1"/>
    <col min="9" max="9" width="14.875" customWidth="1"/>
    <col min="10" max="10" width="16.5" customWidth="1"/>
  </cols>
  <sheetData>
    <row r="6" spans="2:18" ht="15" thickBot="1">
      <c r="D6" t="s">
        <v>42</v>
      </c>
    </row>
    <row r="7" spans="2:18" ht="75.75" thickBot="1">
      <c r="C7" s="43" t="s">
        <v>43</v>
      </c>
      <c r="D7" s="44" t="s">
        <v>44</v>
      </c>
      <c r="E7" s="45" t="s">
        <v>220</v>
      </c>
      <c r="F7" s="45" t="s">
        <v>219</v>
      </c>
      <c r="G7" s="46" t="s">
        <v>281</v>
      </c>
      <c r="H7" s="45" t="s">
        <v>284</v>
      </c>
      <c r="I7" s="46" t="s">
        <v>282</v>
      </c>
      <c r="J7" s="46" t="s">
        <v>225</v>
      </c>
      <c r="K7" s="46" t="s">
        <v>226</v>
      </c>
      <c r="L7" s="46" t="s">
        <v>283</v>
      </c>
    </row>
    <row r="8" spans="2:18" ht="24" customHeight="1">
      <c r="C8" s="249" t="s">
        <v>222</v>
      </c>
      <c r="D8" s="37" t="s">
        <v>218</v>
      </c>
      <c r="E8" s="47">
        <f>E35</f>
        <v>7713.66</v>
      </c>
      <c r="F8" s="47">
        <f>H35</f>
        <v>101.1849346634</v>
      </c>
      <c r="G8" s="47">
        <f>+' חלופה 1 20% מתחדש -תמג 3 '!H26</f>
        <v>74621.409952607879</v>
      </c>
      <c r="H8" s="47">
        <f>+'עליות הון ותפעול'!I68/1000</f>
        <v>1753.3219788794638</v>
      </c>
      <c r="I8" s="48">
        <f>+'עליות הון ותפעול'!H8</f>
        <v>1282.0901476609426</v>
      </c>
      <c r="J8" s="48">
        <f>+[2]גיליון1!$M$15</f>
        <v>9208.8553588808718</v>
      </c>
      <c r="K8" s="48">
        <f>+[2]גיליון1!$R$15</f>
        <v>32263.465620086681</v>
      </c>
      <c r="L8" s="48">
        <f>SUM(G8:K8)</f>
        <v>119129.14305811585</v>
      </c>
    </row>
    <row r="9" spans="2:18" ht="24" customHeight="1" thickBot="1">
      <c r="C9" s="250"/>
      <c r="D9" s="38" t="s">
        <v>221</v>
      </c>
      <c r="E9" s="49">
        <f>F35</f>
        <v>16573.62</v>
      </c>
      <c r="F9" s="49">
        <f>I35</f>
        <v>98.423061654679998</v>
      </c>
      <c r="G9" s="161">
        <f>+' חלופה 1 20% מתחדש -תמג 3 '!H44</f>
        <v>72914.912045058707</v>
      </c>
      <c r="H9" s="49">
        <f>+'עליות הון ותפעול'!I79/1000+'עלויות חירום'!D13/1000</f>
        <v>2140.124573803545</v>
      </c>
      <c r="I9" s="50">
        <f>+'עליות הון ותפעול'!H13</f>
        <v>394.760791139324</v>
      </c>
      <c r="J9" s="50">
        <f>+[2]גיליון1!$N$15</f>
        <v>9520.7204054164704</v>
      </c>
      <c r="K9" s="50">
        <f>+[2]גיליון1!$S$15</f>
        <v>32744.270176854261</v>
      </c>
      <c r="L9" s="50">
        <f t="shared" ref="L9:L13" si="0">SUM(G9:K9)</f>
        <v>117714.78799227232</v>
      </c>
      <c r="N9" s="5"/>
      <c r="O9" s="5"/>
      <c r="P9" s="5">
        <f>G9-G8</f>
        <v>-1706.4979075491719</v>
      </c>
      <c r="Q9" s="5">
        <f>H9-H8</f>
        <v>386.80259492408118</v>
      </c>
      <c r="R9" s="5">
        <f>I9-I8</f>
        <v>-887.32935652161859</v>
      </c>
    </row>
    <row r="10" spans="2:18" ht="24" customHeight="1">
      <c r="C10" s="251" t="s">
        <v>223</v>
      </c>
      <c r="D10" s="39" t="s">
        <v>218</v>
      </c>
      <c r="E10" s="51">
        <f>'ריכוז תוצאות'!E47</f>
        <v>7704.58</v>
      </c>
      <c r="F10" s="51">
        <f>H47</f>
        <v>100.77698887368</v>
      </c>
      <c r="G10" s="51">
        <f>+' חלופה 2 20% תמג 3'!H20</f>
        <v>74282.616307200573</v>
      </c>
      <c r="H10" s="51">
        <f>+H8</f>
        <v>1753.3219788794638</v>
      </c>
      <c r="I10" s="52">
        <f>+I8</f>
        <v>1282.0901476609426</v>
      </c>
      <c r="J10" s="52">
        <f>+[2]גיליון1!$O$15</f>
        <v>9212.7534169269074</v>
      </c>
      <c r="K10" s="52">
        <f>+[2]גיליון1!$T$15</f>
        <v>32147.982305865418</v>
      </c>
      <c r="L10" s="52">
        <f t="shared" si="0"/>
        <v>118678.7641565333</v>
      </c>
    </row>
    <row r="11" spans="2:18" ht="24" customHeight="1" thickBot="1">
      <c r="B11" s="13"/>
      <c r="C11" s="252"/>
      <c r="D11" s="40" t="s">
        <v>221</v>
      </c>
      <c r="E11" s="53">
        <f>F47</f>
        <v>13138.130000000001</v>
      </c>
      <c r="F11" s="53">
        <f>I47</f>
        <v>98.510943554519997</v>
      </c>
      <c r="G11" s="53">
        <f>+' חלופה 2 20% תמג 3'!H38</f>
        <v>72481.13496965509</v>
      </c>
      <c r="H11" s="53">
        <f>+'עליות הון ותפעול'!I91/1000+'עלויות חירום'!D13/1000</f>
        <v>2109.5784645628191</v>
      </c>
      <c r="I11" s="54">
        <f>+'עליות הון ותפעול'!J13</f>
        <v>405.1455067218829</v>
      </c>
      <c r="J11" s="54">
        <f>+[2]גיליון1!$P$15</f>
        <v>9488.233889767107</v>
      </c>
      <c r="K11" s="54">
        <f>+[2]גיליון1!$U$15</f>
        <v>32261.11598071854</v>
      </c>
      <c r="L11" s="54">
        <f t="shared" si="0"/>
        <v>116745.20881142543</v>
      </c>
      <c r="N11" s="5"/>
      <c r="O11" s="5"/>
      <c r="P11" s="5">
        <f>G11-G10</f>
        <v>-1801.4813375454833</v>
      </c>
      <c r="Q11" s="5">
        <f>H11-H10</f>
        <v>356.25648568335532</v>
      </c>
      <c r="R11" s="5">
        <f>I11-I10</f>
        <v>-876.94464093905981</v>
      </c>
    </row>
    <row r="12" spans="2:18" ht="24" customHeight="1">
      <c r="C12" s="253" t="s">
        <v>224</v>
      </c>
      <c r="D12" s="41" t="s">
        <v>222</v>
      </c>
      <c r="E12" s="55">
        <f t="shared" ref="E12:I12" si="1">+E8-E9</f>
        <v>-8859.9599999999991</v>
      </c>
      <c r="F12" s="55">
        <f t="shared" si="1"/>
        <v>2.7618730087200021</v>
      </c>
      <c r="G12" s="55">
        <f>+G8-G9</f>
        <v>1706.4979075491719</v>
      </c>
      <c r="H12" s="55">
        <f t="shared" si="1"/>
        <v>-386.80259492408118</v>
      </c>
      <c r="I12" s="55">
        <f t="shared" si="1"/>
        <v>887.32935652161859</v>
      </c>
      <c r="J12" s="55">
        <f>+J8-J9</f>
        <v>-311.86504653559859</v>
      </c>
      <c r="K12" s="55">
        <f>+K8-K9</f>
        <v>-480.80455676757992</v>
      </c>
      <c r="L12" s="55">
        <f t="shared" si="0"/>
        <v>1414.3550658435306</v>
      </c>
    </row>
    <row r="13" spans="2:18" ht="24" customHeight="1" thickBot="1">
      <c r="C13" s="254"/>
      <c r="D13" s="42" t="s">
        <v>223</v>
      </c>
      <c r="E13" s="56">
        <f t="shared" ref="E13:J13" si="2">+E10-E11</f>
        <v>-5433.5500000000011</v>
      </c>
      <c r="F13" s="56">
        <f t="shared" si="2"/>
        <v>2.2660453191599998</v>
      </c>
      <c r="G13" s="56">
        <f t="shared" si="2"/>
        <v>1801.4813375454833</v>
      </c>
      <c r="H13" s="56">
        <f t="shared" si="2"/>
        <v>-356.25648568335532</v>
      </c>
      <c r="I13" s="56">
        <f t="shared" si="2"/>
        <v>876.94464093905981</v>
      </c>
      <c r="J13" s="56">
        <f t="shared" si="2"/>
        <v>-275.48047284019958</v>
      </c>
      <c r="K13" s="56">
        <f t="shared" ref="K13" si="3">+K10-K11</f>
        <v>-113.13367485312119</v>
      </c>
      <c r="L13" s="56">
        <f t="shared" si="0"/>
        <v>1933.5553451078667</v>
      </c>
    </row>
    <row r="14" spans="2:18">
      <c r="G14" s="5"/>
    </row>
    <row r="16" spans="2:18">
      <c r="D16" s="18"/>
      <c r="E16" s="248" t="s">
        <v>175</v>
      </c>
      <c r="F16" s="248"/>
      <c r="G16" s="248"/>
      <c r="H16" s="255" t="s">
        <v>176</v>
      </c>
      <c r="I16" s="255"/>
      <c r="J16" s="255"/>
    </row>
    <row r="17" spans="4:10" ht="15">
      <c r="D17" s="18"/>
      <c r="E17" s="19" t="s">
        <v>55</v>
      </c>
      <c r="F17" s="19" t="s">
        <v>56</v>
      </c>
      <c r="G17" s="19" t="s">
        <v>57</v>
      </c>
      <c r="H17" s="20" t="s">
        <v>55</v>
      </c>
      <c r="I17" s="20" t="s">
        <v>56</v>
      </c>
      <c r="J17" s="20" t="s">
        <v>57</v>
      </c>
    </row>
    <row r="18" spans="4:10">
      <c r="D18" s="18" t="s">
        <v>167</v>
      </c>
      <c r="E18" s="17">
        <f>'סיכום תרחישים חלופה 30% מתחדש'!P15</f>
        <v>7413.32</v>
      </c>
      <c r="F18" s="17">
        <f>'סיכום תרחישים חלופה 30% מתחדש'!P30</f>
        <v>65935.839999999997</v>
      </c>
      <c r="G18" s="17">
        <f>'סיכום תרחישים חלופה 30% מתחדש'!P45</f>
        <v>15153.489999999998</v>
      </c>
      <c r="H18" s="21">
        <f>'תרחישים חלופה 30% 3.5 תמג'!P15</f>
        <v>7425.01</v>
      </c>
      <c r="I18" s="21">
        <f>'תרחישים חלופה 30% 3.5 תמג'!P31</f>
        <v>66066.66</v>
      </c>
      <c r="J18" s="21">
        <f>'תרחישים חלופה 30% 3.5 תמג'!P46</f>
        <v>21068.999999999993</v>
      </c>
    </row>
    <row r="19" spans="4:10">
      <c r="D19" s="18" t="s">
        <v>161</v>
      </c>
      <c r="E19" s="17">
        <f>'מספר שעות הפעלה 30% -3%'!D106</f>
        <v>16776</v>
      </c>
      <c r="F19" s="17">
        <f>'מספר שעות הפעלה 30% -3%'!E106</f>
        <v>201336</v>
      </c>
      <c r="G19" s="17">
        <f>'מספר שעות הפעלה 30% -3%'!F106</f>
        <v>40440</v>
      </c>
      <c r="H19" s="21">
        <f>'שעות הפעלה והתנעות 30% 3.5%'!D113</f>
        <v>18960</v>
      </c>
      <c r="I19" s="21">
        <f>'שעות הפעלה והתנעות 30% 3.5%'!E113</f>
        <v>217056</v>
      </c>
      <c r="J19" s="21">
        <f>'שעות הפעלה והתנעות 30% 3.5%'!F113</f>
        <v>64392</v>
      </c>
    </row>
    <row r="20" spans="4:10">
      <c r="D20" s="18" t="s">
        <v>162</v>
      </c>
      <c r="E20" s="22">
        <f>'מספר שעות הפעלה 30% -3%'!I106</f>
        <v>11</v>
      </c>
      <c r="F20" s="22">
        <f>'מספר שעות הפעלה 30% -3%'!J106</f>
        <v>138</v>
      </c>
      <c r="G20" s="22">
        <f>'מספר שעות הפעלה 30% -3%'!K106</f>
        <v>130</v>
      </c>
      <c r="H20" s="23">
        <f>'שעות הפעלה והתנעות 30% 3.5%'!I113</f>
        <v>11</v>
      </c>
      <c r="I20" s="23">
        <f>'שעות הפעלה והתנעות 30% 3.5%'!J113</f>
        <v>130</v>
      </c>
      <c r="J20" s="23">
        <f>'שעות הפעלה והתנעות 30% 3.5%'!K113</f>
        <v>103</v>
      </c>
    </row>
    <row r="21" spans="4:10">
      <c r="D21" s="18" t="s">
        <v>166</v>
      </c>
      <c r="E21" s="17">
        <f>('סיכום תרחישים חלופה 30% מתחדש'!G15*'סיכום תרחישים חלופה 30% מתחדש'!T5)/1000000</f>
        <v>3558.5167598199996</v>
      </c>
      <c r="F21" s="17">
        <f>('סיכום תרחישים חלופה 30% מתחדש'!G30*'סיכום תרחישים חלופה 30% מתחדש'!T5)/1000000</f>
        <v>3026.4656266399998</v>
      </c>
      <c r="G21" s="17">
        <f>('סיכום תרחישים חלופה 30% מתחדש'!$G$45*'סיכום תרחישים חלופה 30% מתחדש'!T5)/1000000</f>
        <v>3391.5464390399998</v>
      </c>
      <c r="H21" s="21">
        <f>(('תרחישים חלופה 30% 3.5 תמג'!$G$15*'תרחישים חלופה 30% 3.5 תמג'!T4)/1000)/1000</f>
        <v>3643.72447427</v>
      </c>
      <c r="I21" s="21">
        <f>(('סיכום תרחישים חלופה 30% מתחדש'!$G$30*'תרחישים חלופה 30% 3.5 תמג'!T4)/1000)/1000</f>
        <v>3026.4656266399998</v>
      </c>
      <c r="J21" s="21">
        <f>(('תרחישים חלופה 30% 3.5 תמג'!$G$46*'תרחישים חלופה 30% 3.5 תמג'!T4)/1000)/1000</f>
        <v>3435.4563654799995</v>
      </c>
    </row>
    <row r="22" spans="4:10">
      <c r="D22" s="18" t="s">
        <v>165</v>
      </c>
      <c r="E22" s="17">
        <f>'סיכום תרחישים חלופה 30% מתחדש'!G15*'סיכום תרחישים חלופה 30% מתחדש'!T8</f>
        <v>99.638469274960002</v>
      </c>
      <c r="F22" s="17">
        <f>'סיכום תרחישים חלופה 30% מתחדש'!G30*'סיכום תרחישים חלופה 30% מתחדש'!T8</f>
        <v>84.741037545919994</v>
      </c>
      <c r="G22" s="17">
        <f>'סיכום תרחישים חלופה 30% מתחדש'!$G$45*'סיכום תרחישים חלופה 30% מתחדש'!T8</f>
        <v>94.96330029312</v>
      </c>
      <c r="H22" s="24">
        <f>'תרחישים חלופה 30% 3.5 תמג'!$G$15*'תרחישים חלופה 30% 3.5 תמג'!T5</f>
        <v>102.02428527955999</v>
      </c>
      <c r="I22" s="24">
        <f>'סיכום תרחישים חלופה 30% מתחדש'!$G$30*'תרחישים חלופה 30% 3.5 תמג'!T5</f>
        <v>84.741037545919994</v>
      </c>
      <c r="J22" s="24">
        <f>'תרחישים חלופה 30% 3.5 תמג'!$G$46*'תרחישים חלופה 30% 3.5 תמג'!T5</f>
        <v>96.192778233439981</v>
      </c>
    </row>
    <row r="25" spans="4:10" ht="15">
      <c r="D25" s="4" t="s">
        <v>197</v>
      </c>
      <c r="E25" s="4"/>
      <c r="F25" s="4"/>
    </row>
    <row r="26" spans="4:10">
      <c r="D26" s="18"/>
      <c r="E26" s="248" t="s">
        <v>196</v>
      </c>
      <c r="F26" s="248"/>
      <c r="G26" s="248"/>
      <c r="H26" s="248" t="s">
        <v>177</v>
      </c>
      <c r="I26" s="248"/>
      <c r="J26" s="248"/>
    </row>
    <row r="27" spans="4:10" ht="15">
      <c r="D27" s="18"/>
      <c r="E27" s="19" t="s">
        <v>55</v>
      </c>
      <c r="F27" s="19" t="s">
        <v>56</v>
      </c>
      <c r="G27" s="19"/>
      <c r="H27" s="19" t="s">
        <v>55</v>
      </c>
      <c r="I27" s="19" t="s">
        <v>56</v>
      </c>
      <c r="J27" s="19"/>
    </row>
    <row r="28" spans="4:10">
      <c r="D28" s="18">
        <v>2024</v>
      </c>
      <c r="E28" s="25">
        <f>'פלט שנתי לאחר תיקון אגירה'!H7</f>
        <v>5601.97</v>
      </c>
      <c r="F28" s="25">
        <f>+'פלט שנתי לאחר תיקון אגירה'!AT14</f>
        <v>4727.7299999999996</v>
      </c>
      <c r="G28" s="25"/>
      <c r="H28" s="26">
        <f>' חלופה 1 20% מתחדש -תמג 3 '!F8*52.241*28/10^9*1000</f>
        <v>13.148671026960001</v>
      </c>
      <c r="I28" s="26">
        <f>' חלופה 1 20% מתחדש -תמג 3 '!F32*52.241*28/10^9*1000</f>
        <v>13.320222112399998</v>
      </c>
      <c r="J28" s="26"/>
    </row>
    <row r="29" spans="4:10">
      <c r="D29" s="18">
        <f t="shared" ref="D29:D34" si="4">D28+1</f>
        <v>2025</v>
      </c>
      <c r="E29" s="25">
        <f>'פלט שנתי לאחר תיקון אגירה'!H8</f>
        <v>1692.7</v>
      </c>
      <c r="F29" s="25">
        <f>+'פלט שנתי לאחר תיקון אגירה'!AT15</f>
        <v>2581.36</v>
      </c>
      <c r="G29" s="25"/>
      <c r="H29" s="26">
        <f>' חלופה 1 20% מתחדש -תמג 3 '!F9*52.241*28/10^9*1000</f>
        <v>14.041737190880001</v>
      </c>
      <c r="I29" s="26">
        <f>' חלופה 1 20% מתחדש -תמג 3 '!F33*52.241*28/10^9*1000</f>
        <v>13.76141616416</v>
      </c>
      <c r="J29" s="26"/>
    </row>
    <row r="30" spans="4:10">
      <c r="D30" s="18">
        <f t="shared" si="4"/>
        <v>2026</v>
      </c>
      <c r="E30" s="25">
        <f>'פלט שנתי לאחר תיקון אגירה'!H9</f>
        <v>418.99</v>
      </c>
      <c r="F30" s="25">
        <f>+'פלט שנתי לאחר תיקון אגירה'!AT16</f>
        <v>2500.35</v>
      </c>
      <c r="G30" s="25"/>
      <c r="H30" s="26">
        <f>' חלופה 1 20% מתחדש -תמג 3 '!F10*52.241*28/10^9*1000</f>
        <v>14.662220265000002</v>
      </c>
      <c r="I30" s="26">
        <f>' חלופה 1 20% מתחדש -תמג 3 '!F34*52.241*28/10^9*1000</f>
        <v>14.055077452639999</v>
      </c>
      <c r="J30" s="26"/>
    </row>
    <row r="31" spans="4:10">
      <c r="D31" s="18">
        <f t="shared" si="4"/>
        <v>2027</v>
      </c>
      <c r="E31" s="25">
        <f>'פלט שנתי לאחר תיקון אגירה'!H10</f>
        <v>0</v>
      </c>
      <c r="F31" s="25">
        <f>+'פלט שנתי לאחר תיקון אגירה'!AT17</f>
        <v>2492.38</v>
      </c>
      <c r="G31" s="25"/>
      <c r="H31" s="26">
        <f>' חלופה 1 20% מתחדש -תמג 3 '!F11*52.241*28/10^9*1000</f>
        <v>14.894724059600001</v>
      </c>
      <c r="I31" s="26">
        <f>' חלופה 1 20% מתחדש -תמג 3 '!F35*52.241*28/10^9*1000</f>
        <v>14.145680063760002</v>
      </c>
      <c r="J31" s="26"/>
    </row>
    <row r="32" spans="4:10">
      <c r="D32" s="18">
        <f t="shared" si="4"/>
        <v>2028</v>
      </c>
      <c r="E32" s="25">
        <f>'פלט שנתי לאחר תיקון אגירה'!H11</f>
        <v>0</v>
      </c>
      <c r="F32" s="25">
        <f>+'פלט שנתי לאחר תיקון אגירה'!AT18</f>
        <v>2602.91</v>
      </c>
      <c r="G32" s="25"/>
      <c r="H32" s="26">
        <f>' חלופה 1 20% מתחדש -תמג 3 '!F12*52.241*28/10^9*1000</f>
        <v>15.1135511604</v>
      </c>
      <c r="I32" s="26">
        <f>' חלופה 1 20% מתחדש -תמג 3 '!F36*52.241*28/10^9*1000</f>
        <v>14.34603265732</v>
      </c>
      <c r="J32" s="26"/>
    </row>
    <row r="33" spans="4:10">
      <c r="D33" s="18">
        <f t="shared" si="4"/>
        <v>2029</v>
      </c>
      <c r="E33" s="25">
        <f>'פלט שנתי לאחר תיקון אגירה'!H12</f>
        <v>0</v>
      </c>
      <c r="F33" s="25">
        <f>+'פלט שנתי לאחר תיקון אגירה'!AT19</f>
        <v>1668.89</v>
      </c>
      <c r="G33" s="25"/>
      <c r="H33" s="26">
        <f>' חלופה 1 20% מתחדש -תמג 3 '!F13*52.241*28/10^9*1000</f>
        <v>14.7281901998</v>
      </c>
      <c r="I33" s="26">
        <f>' חלופה 1 20% מתחדש -תמג 3 '!F37*52.241*28/10^9*1000</f>
        <v>14.219504955320001</v>
      </c>
      <c r="J33" s="26"/>
    </row>
    <row r="34" spans="4:10">
      <c r="D34" s="18">
        <f t="shared" si="4"/>
        <v>2030</v>
      </c>
      <c r="E34" s="25">
        <f>'פלט שנתי לאחר תיקון אגירה'!H13</f>
        <v>0</v>
      </c>
      <c r="F34" s="25">
        <f>+'פלט שנתי לאחר תיקון אגירה'!AT20</f>
        <v>0</v>
      </c>
      <c r="G34" s="25"/>
      <c r="H34" s="26">
        <f>' חלופה 1 20% מתחדש -תמג 3 '!F14*52.241*28/10^9*1000</f>
        <v>14.59584076076</v>
      </c>
      <c r="I34" s="26">
        <f>' חלופה 1 20% מתחדש -תמג 3 '!F38*52.241*28/10^9*1000</f>
        <v>14.575128249079999</v>
      </c>
      <c r="J34" s="26"/>
    </row>
    <row r="35" spans="4:10">
      <c r="E35" s="5">
        <f>SUM(E28:E34)</f>
        <v>7713.66</v>
      </c>
      <c r="F35" s="5">
        <f>SUM(F28:F34)</f>
        <v>16573.62</v>
      </c>
      <c r="G35" s="5">
        <f>SUM(G28:G34)</f>
        <v>0</v>
      </c>
      <c r="H35" s="5">
        <f>SUM(H28:H34)</f>
        <v>101.1849346634</v>
      </c>
      <c r="I35" s="5">
        <f>SUM(I28:I34)</f>
        <v>98.423061654679998</v>
      </c>
    </row>
    <row r="37" spans="4:10" ht="15">
      <c r="D37" s="4" t="s">
        <v>198</v>
      </c>
      <c r="E37" s="4"/>
      <c r="F37" s="4"/>
    </row>
    <row r="38" spans="4:10">
      <c r="D38" s="18"/>
      <c r="E38" s="248" t="s">
        <v>196</v>
      </c>
      <c r="F38" s="248"/>
      <c r="G38" s="248"/>
      <c r="H38" s="248" t="s">
        <v>177</v>
      </c>
      <c r="I38" s="248"/>
      <c r="J38" s="248"/>
    </row>
    <row r="39" spans="4:10" ht="15">
      <c r="D39" s="18"/>
      <c r="E39" s="19" t="s">
        <v>55</v>
      </c>
      <c r="F39" s="19" t="s">
        <v>56</v>
      </c>
      <c r="G39" s="19"/>
      <c r="H39" s="19" t="s">
        <v>55</v>
      </c>
      <c r="I39" s="19" t="s">
        <v>56</v>
      </c>
      <c r="J39" s="19"/>
    </row>
    <row r="40" spans="4:10">
      <c r="D40" s="18">
        <v>2024</v>
      </c>
      <c r="E40" s="25">
        <f>'פלט שנתי לאחר תיקון אגירה'!AB7</f>
        <v>5593.78</v>
      </c>
      <c r="F40" s="25">
        <f>'פלט שנתי לאחר תיקון אגירה'!AT25</f>
        <v>4726.59</v>
      </c>
      <c r="G40" s="25"/>
      <c r="H40" s="26">
        <f>' חלופה 2 20% תמג 3'!F8*52.241*28/10^9*1000</f>
        <v>13.151128443600001</v>
      </c>
      <c r="I40" s="26">
        <f>' חלופה 2 20% תמג 3'!F26*52.241*28/10^9*1000</f>
        <v>13.321904272600001</v>
      </c>
      <c r="J40" s="26"/>
    </row>
    <row r="41" spans="4:10">
      <c r="D41" s="18">
        <f t="shared" ref="D41:D46" si="5">D40+1</f>
        <v>2025</v>
      </c>
      <c r="E41" s="25">
        <f>'פלט שנתי לאחר תיקון אגירה'!AB8</f>
        <v>1691.82</v>
      </c>
      <c r="F41" s="25">
        <f>'פלט שנתי לאחר תיקון אגירה'!AT26</f>
        <v>2580.66</v>
      </c>
      <c r="G41" s="25"/>
      <c r="H41" s="26">
        <f>' חלופה 2 20% תמג 3'!F9*52.241*28/10^9*1000</f>
        <v>14.04331695872</v>
      </c>
      <c r="I41" s="26">
        <f>' חלופה 2 20% תמג 3'!F27*52.241*28/10^9*1000</f>
        <v>13.761811106120001</v>
      </c>
      <c r="J41" s="26"/>
    </row>
    <row r="42" spans="4:10">
      <c r="D42" s="18">
        <f t="shared" si="5"/>
        <v>2026</v>
      </c>
      <c r="E42" s="25">
        <f>'פלט שנתי לאחר תיקון אגירה'!AB9</f>
        <v>418.98</v>
      </c>
      <c r="F42" s="25">
        <f>'פלט שנתי לאחר תיקון אגירה'!AT27</f>
        <v>2498.63</v>
      </c>
      <c r="G42" s="25"/>
      <c r="H42" s="26">
        <f>' חלופה 2 20% תמג 3'!F10*52.241*28/10^9*1000</f>
        <v>14.663580620639999</v>
      </c>
      <c r="I42" s="26">
        <f>' חלופה 2 20% תמג 3'!F28*52.241*28/10^9*1000</f>
        <v>14.051405955160002</v>
      </c>
      <c r="J42" s="26"/>
    </row>
    <row r="43" spans="4:10">
      <c r="D43" s="18">
        <f t="shared" si="5"/>
        <v>2027</v>
      </c>
      <c r="E43" s="25">
        <f>'פלט שנתי לאחר תיקון אגירה'!AB10</f>
        <v>0</v>
      </c>
      <c r="F43" s="25">
        <f>'פלט שנתי לאחר תיקון אגירה'!AT28</f>
        <v>2488.54</v>
      </c>
      <c r="G43" s="25"/>
      <c r="H43" s="26">
        <f>' חלופה 2 20% תמג 3'!F11*52.241*28/10^9*1000</f>
        <v>14.895104374079999</v>
      </c>
      <c r="I43" s="26">
        <f>' חלופה 2 20% תמג 3'!F29*52.241*28/10^9*1000</f>
        <v>13.9704135984</v>
      </c>
      <c r="J43" s="26"/>
    </row>
    <row r="44" spans="4:10">
      <c r="D44" s="18">
        <f t="shared" si="5"/>
        <v>2028</v>
      </c>
      <c r="E44" s="25">
        <f>'פלט שנתי לאחר תיקון אגירה'!AB11</f>
        <v>0</v>
      </c>
      <c r="F44" s="25">
        <f>'פלט שנתי לאחר תיקון אגירה'!AT29</f>
        <v>843.71</v>
      </c>
      <c r="G44" s="25"/>
      <c r="H44" s="26">
        <f>' חלופה 2 20% תמג 3'!F12*52.241*28/10^9*1000</f>
        <v>14.920175874800002</v>
      </c>
      <c r="I44" s="26">
        <f>' חלופה 2 20% תמג 3'!F30*52.241*28/10^9*1000</f>
        <v>14.408345722120002</v>
      </c>
      <c r="J44" s="26"/>
    </row>
    <row r="45" spans="4:10">
      <c r="D45" s="18">
        <f t="shared" si="5"/>
        <v>2029</v>
      </c>
      <c r="E45" s="25">
        <f>'פלט שנתי לאחר תיקון אגירה'!AB12</f>
        <v>0</v>
      </c>
      <c r="F45" s="25">
        <f>'פלט שנתי לאחר תיקון אגירה'!AT30</f>
        <v>0</v>
      </c>
      <c r="G45" s="25"/>
      <c r="H45" s="26">
        <f>' חלופה 2 20% תמג 3'!F13*52.241*28/10^9*1000</f>
        <v>14.502985517719999</v>
      </c>
      <c r="I45" s="26">
        <f>' חלופה 2 20% תמג 3'!F31*52.241*28/10^9*1000</f>
        <v>14.418380173399997</v>
      </c>
      <c r="J45" s="26"/>
    </row>
    <row r="46" spans="4:10">
      <c r="D46" s="18">
        <f t="shared" si="5"/>
        <v>2030</v>
      </c>
      <c r="E46" s="25">
        <f>'פלט שנתי לאחר תיקון אגירה'!AB13</f>
        <v>0</v>
      </c>
      <c r="F46" s="25">
        <f>'פלט שנתי לאחר תיקון אגירה'!AT31</f>
        <v>0</v>
      </c>
      <c r="G46" s="25"/>
      <c r="H46" s="26">
        <f>' חלופה 2 20% תמג 3'!F14*52.241*28/10^9*1000</f>
        <v>14.60069708412</v>
      </c>
      <c r="I46" s="26">
        <f>' חלופה 2 20% תמג 3'!F32*52.241*28/10^9*1000</f>
        <v>14.578682726719997</v>
      </c>
      <c r="J46" s="26"/>
    </row>
    <row r="47" spans="4:10">
      <c r="E47" s="5">
        <f>SUM(E40:E46)</f>
        <v>7704.58</v>
      </c>
      <c r="F47" s="5">
        <f>SUM(F40:F46)</f>
        <v>13138.130000000001</v>
      </c>
      <c r="G47" s="5">
        <f>SUM(G40:G46)</f>
        <v>0</v>
      </c>
      <c r="H47" s="5">
        <f>SUM(H40:H46)</f>
        <v>100.77698887368</v>
      </c>
      <c r="I47" s="5">
        <f>SUM(I40:I46)</f>
        <v>98.510943554519997</v>
      </c>
    </row>
    <row r="48" spans="4:10">
      <c r="E48" s="5"/>
      <c r="F48" s="5"/>
      <c r="G48" s="5"/>
      <c r="H48" s="5"/>
      <c r="I48" s="5"/>
    </row>
    <row r="49" spans="4:7" ht="15">
      <c r="D49" s="4" t="s">
        <v>197</v>
      </c>
    </row>
    <row r="50" spans="4:7">
      <c r="E50" s="248" t="s">
        <v>177</v>
      </c>
      <c r="F50" s="248"/>
      <c r="G50" s="248"/>
    </row>
    <row r="51" spans="4:7">
      <c r="E51" t="s">
        <v>55</v>
      </c>
    </row>
    <row r="52" spans="4:7">
      <c r="E52" t="s">
        <v>300</v>
      </c>
      <c r="F52" t="s">
        <v>288</v>
      </c>
    </row>
    <row r="53" spans="4:7">
      <c r="D53" s="18">
        <v>2024</v>
      </c>
      <c r="E53" s="61">
        <f>+H28</f>
        <v>13.148671026960001</v>
      </c>
      <c r="F53" s="59">
        <f>+'[3]סיכום תרחישים חלופה 20% מתחדש'!F8*52.241*28/10^9*1000</f>
        <v>13.426768676719998</v>
      </c>
    </row>
    <row r="54" spans="4:7">
      <c r="D54" s="18">
        <f t="shared" ref="D54:D59" si="6">D53+1</f>
        <v>2025</v>
      </c>
      <c r="E54" s="61">
        <f t="shared" ref="E54:E59" si="7">+H29</f>
        <v>14.041737190880001</v>
      </c>
      <c r="F54" s="59">
        <f>+'[3]סיכום תרחישים חלופה 20% מתחדש'!F9*52.241*28/10^9*1000</f>
        <v>14.095288395160001</v>
      </c>
    </row>
    <row r="55" spans="4:7">
      <c r="D55" s="18">
        <f t="shared" si="6"/>
        <v>2026</v>
      </c>
      <c r="E55" s="61">
        <f t="shared" si="7"/>
        <v>14.662220265000002</v>
      </c>
      <c r="F55" s="59">
        <f>+'[3]סיכום תרחישים חלופה 20% מתחדש'!F10*52.241*28/10^9*1000</f>
        <v>15.124112200960001</v>
      </c>
    </row>
    <row r="56" spans="4:7">
      <c r="D56" s="18">
        <f t="shared" si="6"/>
        <v>2027</v>
      </c>
      <c r="E56" s="61">
        <f t="shared" si="7"/>
        <v>14.894724059600001</v>
      </c>
      <c r="F56" s="59">
        <f>+'[3]סיכום תרחישים חלופה 20% מתחדש'!F11*52.241*28/10^9*1000</f>
        <v>15.286930680839998</v>
      </c>
    </row>
    <row r="57" spans="4:7">
      <c r="D57" s="18">
        <f t="shared" si="6"/>
        <v>2028</v>
      </c>
      <c r="E57" s="61">
        <f t="shared" si="7"/>
        <v>15.1135511604</v>
      </c>
      <c r="F57" s="59">
        <f>+'[3]סיכום תרחישים חלופה 20% מתחדש'!F12*52.241*28/10^9*1000</f>
        <v>15.54890884764</v>
      </c>
    </row>
    <row r="58" spans="4:7">
      <c r="D58" s="18">
        <f t="shared" si="6"/>
        <v>2029</v>
      </c>
      <c r="E58" s="61">
        <f t="shared" si="7"/>
        <v>14.7281901998</v>
      </c>
      <c r="F58" s="59">
        <f>+'[3]סיכום תרחישים חלופה 20% מתחדש'!F13*52.241*28/10^9*1000</f>
        <v>15.535085879039999</v>
      </c>
    </row>
    <row r="59" spans="4:7">
      <c r="D59" s="18">
        <f t="shared" si="6"/>
        <v>2030</v>
      </c>
      <c r="E59" s="61">
        <f t="shared" si="7"/>
        <v>14.59584076076</v>
      </c>
      <c r="F59" s="59">
        <f>+'[3]סיכום תרחישים חלופה 20% מתחדש'!F14*52.241*28/10^9*1000</f>
        <v>15.707734025480001</v>
      </c>
    </row>
    <row r="61" spans="4:7">
      <c r="E61" s="61">
        <f>SUM(E53:E60)</f>
        <v>101.1849346634</v>
      </c>
      <c r="F61" s="61">
        <f>SUM(F53:F60)</f>
        <v>104.72482870584</v>
      </c>
    </row>
    <row r="65" spans="4:10" ht="15" thickBot="1"/>
    <row r="66" spans="4:10" ht="36" customHeight="1" thickBot="1">
      <c r="D66" s="83"/>
      <c r="E66" s="45" t="s">
        <v>290</v>
      </c>
      <c r="F66" s="45" t="s">
        <v>291</v>
      </c>
      <c r="G66" s="46" t="s">
        <v>282</v>
      </c>
      <c r="H66" s="46" t="s">
        <v>225</v>
      </c>
      <c r="I66" s="46" t="s">
        <v>226</v>
      </c>
      <c r="J66" s="46" t="s">
        <v>292</v>
      </c>
    </row>
    <row r="67" spans="4:10" ht="15.75" thickBot="1">
      <c r="D67" s="37" t="s">
        <v>17</v>
      </c>
      <c r="E67" s="47">
        <f>+'עליות הון ותפעול'!I68/1000</f>
        <v>1753.3219788794638</v>
      </c>
      <c r="F67" s="47">
        <v>0</v>
      </c>
      <c r="G67" s="47">
        <f>+'עליות הון ותפעול'!H8</f>
        <v>1282.0901476609426</v>
      </c>
      <c r="H67" s="47">
        <f>+'[4]ריכוז תוצאות וגרפים'!$M$15</f>
        <v>9208.8553588808718</v>
      </c>
      <c r="I67" s="47">
        <f>+'[4]ריכוז תוצאות וגרפים'!$R$15/2+K10/2</f>
        <v>32205.723962976052</v>
      </c>
      <c r="J67" s="47">
        <f>SUM(E67:I67)</f>
        <v>44449.991448397326</v>
      </c>
    </row>
    <row r="68" spans="4:10" ht="15.75" thickBot="1">
      <c r="D68" s="38" t="s">
        <v>289</v>
      </c>
      <c r="E68" s="136">
        <f>'עליות הון ותפעול'!I91/1000</f>
        <v>2009.4624645628192</v>
      </c>
      <c r="F68" s="47">
        <f>+'עלויות חירום'!D13/1000</f>
        <v>100.116</v>
      </c>
      <c r="G68" s="47">
        <f>+I11</f>
        <v>405.1455067218829</v>
      </c>
      <c r="H68" s="47">
        <f>+'[4]ריכוז תוצאות וגרפים'!$N$15/2+J11/2</f>
        <v>9504.4771475917878</v>
      </c>
      <c r="I68" s="47">
        <f>+'[4]ריכוז תוצאות וגרפים'!$S$15/2+K11/2</f>
        <v>32502.6930787864</v>
      </c>
      <c r="J68" s="47">
        <f>SUM(E68:I68)</f>
        <v>44521.894197662892</v>
      </c>
    </row>
    <row r="69" spans="4:10" ht="15">
      <c r="D69" s="86" t="s">
        <v>240</v>
      </c>
      <c r="E69" s="55">
        <f t="shared" ref="E69:J69" si="8">+E67-E68</f>
        <v>-256.14048568335534</v>
      </c>
      <c r="F69" s="55">
        <f t="shared" si="8"/>
        <v>-100.116</v>
      </c>
      <c r="G69" s="55">
        <f t="shared" si="8"/>
        <v>876.94464093905981</v>
      </c>
      <c r="H69" s="55">
        <f t="shared" si="8"/>
        <v>-295.62178871091601</v>
      </c>
      <c r="I69" s="55">
        <f t="shared" si="8"/>
        <v>-296.96911581034874</v>
      </c>
      <c r="J69" s="55">
        <f t="shared" si="8"/>
        <v>-71.902749265565944</v>
      </c>
    </row>
    <row r="70" spans="4:10" ht="15" thickBot="1"/>
    <row r="71" spans="4:10" ht="30.75" thickBot="1">
      <c r="D71" s="83"/>
      <c r="E71" s="45" t="s">
        <v>290</v>
      </c>
      <c r="F71" s="46" t="s">
        <v>282</v>
      </c>
      <c r="G71" s="46" t="s">
        <v>293</v>
      </c>
    </row>
    <row r="72" spans="4:10" ht="15">
      <c r="D72" s="84" t="s">
        <v>17</v>
      </c>
      <c r="E72" s="47">
        <f>+E67</f>
        <v>1753.3219788794638</v>
      </c>
      <c r="F72" s="47">
        <f>+G67</f>
        <v>1282.0901476609426</v>
      </c>
      <c r="G72" s="48">
        <f>SUM(E72:F72)</f>
        <v>3035.4121265404065</v>
      </c>
    </row>
    <row r="73" spans="4:10" ht="15.75" thickBot="1">
      <c r="D73" s="85" t="s">
        <v>289</v>
      </c>
      <c r="E73" s="161">
        <f>+E68</f>
        <v>2009.4624645628192</v>
      </c>
      <c r="F73" s="49">
        <f>+G68</f>
        <v>405.1455067218829</v>
      </c>
      <c r="G73" s="50">
        <f>SUM(E73:F73)</f>
        <v>2414.6079712847022</v>
      </c>
    </row>
    <row r="74" spans="4:10" ht="15.75" thickBot="1">
      <c r="D74" s="86" t="s">
        <v>240</v>
      </c>
      <c r="E74" s="55">
        <f>+E72-E73</f>
        <v>-256.14048568335534</v>
      </c>
      <c r="F74" s="55">
        <f t="shared" ref="F74:G74" si="9">+F72-F73</f>
        <v>876.94464093905981</v>
      </c>
      <c r="G74" s="87">
        <f t="shared" si="9"/>
        <v>620.80415525570425</v>
      </c>
    </row>
    <row r="75" spans="4:10" ht="15.75" thickBot="1">
      <c r="D75" s="88" t="s">
        <v>291</v>
      </c>
      <c r="E75" s="51"/>
      <c r="F75" s="51"/>
      <c r="G75" s="52">
        <f>+F68</f>
        <v>100.116</v>
      </c>
    </row>
    <row r="76" spans="4:10" ht="15.75" thickBot="1">
      <c r="D76" s="89" t="s">
        <v>294</v>
      </c>
      <c r="E76" s="90"/>
      <c r="F76" s="90"/>
      <c r="G76" s="91">
        <f>+G74-G75</f>
        <v>520.68815525570426</v>
      </c>
    </row>
    <row r="78" spans="4:10">
      <c r="E78">
        <v>1709</v>
      </c>
    </row>
    <row r="79" spans="4:10">
      <c r="E79">
        <f>+E73/E78</f>
        <v>1.1758118575557748</v>
      </c>
    </row>
    <row r="80" spans="4:10" ht="15" thickBot="1"/>
    <row r="81" spans="4:8" ht="45.75" thickBot="1">
      <c r="D81" s="83"/>
      <c r="E81" s="46" t="s">
        <v>296</v>
      </c>
      <c r="F81" s="46" t="s">
        <v>297</v>
      </c>
      <c r="G81" s="46" t="s">
        <v>295</v>
      </c>
    </row>
    <row r="82" spans="4:8" ht="15">
      <c r="D82" s="84" t="s">
        <v>17</v>
      </c>
      <c r="E82" s="47">
        <f>' חלופה 2 20% תמג 3'!H20/2+' חלופה 1 20% מתחדש -תמג 3 '!H26/2</f>
        <v>74452.013129904226</v>
      </c>
      <c r="F82" s="47">
        <f>' חלופה 2 20% תמג 3'!I20/2+' חלופה 1 20% מתחדש -תמג 3 '!I26/2</f>
        <v>71048.926816104853</v>
      </c>
      <c r="G82" s="47">
        <f>' חלופה 2 20% תמג 3'!J20/2+' חלופה 1 20% מתחדש -תמג 3 '!J26/2</f>
        <v>71693.066408458661</v>
      </c>
      <c r="H82" s="145">
        <f>E82-F82</f>
        <v>3403.0863137993729</v>
      </c>
    </row>
    <row r="83" spans="4:8" ht="15.75" thickBot="1">
      <c r="D83" s="85" t="s">
        <v>289</v>
      </c>
      <c r="E83" s="49">
        <f>+' חלופה 2 20% תמג 3'!H38/2+' חלופה 1 20% מתחדש -תמג 3 '!H44/2</f>
        <v>72698.023507356906</v>
      </c>
      <c r="F83" s="49">
        <f>+' חלופה 2 20% תמג 3'!I38/2+' חלופה 1 20% מתחדש -תמג 3 '!I44/2</f>
        <v>70054.926499624387</v>
      </c>
      <c r="G83" s="49">
        <f>+' חלופה 2 20% תמג 3'!J38/2+' חלופה 1 20% מתחדש -תמג 3 '!J44/2</f>
        <v>71232.478109792253</v>
      </c>
      <c r="H83" s="145">
        <f>E83-F83</f>
        <v>2643.0970077325183</v>
      </c>
    </row>
    <row r="84" spans="4:8" ht="15.75" thickBot="1">
      <c r="D84" s="86" t="s">
        <v>240</v>
      </c>
      <c r="E84" s="55">
        <f>+E82-E83</f>
        <v>1753.9896225473203</v>
      </c>
      <c r="F84" s="55">
        <f t="shared" ref="F84:G84" si="10">+F82-F83</f>
        <v>994.0003164804657</v>
      </c>
      <c r="G84" s="55">
        <f t="shared" si="10"/>
        <v>460.58829866640735</v>
      </c>
    </row>
    <row r="85" spans="4:8" ht="15.75" thickBot="1">
      <c r="D85" s="88" t="s">
        <v>298</v>
      </c>
      <c r="E85" s="51">
        <f>+$J$69</f>
        <v>-71.902749265565944</v>
      </c>
      <c r="F85" s="51">
        <f t="shared" ref="F85:G85" si="11">+$J$69</f>
        <v>-71.902749265565944</v>
      </c>
      <c r="G85" s="51">
        <f t="shared" si="11"/>
        <v>-71.902749265565944</v>
      </c>
    </row>
    <row r="86" spans="4:8" ht="15.75" thickBot="1">
      <c r="D86" s="89" t="s">
        <v>299</v>
      </c>
      <c r="E86" s="90">
        <f>+E84+E85</f>
        <v>1682.0868732817544</v>
      </c>
      <c r="F86" s="90">
        <f t="shared" ref="F86:G86" si="12">+F84+F85</f>
        <v>922.09756721489975</v>
      </c>
      <c r="G86" s="90">
        <f t="shared" si="12"/>
        <v>388.68554940084141</v>
      </c>
    </row>
    <row r="90" spans="4:8">
      <c r="D90" t="s">
        <v>354</v>
      </c>
    </row>
    <row r="92" spans="4:8" ht="15">
      <c r="D92" s="147"/>
      <c r="E92" s="147" t="s">
        <v>355</v>
      </c>
      <c r="F92" s="147" t="s">
        <v>357</v>
      </c>
      <c r="G92" s="147" t="s">
        <v>261</v>
      </c>
    </row>
    <row r="93" spans="4:8" ht="15">
      <c r="D93" s="148" t="s">
        <v>17</v>
      </c>
      <c r="E93" s="25">
        <f>+'עליות הון ותפעול'!I111/1000</f>
        <v>2368.9359106986444</v>
      </c>
      <c r="F93" s="25"/>
      <c r="G93" s="149">
        <f>SUM(E93:F93)</f>
        <v>2368.9359106986444</v>
      </c>
    </row>
    <row r="94" spans="4:8" ht="15">
      <c r="D94" s="148" t="s">
        <v>289</v>
      </c>
      <c r="E94" s="25">
        <f>+'עליות הון ותפעול'!I152/1000</f>
        <v>2668.5982206104841</v>
      </c>
      <c r="F94" s="25">
        <f>+'עלויות חירום'!D17/1000</f>
        <v>106.88262739977887</v>
      </c>
      <c r="G94" s="149">
        <f>SUM(E94:F94)</f>
        <v>2775.4808480102629</v>
      </c>
    </row>
    <row r="95" spans="4:8" ht="15">
      <c r="D95" s="150" t="s">
        <v>240</v>
      </c>
      <c r="E95" s="149">
        <f>+E93-E94</f>
        <v>-299.66230991183966</v>
      </c>
      <c r="F95" s="149">
        <f>+F93-F94</f>
        <v>-106.88262739977887</v>
      </c>
      <c r="G95" s="149">
        <f>+G93-G94</f>
        <v>-406.54493731161847</v>
      </c>
    </row>
    <row r="96" spans="4:8">
      <c r="H96" s="5"/>
    </row>
    <row r="99" spans="4:7">
      <c r="D99" t="s">
        <v>359</v>
      </c>
      <c r="E99">
        <v>100</v>
      </c>
    </row>
    <row r="100" spans="4:7">
      <c r="D100" t="s">
        <v>360</v>
      </c>
      <c r="E100">
        <f>+E99*6</f>
        <v>600</v>
      </c>
    </row>
    <row r="101" spans="4:7">
      <c r="D101" t="s">
        <v>361</v>
      </c>
      <c r="E101" s="146">
        <f>+PV(' חלופה 1 20% מתחדש -תמג 3 '!I1,15,-E100)</f>
        <v>6813.1784483690572</v>
      </c>
    </row>
    <row r="102" spans="4:7">
      <c r="E102">
        <f>+E101/(1+' חלופה 1 20% מתחדש -תמג 3 '!I1)^7</f>
        <v>5283.2172460135689</v>
      </c>
    </row>
    <row r="104" spans="4:7" ht="15" thickBot="1"/>
    <row r="105" spans="4:7" ht="45.75" thickBot="1">
      <c r="D105" s="155" t="s">
        <v>367</v>
      </c>
      <c r="E105" s="46" t="s">
        <v>296</v>
      </c>
      <c r="F105" s="46" t="s">
        <v>297</v>
      </c>
      <c r="G105" s="46" t="s">
        <v>295</v>
      </c>
    </row>
    <row r="106" spans="4:7" ht="15">
      <c r="D106" s="84" t="s">
        <v>17</v>
      </c>
      <c r="E106" s="47">
        <f>+'חלופה 2 עם מס פחמן'!H20/2+' חלופה 1 20% מתחדש -תמג3 מס פחמ'!H26/2</f>
        <v>79712.090197673999</v>
      </c>
      <c r="F106" s="47">
        <f>+'חלופה 2 עם מס פחמן'!I20/2+' חלופה 1 20% מתחדש -תמג3 מס פחמ'!I26/2</f>
        <v>76309.003883874626</v>
      </c>
      <c r="G106" s="47">
        <f>+'חלופה 2 עם מס פחמן'!J20/2+' חלופה 1 20% מתחדש -תמג3 מס פחמ'!J26/2</f>
        <v>76953.143476228433</v>
      </c>
    </row>
    <row r="107" spans="4:7" ht="15.75" thickBot="1">
      <c r="D107" s="85" t="s">
        <v>289</v>
      </c>
      <c r="E107" s="49">
        <f>+'חלופה 2 עם מס פחמן'!H38/2+' חלופה 1 20% מתחדש -תמג3 מס פחמ'!H44/2</f>
        <v>78860.205487165134</v>
      </c>
      <c r="F107" s="49">
        <f>+'חלופה 2 עם מס פחמן'!I38/2+' חלופה 1 20% מתחדש -תמג3 מס פחמ'!I44/2</f>
        <v>75854.62219599422</v>
      </c>
      <c r="G107" s="49">
        <f>+'חלופה 2 עם מס פחמן'!J38/2+' חלופה 1 20% מתחדש -תמג3 מס פחמ'!J44/2</f>
        <v>77032.173806162085</v>
      </c>
    </row>
    <row r="108" spans="4:7" ht="15">
      <c r="D108" s="86" t="s">
        <v>240</v>
      </c>
      <c r="E108" s="154">
        <f>+E106-E107</f>
        <v>851.88471050886437</v>
      </c>
      <c r="F108" s="154">
        <f t="shared" ref="F108:G108" si="13">+F106-F107</f>
        <v>454.38168788040639</v>
      </c>
      <c r="G108" s="154">
        <f t="shared" si="13"/>
        <v>-79.030329933651956</v>
      </c>
    </row>
    <row r="110" spans="4:7">
      <c r="E110" s="145">
        <f t="shared" ref="E110:F110" si="14">+E84-E108</f>
        <v>902.10491203845595</v>
      </c>
      <c r="F110" s="145">
        <f t="shared" si="14"/>
        <v>539.61862860005931</v>
      </c>
      <c r="G110" s="145">
        <f>+G84-G108</f>
        <v>539.61862860005931</v>
      </c>
    </row>
  </sheetData>
  <mergeCells count="10">
    <mergeCell ref="C8:C9"/>
    <mergeCell ref="C10:C11"/>
    <mergeCell ref="C12:C13"/>
    <mergeCell ref="E16:G16"/>
    <mergeCell ref="H16:J16"/>
    <mergeCell ref="E50:G50"/>
    <mergeCell ref="E38:G38"/>
    <mergeCell ref="H38:J38"/>
    <mergeCell ref="E26:G26"/>
    <mergeCell ref="H26:J2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2"/>
  <sheetViews>
    <sheetView rightToLeft="1" tabSelected="1" workbookViewId="0">
      <selection activeCell="E2" sqref="E2"/>
    </sheetView>
  </sheetViews>
  <sheetFormatPr defaultRowHeight="14.25"/>
  <cols>
    <col min="1" max="1" width="18.25" bestFit="1" customWidth="1"/>
    <col min="4" max="4" width="20" customWidth="1"/>
    <col min="5" max="5" width="24.375" customWidth="1"/>
    <col min="11" max="11" width="35" bestFit="1" customWidth="1"/>
    <col min="12" max="12" width="13.375" bestFit="1" customWidth="1"/>
  </cols>
  <sheetData>
    <row r="2" spans="1:13" ht="15" thickBot="1">
      <c r="D2" t="s">
        <v>473</v>
      </c>
      <c r="E2" t="s">
        <v>450</v>
      </c>
    </row>
    <row r="3" spans="1:13" ht="18">
      <c r="K3" s="256" t="s">
        <v>309</v>
      </c>
      <c r="L3" s="257"/>
      <c r="M3" s="258"/>
    </row>
    <row r="4" spans="1:13">
      <c r="D4" t="s">
        <v>269</v>
      </c>
      <c r="K4" s="93" t="s">
        <v>301</v>
      </c>
      <c r="L4" s="105">
        <f>D5</f>
        <v>0.5</v>
      </c>
      <c r="M4" s="94" t="s">
        <v>269</v>
      </c>
    </row>
    <row r="5" spans="1:13">
      <c r="A5" t="s">
        <v>371</v>
      </c>
      <c r="D5" s="35">
        <v>0.5</v>
      </c>
      <c r="E5" s="10">
        <f>+D5</f>
        <v>0.5</v>
      </c>
      <c r="K5" s="93" t="s">
        <v>302</v>
      </c>
      <c r="L5" s="106">
        <f>D7</f>
        <v>0.191</v>
      </c>
      <c r="M5" s="94" t="s">
        <v>269</v>
      </c>
    </row>
    <row r="6" spans="1:13" ht="15">
      <c r="K6" s="95" t="s">
        <v>303</v>
      </c>
      <c r="L6" s="107">
        <f>L4-L5</f>
        <v>0.309</v>
      </c>
      <c r="M6" s="96" t="s">
        <v>269</v>
      </c>
    </row>
    <row r="7" spans="1:13">
      <c r="A7" t="s">
        <v>372</v>
      </c>
      <c r="D7" s="92">
        <f>'נייר עבודה לשימור חם'!K21/100</f>
        <v>0.191</v>
      </c>
      <c r="E7" s="10">
        <f>+D7</f>
        <v>0.191</v>
      </c>
      <c r="K7" s="101"/>
      <c r="L7" s="108"/>
      <c r="M7" s="102"/>
    </row>
    <row r="8" spans="1:13">
      <c r="A8" t="s">
        <v>273</v>
      </c>
      <c r="D8" s="35">
        <f>+D5-D7</f>
        <v>0.309</v>
      </c>
      <c r="E8" s="35">
        <f>+E5-E7</f>
        <v>0.309</v>
      </c>
      <c r="K8" s="93" t="s">
        <v>368</v>
      </c>
      <c r="L8" s="109">
        <f>D9</f>
        <v>144</v>
      </c>
      <c r="M8" s="94" t="s">
        <v>272</v>
      </c>
    </row>
    <row r="9" spans="1:13">
      <c r="A9" t="s">
        <v>474</v>
      </c>
      <c r="D9" s="28">
        <f>6*24</f>
        <v>144</v>
      </c>
      <c r="E9" s="28">
        <f>14*24</f>
        <v>336</v>
      </c>
      <c r="K9" s="93" t="s">
        <v>310</v>
      </c>
      <c r="L9" s="110">
        <f>B11</f>
        <v>2250</v>
      </c>
      <c r="M9" s="97" t="s">
        <v>304</v>
      </c>
    </row>
    <row r="10" spans="1:13" ht="15">
      <c r="B10" t="s">
        <v>271</v>
      </c>
      <c r="D10" t="s">
        <v>320</v>
      </c>
      <c r="K10" s="95" t="s">
        <v>305</v>
      </c>
      <c r="L10" s="111">
        <f>L9*L8</f>
        <v>324000</v>
      </c>
      <c r="M10" s="98" t="s">
        <v>306</v>
      </c>
    </row>
    <row r="11" spans="1:13">
      <c r="A11" t="s">
        <v>270</v>
      </c>
      <c r="B11">
        <f>+'עליות הון ותפעול'!H56+'עליות הון ותפעול'!G56+'עליות הון ותפעול'!F56+'עליות הון ותפעול'!E56</f>
        <v>2250</v>
      </c>
      <c r="D11" s="6">
        <f>+D9*B11</f>
        <v>324000</v>
      </c>
      <c r="E11" s="6">
        <f>+E9*B11</f>
        <v>756000</v>
      </c>
      <c r="K11" s="103"/>
      <c r="L11" s="112"/>
      <c r="M11" s="104"/>
    </row>
    <row r="12" spans="1:13" ht="18.75" thickBot="1">
      <c r="K12" s="99" t="s">
        <v>307</v>
      </c>
      <c r="L12" s="113">
        <f>L10*L6</f>
        <v>100116</v>
      </c>
      <c r="M12" s="100" t="s">
        <v>308</v>
      </c>
    </row>
    <row r="13" spans="1:13">
      <c r="A13" t="s">
        <v>275</v>
      </c>
      <c r="D13" s="6">
        <f>+D11*D8</f>
        <v>100116</v>
      </c>
      <c r="E13" s="6">
        <f>+E11*E8</f>
        <v>233604</v>
      </c>
      <c r="F13" t="s">
        <v>321</v>
      </c>
    </row>
    <row r="15" spans="1:13">
      <c r="A15" t="s">
        <v>358</v>
      </c>
      <c r="D15" s="6">
        <f>+D13/(1+' חלופה 1 20% מתחדש -תמג 3 '!$I$1)^14</f>
        <v>60200.611149270087</v>
      </c>
      <c r="E15" s="6">
        <f>+E13/(1+' חלופה 1 20% מתחדש -תמג 3 '!$I$1)^14</f>
        <v>140468.09268163019</v>
      </c>
    </row>
    <row r="16" spans="1:13">
      <c r="D16" s="6">
        <f>+D13/(1+' חלופה 1 20% מתחדש -תמג 3 '!$I$1)^21</f>
        <v>46682.016250508772</v>
      </c>
      <c r="E16" s="6">
        <f>+E13/(1+' חלופה 1 20% מתחדש -תמג 3 '!$I$1)^21</f>
        <v>108924.70458452047</v>
      </c>
    </row>
    <row r="17" spans="1:5">
      <c r="D17" s="159">
        <f>SUM(D15:D16)</f>
        <v>106882.62739977887</v>
      </c>
      <c r="E17" s="159">
        <f>SUM(E15:E16)</f>
        <v>249392.79726615065</v>
      </c>
    </row>
    <row r="18" spans="1:5">
      <c r="A18" t="s">
        <v>274</v>
      </c>
    </row>
    <row r="19" spans="1:5">
      <c r="A19" t="s">
        <v>24</v>
      </c>
      <c r="B19">
        <v>231</v>
      </c>
      <c r="C19" t="s">
        <v>308</v>
      </c>
    </row>
    <row r="20" spans="1:5">
      <c r="A20" t="s">
        <v>39</v>
      </c>
      <c r="B20">
        <v>22</v>
      </c>
      <c r="C20" t="s">
        <v>308</v>
      </c>
    </row>
    <row r="22" spans="1:5">
      <c r="A22" t="s">
        <v>322</v>
      </c>
      <c r="B22">
        <f>+' חלופה 1 20% מתחדש -תמג 3 '!F17/'פלט שנתי לאחר תיקון אגירה'!AI15</f>
        <v>0.16516165333553079</v>
      </c>
      <c r="C22" t="s">
        <v>323</v>
      </c>
    </row>
  </sheetData>
  <mergeCells count="1">
    <mergeCell ref="K3:M3"/>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V18"/>
  <sheetViews>
    <sheetView rightToLeft="1" workbookViewId="0">
      <selection activeCell="F24" sqref="F24"/>
    </sheetView>
  </sheetViews>
  <sheetFormatPr defaultRowHeight="14.25"/>
  <cols>
    <col min="1" max="1" width="9" customWidth="1"/>
    <col min="2" max="2" width="5.25" bestFit="1" customWidth="1"/>
    <col min="3" max="3" width="11" bestFit="1" customWidth="1"/>
    <col min="4" max="4" width="7.5" bestFit="1" customWidth="1"/>
    <col min="5" max="5" width="5.375" bestFit="1" customWidth="1"/>
    <col min="7" max="7" width="28.125" bestFit="1" customWidth="1"/>
    <col min="8" max="8" width="11" bestFit="1" customWidth="1"/>
    <col min="9" max="9" width="11" customWidth="1"/>
    <col min="13" max="13" width="10.5" bestFit="1" customWidth="1"/>
    <col min="14" max="14" width="11" bestFit="1" customWidth="1"/>
    <col min="19" max="19" width="13.25" customWidth="1"/>
  </cols>
  <sheetData>
    <row r="1" spans="2:22">
      <c r="T1" t="s">
        <v>451</v>
      </c>
      <c r="U1" t="s">
        <v>452</v>
      </c>
      <c r="V1" t="s">
        <v>453</v>
      </c>
    </row>
    <row r="2" spans="2:22" ht="57">
      <c r="B2" s="244"/>
      <c r="C2" s="18" t="s">
        <v>375</v>
      </c>
      <c r="D2" s="18" t="s">
        <v>383</v>
      </c>
      <c r="E2" s="18" t="s">
        <v>384</v>
      </c>
      <c r="H2" s="18" t="s">
        <v>375</v>
      </c>
      <c r="I2" s="141" t="s">
        <v>454</v>
      </c>
      <c r="J2" s="18" t="s">
        <v>383</v>
      </c>
      <c r="K2" s="18" t="s">
        <v>384</v>
      </c>
      <c r="N2" s="18" t="s">
        <v>375</v>
      </c>
      <c r="O2" s="18" t="s">
        <v>383</v>
      </c>
      <c r="P2" s="18" t="s">
        <v>384</v>
      </c>
      <c r="Q2" s="141" t="s">
        <v>454</v>
      </c>
      <c r="S2" s="141" t="s">
        <v>455</v>
      </c>
      <c r="T2">
        <v>4</v>
      </c>
      <c r="U2">
        <v>2</v>
      </c>
      <c r="V2">
        <v>20</v>
      </c>
    </row>
    <row r="3" spans="2:22" ht="57">
      <c r="B3" s="18">
        <v>2026</v>
      </c>
      <c r="C3" s="149">
        <f>H$12</f>
        <v>204.55223880597015</v>
      </c>
      <c r="D3" s="149">
        <f>J$12</f>
        <v>179.56716417910448</v>
      </c>
      <c r="E3" s="149">
        <f>K$12</f>
        <v>68.828358208955223</v>
      </c>
      <c r="G3" t="s">
        <v>456</v>
      </c>
      <c r="H3" s="245">
        <f>+N3*N4</f>
        <v>117.55223880597015</v>
      </c>
      <c r="I3" s="245">
        <f>+Q3*N4</f>
        <v>6.5671641791044779</v>
      </c>
      <c r="J3" s="245">
        <v>88</v>
      </c>
      <c r="K3" s="245">
        <f>+N4*P3</f>
        <v>22.328358208955223</v>
      </c>
      <c r="L3" s="5"/>
      <c r="M3" t="s">
        <v>457</v>
      </c>
      <c r="N3">
        <v>179</v>
      </c>
      <c r="O3">
        <v>134</v>
      </c>
      <c r="P3">
        <v>34</v>
      </c>
      <c r="Q3">
        <f>+V3</f>
        <v>10</v>
      </c>
      <c r="S3" s="141" t="s">
        <v>458</v>
      </c>
      <c r="T3">
        <v>2</v>
      </c>
      <c r="U3">
        <v>2</v>
      </c>
      <c r="V3">
        <f>+V2*T3/T2</f>
        <v>10</v>
      </c>
    </row>
    <row r="4" spans="2:22">
      <c r="B4" s="18">
        <v>2027</v>
      </c>
      <c r="C4" s="149">
        <f t="shared" ref="C4:C12" si="0">H$12</f>
        <v>204.55223880597015</v>
      </c>
      <c r="D4" s="149">
        <f t="shared" ref="D4:E12" si="1">J$12</f>
        <v>179.56716417910448</v>
      </c>
      <c r="E4" s="149">
        <f t="shared" si="1"/>
        <v>68.828358208955223</v>
      </c>
      <c r="G4" t="s">
        <v>459</v>
      </c>
      <c r="H4" s="6">
        <v>34</v>
      </c>
      <c r="I4" s="6"/>
      <c r="J4" s="6">
        <f>H4</f>
        <v>34</v>
      </c>
      <c r="K4" s="6">
        <f>J4</f>
        <v>34</v>
      </c>
      <c r="M4" t="s">
        <v>460</v>
      </c>
      <c r="N4" s="10">
        <f>+J3/O3</f>
        <v>0.65671641791044777</v>
      </c>
    </row>
    <row r="5" spans="2:22">
      <c r="B5" s="18">
        <v>2028</v>
      </c>
      <c r="C5" s="149">
        <f t="shared" si="0"/>
        <v>204.55223880597015</v>
      </c>
      <c r="D5" s="149">
        <f t="shared" si="1"/>
        <v>179.56716417910448</v>
      </c>
      <c r="E5" s="149">
        <f t="shared" si="1"/>
        <v>68.828358208955223</v>
      </c>
      <c r="G5" t="s">
        <v>461</v>
      </c>
      <c r="H5" s="245">
        <v>7</v>
      </c>
      <c r="I5" s="245"/>
      <c r="J5" s="6">
        <f t="shared" ref="J5:J6" si="2">H5</f>
        <v>7</v>
      </c>
      <c r="K5" s="6">
        <f>+J5</f>
        <v>7</v>
      </c>
    </row>
    <row r="6" spans="2:22">
      <c r="B6" s="18">
        <v>2029</v>
      </c>
      <c r="C6" s="149">
        <f t="shared" si="0"/>
        <v>204.55223880597015</v>
      </c>
      <c r="D6" s="149">
        <f t="shared" si="1"/>
        <v>179.56716417910448</v>
      </c>
      <c r="E6" s="149">
        <f t="shared" si="1"/>
        <v>68.828358208955223</v>
      </c>
      <c r="G6" t="s">
        <v>462</v>
      </c>
      <c r="H6" s="245">
        <v>9</v>
      </c>
      <c r="I6" s="245"/>
      <c r="J6" s="6">
        <f t="shared" si="2"/>
        <v>9</v>
      </c>
      <c r="K6" s="6">
        <f>+J6</f>
        <v>9</v>
      </c>
      <c r="N6" s="10"/>
    </row>
    <row r="7" spans="2:22">
      <c r="B7" s="18">
        <v>2030</v>
      </c>
      <c r="C7" s="149">
        <f t="shared" si="0"/>
        <v>204.55223880597015</v>
      </c>
      <c r="D7" s="149">
        <f t="shared" si="1"/>
        <v>179.56716417910448</v>
      </c>
      <c r="E7" s="149">
        <f t="shared" si="1"/>
        <v>68.828358208955223</v>
      </c>
      <c r="G7" t="s">
        <v>463</v>
      </c>
      <c r="H7" s="245">
        <v>33</v>
      </c>
      <c r="I7" s="245"/>
      <c r="J7" s="6">
        <v>27</v>
      </c>
      <c r="K7" s="6"/>
      <c r="N7" s="10">
        <f>+N3-P3</f>
        <v>145</v>
      </c>
    </row>
    <row r="8" spans="2:22">
      <c r="B8" s="18">
        <v>2031</v>
      </c>
      <c r="C8" s="149">
        <f t="shared" si="0"/>
        <v>204.55223880597015</v>
      </c>
      <c r="D8" s="149">
        <f t="shared" si="1"/>
        <v>179.56716417910448</v>
      </c>
      <c r="E8" s="149">
        <f t="shared" si="1"/>
        <v>68.828358208955223</v>
      </c>
      <c r="G8" t="s">
        <v>464</v>
      </c>
      <c r="H8" s="6"/>
      <c r="I8" s="6"/>
      <c r="J8" s="6"/>
      <c r="K8" s="6">
        <v>-11.5</v>
      </c>
      <c r="N8">
        <f>+O3+Q3-P3</f>
        <v>110</v>
      </c>
    </row>
    <row r="9" spans="2:22">
      <c r="B9" s="18">
        <v>2032</v>
      </c>
      <c r="C9" s="149">
        <f t="shared" si="0"/>
        <v>204.55223880597015</v>
      </c>
      <c r="D9" s="149">
        <f t="shared" si="1"/>
        <v>179.56716417910448</v>
      </c>
      <c r="E9" s="149">
        <f t="shared" si="1"/>
        <v>68.828358208955223</v>
      </c>
      <c r="G9" t="s">
        <v>465</v>
      </c>
      <c r="H9" s="245">
        <v>4</v>
      </c>
      <c r="I9" s="245"/>
      <c r="J9" s="6">
        <v>8</v>
      </c>
      <c r="K9" s="246">
        <v>8</v>
      </c>
    </row>
    <row r="10" spans="2:22">
      <c r="B10" s="18">
        <v>2033</v>
      </c>
      <c r="C10" s="149">
        <f t="shared" si="0"/>
        <v>204.55223880597015</v>
      </c>
      <c r="D10" s="149">
        <f t="shared" si="1"/>
        <v>179.56716417910448</v>
      </c>
      <c r="E10" s="149">
        <f t="shared" si="1"/>
        <v>68.828358208955223</v>
      </c>
      <c r="G10" t="s">
        <v>466</v>
      </c>
      <c r="H10" s="6">
        <f>SUM(H3:H9)</f>
        <v>204.55223880597015</v>
      </c>
      <c r="I10" s="6"/>
      <c r="J10" s="6">
        <f>SUM(J3:J9)</f>
        <v>173</v>
      </c>
      <c r="K10" s="6">
        <f>SUM(K3:K9)</f>
        <v>68.828358208955223</v>
      </c>
    </row>
    <row r="11" spans="2:22">
      <c r="B11" s="18">
        <v>2034</v>
      </c>
      <c r="C11" s="149">
        <f t="shared" si="0"/>
        <v>204.55223880597015</v>
      </c>
      <c r="D11" s="149">
        <f t="shared" si="1"/>
        <v>179.56716417910448</v>
      </c>
      <c r="E11" s="149">
        <f t="shared" si="1"/>
        <v>68.828358208955223</v>
      </c>
      <c r="G11" t="s">
        <v>467</v>
      </c>
      <c r="H11" s="6">
        <f>+H10-K10</f>
        <v>135.72388059701493</v>
      </c>
      <c r="I11" s="6"/>
      <c r="J11" s="6">
        <f>+J10-K10</f>
        <v>104.17164179104478</v>
      </c>
      <c r="K11" s="6"/>
    </row>
    <row r="12" spans="2:22">
      <c r="B12" s="18">
        <v>2035</v>
      </c>
      <c r="C12" s="149">
        <f t="shared" si="0"/>
        <v>204.55223880597015</v>
      </c>
      <c r="D12" s="149">
        <f t="shared" si="1"/>
        <v>179.56716417910448</v>
      </c>
      <c r="E12" s="149">
        <f t="shared" si="1"/>
        <v>68.828358208955223</v>
      </c>
      <c r="G12" s="242" t="s">
        <v>468</v>
      </c>
      <c r="H12" s="243">
        <f>H10</f>
        <v>204.55223880597015</v>
      </c>
      <c r="I12" s="242"/>
      <c r="J12" s="243">
        <f>J10+I3</f>
        <v>179.56716417910448</v>
      </c>
      <c r="K12" s="243">
        <f>K10</f>
        <v>68.828358208955223</v>
      </c>
    </row>
    <row r="13" spans="2:22">
      <c r="G13" t="s">
        <v>469</v>
      </c>
      <c r="H13" s="5">
        <f>H11</f>
        <v>135.72388059701493</v>
      </c>
      <c r="J13" s="5">
        <f>J11+I3</f>
        <v>110.73880597014926</v>
      </c>
      <c r="L13" t="s">
        <v>472</v>
      </c>
    </row>
    <row r="16" spans="2:22">
      <c r="G16" t="s">
        <v>470</v>
      </c>
      <c r="H16">
        <v>1440</v>
      </c>
      <c r="J16">
        <v>1440</v>
      </c>
    </row>
    <row r="18" spans="7:12">
      <c r="G18" t="s">
        <v>471</v>
      </c>
      <c r="H18" s="59">
        <f>+H13/H16*1000</f>
        <v>94.252694859038144</v>
      </c>
      <c r="J18" s="59">
        <f>+J13/J16*1000</f>
        <v>76.901948590381437</v>
      </c>
      <c r="L18">
        <v>116</v>
      </c>
    </row>
  </sheetData>
  <dataValidations count="1">
    <dataValidation type="list" allowBlank="1" showInputMessage="1" showErrorMessage="1" sqref="D25">
      <formula1>$C$50:$C$51</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52"/>
  <sheetViews>
    <sheetView rightToLeft="1" topLeftCell="A112" zoomScale="90" zoomScaleNormal="90" workbookViewId="0">
      <selection activeCell="I153" sqref="I153"/>
    </sheetView>
  </sheetViews>
  <sheetFormatPr defaultRowHeight="14.25"/>
  <cols>
    <col min="3" max="3" width="7.375" bestFit="1" customWidth="1"/>
    <col min="4" max="4" width="9.875" bestFit="1" customWidth="1"/>
    <col min="5" max="5" width="15.75" customWidth="1"/>
    <col min="6" max="6" width="11.625" customWidth="1"/>
    <col min="7" max="8" width="9.875" bestFit="1" customWidth="1"/>
    <col min="9" max="9" width="11.375" bestFit="1" customWidth="1"/>
    <col min="10" max="10" width="10.875" bestFit="1" customWidth="1"/>
    <col min="11" max="11" width="7.125" bestFit="1" customWidth="1"/>
    <col min="12" max="12" width="24.375" bestFit="1" customWidth="1"/>
    <col min="13" max="13" width="14.375" customWidth="1"/>
    <col min="14" max="14" width="16.25" customWidth="1"/>
    <col min="15" max="15" width="13.875" customWidth="1"/>
    <col min="18" max="18" width="19.25" customWidth="1"/>
  </cols>
  <sheetData>
    <row r="1" spans="2:24" ht="15">
      <c r="B1" t="s">
        <v>353</v>
      </c>
      <c r="F1" t="s">
        <v>228</v>
      </c>
      <c r="G1" t="s">
        <v>319</v>
      </c>
      <c r="H1" t="s">
        <v>324</v>
      </c>
      <c r="R1" s="63"/>
      <c r="S1" s="259" t="s">
        <v>255</v>
      </c>
      <c r="T1" s="260"/>
      <c r="U1" s="260"/>
      <c r="V1" s="260"/>
      <c r="W1" s="260"/>
      <c r="X1" s="261"/>
    </row>
    <row r="2" spans="2:24" ht="60">
      <c r="B2" t="s">
        <v>227</v>
      </c>
      <c r="F2" s="135">
        <f>+S10</f>
        <v>285.96000000000004</v>
      </c>
      <c r="R2" s="64"/>
      <c r="S2" s="64" t="s">
        <v>256</v>
      </c>
      <c r="T2" s="65" t="s">
        <v>257</v>
      </c>
      <c r="U2" s="66" t="s">
        <v>258</v>
      </c>
      <c r="V2" s="66" t="s">
        <v>259</v>
      </c>
      <c r="W2" s="66" t="s">
        <v>260</v>
      </c>
      <c r="X2" s="66" t="s">
        <v>261</v>
      </c>
    </row>
    <row r="3" spans="2:24">
      <c r="B3" t="s">
        <v>229</v>
      </c>
      <c r="F3" s="135">
        <f>+T10</f>
        <v>230.04</v>
      </c>
      <c r="R3" s="67" t="s">
        <v>262</v>
      </c>
      <c r="S3" s="68">
        <v>50</v>
      </c>
      <c r="T3" s="69">
        <v>34</v>
      </c>
      <c r="U3" s="70">
        <f>S3+T3</f>
        <v>84</v>
      </c>
      <c r="V3" s="70">
        <v>106</v>
      </c>
      <c r="W3" s="70">
        <v>105</v>
      </c>
      <c r="X3" s="70">
        <f>SUM(U3:W3)</f>
        <v>295</v>
      </c>
    </row>
    <row r="4" spans="2:24" ht="42.75">
      <c r="B4" t="s">
        <v>230</v>
      </c>
      <c r="F4" s="135">
        <f>+V10</f>
        <v>540</v>
      </c>
      <c r="G4">
        <v>2024</v>
      </c>
      <c r="H4" s="114">
        <f>+SUMIFS(' חלופה 1 20% מתחדש -תמג 3 '!$A$32:$A$38,' חלופה 1 20% מתחדש -תמג 3 '!$B$32:$B$38,G4)</f>
        <v>0.96432015429122475</v>
      </c>
      <c r="I4" s="28" t="s">
        <v>370</v>
      </c>
      <c r="J4" s="28"/>
      <c r="K4" s="28"/>
      <c r="L4" s="28"/>
      <c r="M4" s="28"/>
      <c r="R4" s="71" t="s">
        <v>263</v>
      </c>
      <c r="S4" s="68">
        <v>35</v>
      </c>
      <c r="T4" s="69">
        <v>35</v>
      </c>
      <c r="U4" s="70">
        <f t="shared" ref="U4:U10" si="0">S4+T4</f>
        <v>70</v>
      </c>
      <c r="V4" s="70">
        <v>42</v>
      </c>
      <c r="W4" s="70">
        <v>56</v>
      </c>
      <c r="X4" s="70">
        <f t="shared" ref="X4:X10" si="1">SUM(U4:W4)</f>
        <v>168</v>
      </c>
    </row>
    <row r="5" spans="2:24">
      <c r="B5" t="s">
        <v>231</v>
      </c>
      <c r="F5" s="135">
        <f>+W10-6.3</f>
        <v>486.9</v>
      </c>
      <c r="G5">
        <v>2025</v>
      </c>
      <c r="H5" s="114">
        <f>+SUMIFS(' חלופה 1 20% מתחדש -תמג 3 '!$A$32:$A$38,' חלופה 1 20% מתחדש -תמג 3 '!$B$32:$B$38,G5)</f>
        <v>0.92991335997225155</v>
      </c>
      <c r="R5" s="67" t="s">
        <v>264</v>
      </c>
      <c r="S5" s="72">
        <v>4.3</v>
      </c>
      <c r="T5" s="73">
        <v>4.3</v>
      </c>
      <c r="U5" s="74">
        <f t="shared" si="0"/>
        <v>8.6</v>
      </c>
      <c r="V5" s="74">
        <v>15</v>
      </c>
      <c r="W5" s="74">
        <v>15</v>
      </c>
      <c r="X5" s="74">
        <f t="shared" si="1"/>
        <v>38.6</v>
      </c>
    </row>
    <row r="6" spans="2:24">
      <c r="B6" t="s">
        <v>253</v>
      </c>
      <c r="F6">
        <v>400</v>
      </c>
      <c r="G6">
        <v>2024</v>
      </c>
      <c r="H6" s="114">
        <f>+SUMIFS(' חלופה 1 20% מתחדש -תמג 3 '!$A$32:$A$38,' חלופה 1 20% מתחדש -תמג 3 '!$B$32:$B$38,G6)</f>
        <v>0.96432015429122475</v>
      </c>
      <c r="R6" s="67" t="s">
        <v>265</v>
      </c>
      <c r="S6" s="72">
        <v>78</v>
      </c>
      <c r="T6" s="73">
        <v>69</v>
      </c>
      <c r="U6" s="74">
        <f t="shared" si="0"/>
        <v>147</v>
      </c>
      <c r="V6" s="74">
        <v>187</v>
      </c>
      <c r="W6" s="74">
        <v>135</v>
      </c>
      <c r="X6" s="74">
        <f t="shared" si="1"/>
        <v>469</v>
      </c>
    </row>
    <row r="7" spans="2:24">
      <c r="B7" t="s">
        <v>254</v>
      </c>
      <c r="F7">
        <f>-SUM(V13:W14)</f>
        <v>-80</v>
      </c>
      <c r="G7">
        <v>2024</v>
      </c>
      <c r="H7" s="114">
        <f>+SUMIFS(' חלופה 1 20% מתחדש -תמג 3 '!$A$32:$A$38,' חלופה 1 20% מתחדש -תמג 3 '!$B$32:$B$38,G7)</f>
        <v>0.96432015429122475</v>
      </c>
      <c r="R7" s="67" t="s">
        <v>266</v>
      </c>
      <c r="S7" s="72">
        <v>71</v>
      </c>
      <c r="T7" s="73">
        <v>43.4</v>
      </c>
      <c r="U7" s="74">
        <f t="shared" si="0"/>
        <v>114.4</v>
      </c>
      <c r="V7" s="74">
        <v>100</v>
      </c>
      <c r="W7" s="74">
        <v>100</v>
      </c>
      <c r="X7" s="74">
        <f t="shared" si="1"/>
        <v>314.39999999999998</v>
      </c>
    </row>
    <row r="8" spans="2:24" ht="15">
      <c r="B8" s="4" t="s">
        <v>232</v>
      </c>
      <c r="C8" s="4"/>
      <c r="D8" s="4"/>
      <c r="E8" s="4"/>
      <c r="F8" s="36">
        <f>SUM(F4:F7)</f>
        <v>1346.9</v>
      </c>
      <c r="H8" s="59">
        <f>+SUMPRODUCT(H4:H7,F4:F7)</f>
        <v>1282.0901476609426</v>
      </c>
      <c r="I8" s="6">
        <f>+H8</f>
        <v>1282.0901476609426</v>
      </c>
      <c r="R8" s="75" t="s">
        <v>267</v>
      </c>
      <c r="S8" s="76">
        <f>SUM(S$3:S$7)</f>
        <v>238.3</v>
      </c>
      <c r="T8" s="77">
        <v>191.7</v>
      </c>
      <c r="U8" s="78">
        <f t="shared" si="0"/>
        <v>430</v>
      </c>
      <c r="V8" s="78">
        <f>SUM(V3:V7)</f>
        <v>450</v>
      </c>
      <c r="W8" s="78">
        <f>SUM(W3:W7)</f>
        <v>411</v>
      </c>
      <c r="X8" s="78">
        <f t="shared" si="1"/>
        <v>1291</v>
      </c>
    </row>
    <row r="9" spans="2:24" ht="30">
      <c r="B9" s="4"/>
      <c r="C9" s="4"/>
      <c r="D9" s="120" t="s">
        <v>251</v>
      </c>
      <c r="E9" s="123" t="s">
        <v>326</v>
      </c>
      <c r="F9" s="122" t="s">
        <v>327</v>
      </c>
      <c r="G9" s="123" t="s">
        <v>334</v>
      </c>
      <c r="H9" s="120" t="s">
        <v>324</v>
      </c>
      <c r="I9" s="123" t="s">
        <v>335</v>
      </c>
      <c r="J9" s="120" t="s">
        <v>324</v>
      </c>
      <c r="L9" s="120" t="s">
        <v>325</v>
      </c>
      <c r="M9" s="120" t="s">
        <v>250</v>
      </c>
      <c r="N9" s="120" t="s">
        <v>251</v>
      </c>
      <c r="R9" s="67" t="s">
        <v>268</v>
      </c>
      <c r="S9" s="72">
        <f>S8*0.2</f>
        <v>47.660000000000004</v>
      </c>
      <c r="T9" s="73">
        <f>T8*0.2</f>
        <v>38.339999999999996</v>
      </c>
      <c r="U9" s="74">
        <f t="shared" si="0"/>
        <v>86</v>
      </c>
      <c r="V9" s="74">
        <f>V8*0.2</f>
        <v>90</v>
      </c>
      <c r="W9" s="74">
        <f>W8*0.2</f>
        <v>82.2</v>
      </c>
      <c r="X9" s="74">
        <f t="shared" si="1"/>
        <v>258.2</v>
      </c>
    </row>
    <row r="10" spans="2:24" ht="15">
      <c r="B10" s="4" t="s">
        <v>329</v>
      </c>
      <c r="C10" s="4"/>
      <c r="D10" s="62">
        <f>+N10</f>
        <v>205.76388888888889</v>
      </c>
      <c r="E10" s="4">
        <f>+H56</f>
        <v>575</v>
      </c>
      <c r="F10" s="156">
        <f>+E10*D10/1000</f>
        <v>118.31423611111111</v>
      </c>
      <c r="G10">
        <v>2024</v>
      </c>
      <c r="H10" s="114">
        <f>+SUMIFS(' חלופה 1 20% מתחדש -תמג 3 '!$A$32:$A$38,' חלופה 1 20% מתחדש -תמג 3 '!$B$32:$B$38,G10)</f>
        <v>0.96432015429122475</v>
      </c>
      <c r="I10">
        <v>2024</v>
      </c>
      <c r="J10" s="114">
        <f>+SUMIFS(' חלופה 1 20% מתחדש -תמג 3 '!$A$32:$A$38,' חלופה 1 20% מתחדש -תמג 3 '!$B$32:$B$38,I10)</f>
        <v>0.96432015429122475</v>
      </c>
      <c r="L10" s="157">
        <f>[5]הון!$D$13</f>
        <v>296.3</v>
      </c>
      <c r="M10" s="120">
        <f>360*4</f>
        <v>1440</v>
      </c>
      <c r="N10" s="121">
        <f>+L10*1000/M10</f>
        <v>205.76388888888889</v>
      </c>
      <c r="R10" s="75" t="s">
        <v>261</v>
      </c>
      <c r="S10" s="76">
        <f>S$8+S$9</f>
        <v>285.96000000000004</v>
      </c>
      <c r="T10" s="77">
        <f>T$8+T$9</f>
        <v>230.04</v>
      </c>
      <c r="U10" s="78">
        <f t="shared" si="0"/>
        <v>516</v>
      </c>
      <c r="V10" s="78">
        <f>V8+V9</f>
        <v>540</v>
      </c>
      <c r="W10" s="78">
        <f>W8+W9</f>
        <v>493.2</v>
      </c>
      <c r="X10" s="78">
        <f t="shared" si="1"/>
        <v>1549.2</v>
      </c>
    </row>
    <row r="11" spans="2:24" ht="15">
      <c r="B11" s="4" t="s">
        <v>333</v>
      </c>
      <c r="C11" s="4"/>
      <c r="D11" s="62">
        <f>+D10</f>
        <v>205.76388888888889</v>
      </c>
      <c r="E11" s="4">
        <f>+G56</f>
        <v>575</v>
      </c>
      <c r="F11" s="36">
        <f>+E11*D11/1000</f>
        <v>118.31423611111111</v>
      </c>
      <c r="G11">
        <v>2028</v>
      </c>
      <c r="H11" s="114">
        <f>+SUMIFS(' חלופה 1 20% מתחדש -תמג 3 '!$A$32:$A$38,' חלופה 1 20% מתחדש -תמג 3 '!$B$32:$B$38,G11)</f>
        <v>0.8338851080567814</v>
      </c>
      <c r="I11">
        <v>2027</v>
      </c>
      <c r="J11" s="114">
        <f>+SUMIFS(' חלופה 1 20% מתחדש -תמג 3 '!$A$32:$A$38,' חלופה 1 20% מתחדש -תמג 3 '!$B$32:$B$38,I11)</f>
        <v>0.86473885705488229</v>
      </c>
      <c r="R11" s="75"/>
      <c r="S11" s="76"/>
      <c r="T11" s="81"/>
      <c r="U11" s="81"/>
      <c r="V11" s="81"/>
      <c r="W11" s="81"/>
      <c r="X11" s="81"/>
    </row>
    <row r="12" spans="2:24" ht="15">
      <c r="B12" s="4" t="s">
        <v>328</v>
      </c>
      <c r="C12" s="4"/>
      <c r="D12" s="62">
        <f>+D10</f>
        <v>205.76388888888889</v>
      </c>
      <c r="E12" s="4">
        <f>+F56+E56</f>
        <v>1100</v>
      </c>
      <c r="F12" s="36">
        <f>+E12*D12/1000</f>
        <v>226.34027777777777</v>
      </c>
      <c r="G12">
        <v>2029</v>
      </c>
      <c r="H12" s="114">
        <f>+SUMIFS(' חלופה 1 20% מתחדש -תמג 3 '!$A$32:$A$38,' חלופה 1 20% מתחדש -תמג 3 '!$B$32:$B$38,G12)</f>
        <v>0.8041322160624701</v>
      </c>
      <c r="I12">
        <v>2028</v>
      </c>
      <c r="J12" s="114">
        <f>+SUMIFS(' חלופה 1 20% מתחדש -תמג 3 '!$A$32:$A$38,' חלופה 1 20% מתחדש -תמג 3 '!$B$32:$B$38,I12)</f>
        <v>0.8338851080567814</v>
      </c>
      <c r="S12" s="79"/>
      <c r="T12" s="79"/>
      <c r="U12" s="79"/>
      <c r="V12" s="79"/>
      <c r="W12" s="79"/>
      <c r="X12" s="79"/>
    </row>
    <row r="13" spans="2:24">
      <c r="H13" s="6">
        <f>+SUMPRODUCT(H10:H12,F10:F12)</f>
        <v>394.760791139324</v>
      </c>
      <c r="J13" s="6">
        <f>+SUMPRODUCT(J10:J12,F10:F12)</f>
        <v>405.1455067218829</v>
      </c>
      <c r="R13" s="67" t="s">
        <v>340</v>
      </c>
      <c r="S13" s="68">
        <f>+X13-T13-V13-W13</f>
        <v>167</v>
      </c>
      <c r="T13" s="69">
        <v>39</v>
      </c>
      <c r="U13" s="70">
        <f>SUM(S13:T13)</f>
        <v>206</v>
      </c>
      <c r="V13" s="70">
        <v>27</v>
      </c>
      <c r="W13" s="70">
        <v>1</v>
      </c>
      <c r="X13" s="70">
        <v>234</v>
      </c>
    </row>
    <row r="14" spans="2:24" ht="43.5">
      <c r="B14" s="4" t="s">
        <v>252</v>
      </c>
      <c r="C14" s="4"/>
      <c r="D14" s="4"/>
      <c r="E14" s="4"/>
      <c r="F14" s="62">
        <f>+F8-F10-F12-F11</f>
        <v>883.93125000000009</v>
      </c>
      <c r="H14" s="6">
        <f>+H8-H13</f>
        <v>887.32935652161859</v>
      </c>
      <c r="J14" s="6">
        <f>+I8-J13</f>
        <v>876.94464093905981</v>
      </c>
      <c r="R14" s="71" t="s">
        <v>341</v>
      </c>
      <c r="S14" s="68"/>
      <c r="T14" s="69">
        <v>34</v>
      </c>
      <c r="U14" s="70">
        <f>SUM(S14:T14)</f>
        <v>34</v>
      </c>
      <c r="V14" s="70">
        <v>51</v>
      </c>
      <c r="W14" s="70">
        <v>1</v>
      </c>
      <c r="X14" s="70">
        <f>SUM(U14:W14)</f>
        <v>86</v>
      </c>
    </row>
    <row r="15" spans="2:24" ht="15">
      <c r="F15" s="5"/>
      <c r="R15" s="75" t="s">
        <v>342</v>
      </c>
      <c r="S15" s="137">
        <f>SUM(S13:S14)</f>
        <v>167</v>
      </c>
      <c r="T15" s="138">
        <f>SUM(T13:T14)</f>
        <v>73</v>
      </c>
      <c r="U15" s="139">
        <f>SUM(S15:T15)</f>
        <v>240</v>
      </c>
      <c r="V15" s="139">
        <f t="shared" ref="V15:W15" si="2">SUM(V13:V14)</f>
        <v>78</v>
      </c>
      <c r="W15" s="139">
        <f t="shared" si="2"/>
        <v>2</v>
      </c>
      <c r="X15" s="139">
        <f>SUM(U15:W15)</f>
        <v>320</v>
      </c>
    </row>
    <row r="16" spans="2:24">
      <c r="B16" t="s">
        <v>330</v>
      </c>
      <c r="E16" t="s">
        <v>245</v>
      </c>
      <c r="F16" s="6">
        <f>+M23</f>
        <v>116.33333333333333</v>
      </c>
      <c r="G16" s="60" t="s">
        <v>233</v>
      </c>
      <c r="S16" s="79"/>
      <c r="T16" s="79"/>
      <c r="U16" s="79"/>
      <c r="V16" s="79"/>
      <c r="W16" s="79"/>
      <c r="X16" s="79"/>
    </row>
    <row r="17" spans="2:24">
      <c r="B17" t="s">
        <v>331</v>
      </c>
      <c r="E17" t="s">
        <v>246</v>
      </c>
      <c r="F17" s="160">
        <f>+'עלויות תפעול חם'!H18</f>
        <v>94.252694859038144</v>
      </c>
      <c r="G17" s="60" t="s">
        <v>233</v>
      </c>
      <c r="I17" s="158"/>
      <c r="S17" s="79"/>
      <c r="T17" s="79"/>
      <c r="U17" s="79"/>
      <c r="V17" s="79"/>
      <c r="W17" s="79"/>
      <c r="X17" s="79"/>
    </row>
    <row r="18" spans="2:24">
      <c r="B18" t="s">
        <v>332</v>
      </c>
      <c r="E18" t="s">
        <v>244</v>
      </c>
      <c r="F18" s="59">
        <f>+M24</f>
        <v>79.127450980392155</v>
      </c>
      <c r="G18" s="60" t="s">
        <v>233</v>
      </c>
      <c r="M18" t="s">
        <v>238</v>
      </c>
      <c r="N18" t="s">
        <v>236</v>
      </c>
    </row>
    <row r="19" spans="2:24">
      <c r="B19" t="s">
        <v>240</v>
      </c>
      <c r="F19" s="59">
        <f>+F18-F17</f>
        <v>-15.125243878645989</v>
      </c>
      <c r="G19" s="60" t="s">
        <v>233</v>
      </c>
      <c r="L19" t="s">
        <v>234</v>
      </c>
      <c r="M19">
        <v>126.5</v>
      </c>
      <c r="N19" s="35">
        <f>+M19/6</f>
        <v>21.083333333333332</v>
      </c>
    </row>
    <row r="20" spans="2:24">
      <c r="L20" t="s">
        <v>235</v>
      </c>
      <c r="M20">
        <f>575*4+550*2</f>
        <v>3400</v>
      </c>
    </row>
    <row r="21" spans="2:24">
      <c r="L21" t="s">
        <v>237</v>
      </c>
      <c r="M21" s="6">
        <f>+M19/M20*1000</f>
        <v>37.205882352941181</v>
      </c>
    </row>
    <row r="22" spans="2:24">
      <c r="B22" t="s">
        <v>243</v>
      </c>
      <c r="L22" t="s">
        <v>337</v>
      </c>
      <c r="M22">
        <f>109*2+121*2+119*2</f>
        <v>698</v>
      </c>
    </row>
    <row r="23" spans="2:24">
      <c r="C23" t="s">
        <v>241</v>
      </c>
      <c r="G23" t="s">
        <v>242</v>
      </c>
      <c r="L23" t="s">
        <v>336</v>
      </c>
      <c r="M23" s="6">
        <f>+M22/6</f>
        <v>116.33333333333333</v>
      </c>
    </row>
    <row r="24" spans="2:24">
      <c r="C24">
        <v>1</v>
      </c>
      <c r="D24">
        <v>2</v>
      </c>
      <c r="E24">
        <v>3</v>
      </c>
      <c r="F24">
        <v>4</v>
      </c>
      <c r="G24">
        <v>5</v>
      </c>
      <c r="H24">
        <v>6</v>
      </c>
      <c r="L24" t="s">
        <v>239</v>
      </c>
      <c r="M24" s="6">
        <f>+M23-M21</f>
        <v>79.127450980392155</v>
      </c>
    </row>
    <row r="25" spans="2:24">
      <c r="B25">
        <v>2024</v>
      </c>
      <c r="C25" t="s">
        <v>244</v>
      </c>
      <c r="D25" t="s">
        <v>244</v>
      </c>
      <c r="E25" t="s">
        <v>245</v>
      </c>
      <c r="F25" t="s">
        <v>245</v>
      </c>
      <c r="G25" t="s">
        <v>245</v>
      </c>
      <c r="H25" t="s">
        <v>245</v>
      </c>
      <c r="L25" t="s">
        <v>369</v>
      </c>
    </row>
    <row r="26" spans="2:24">
      <c r="B26">
        <f>+B25+1</f>
        <v>2025</v>
      </c>
      <c r="C26" t="s">
        <v>244</v>
      </c>
      <c r="D26" t="s">
        <v>244</v>
      </c>
      <c r="E26" t="s">
        <v>244</v>
      </c>
      <c r="F26" t="s">
        <v>244</v>
      </c>
      <c r="G26" t="s">
        <v>245</v>
      </c>
      <c r="H26" t="s">
        <v>245</v>
      </c>
    </row>
    <row r="27" spans="2:24">
      <c r="B27">
        <f t="shared" ref="B27:B31" si="3">+B26+1</f>
        <v>2026</v>
      </c>
      <c r="C27" t="s">
        <v>244</v>
      </c>
      <c r="D27" t="s">
        <v>244</v>
      </c>
      <c r="E27" t="s">
        <v>244</v>
      </c>
      <c r="F27" t="s">
        <v>244</v>
      </c>
      <c r="G27" t="s">
        <v>244</v>
      </c>
      <c r="H27" t="s">
        <v>244</v>
      </c>
    </row>
    <row r="28" spans="2:24">
      <c r="B28">
        <f t="shared" si="3"/>
        <v>2027</v>
      </c>
      <c r="C28" t="s">
        <v>244</v>
      </c>
      <c r="D28" t="s">
        <v>244</v>
      </c>
      <c r="E28" t="s">
        <v>244</v>
      </c>
      <c r="F28" t="s">
        <v>244</v>
      </c>
      <c r="G28" t="s">
        <v>244</v>
      </c>
      <c r="H28" t="s">
        <v>244</v>
      </c>
    </row>
    <row r="29" spans="2:24">
      <c r="B29">
        <f t="shared" si="3"/>
        <v>2028</v>
      </c>
      <c r="C29" t="s">
        <v>244</v>
      </c>
      <c r="D29" t="s">
        <v>244</v>
      </c>
      <c r="E29" t="s">
        <v>244</v>
      </c>
      <c r="F29" t="s">
        <v>244</v>
      </c>
      <c r="G29" t="s">
        <v>244</v>
      </c>
      <c r="H29" t="s">
        <v>244</v>
      </c>
    </row>
    <row r="30" spans="2:24">
      <c r="B30">
        <f t="shared" si="3"/>
        <v>2029</v>
      </c>
      <c r="C30" t="s">
        <v>244</v>
      </c>
      <c r="D30" t="s">
        <v>244</v>
      </c>
      <c r="E30" t="s">
        <v>244</v>
      </c>
      <c r="F30" t="s">
        <v>244</v>
      </c>
      <c r="G30" t="s">
        <v>244</v>
      </c>
      <c r="H30" t="s">
        <v>244</v>
      </c>
    </row>
    <row r="31" spans="2:24">
      <c r="B31">
        <f t="shared" si="3"/>
        <v>2030</v>
      </c>
      <c r="C31" t="s">
        <v>244</v>
      </c>
      <c r="D31" t="s">
        <v>244</v>
      </c>
      <c r="E31" t="s">
        <v>244</v>
      </c>
      <c r="F31" t="s">
        <v>244</v>
      </c>
      <c r="G31" t="s">
        <v>244</v>
      </c>
      <c r="H31" t="s">
        <v>244</v>
      </c>
    </row>
    <row r="33" spans="2:8">
      <c r="B33" t="s">
        <v>247</v>
      </c>
    </row>
    <row r="34" spans="2:8">
      <c r="C34" t="s">
        <v>241</v>
      </c>
      <c r="G34" t="s">
        <v>242</v>
      </c>
    </row>
    <row r="35" spans="2:8">
      <c r="C35">
        <v>1</v>
      </c>
      <c r="D35">
        <v>2</v>
      </c>
      <c r="E35">
        <v>3</v>
      </c>
      <c r="F35">
        <v>4</v>
      </c>
      <c r="G35">
        <v>5</v>
      </c>
      <c r="H35">
        <v>6</v>
      </c>
    </row>
    <row r="36" spans="2:8">
      <c r="B36">
        <v>2024</v>
      </c>
      <c r="C36" t="s">
        <v>244</v>
      </c>
      <c r="D36" t="s">
        <v>244</v>
      </c>
      <c r="E36" t="s">
        <v>245</v>
      </c>
      <c r="F36" t="s">
        <v>245</v>
      </c>
      <c r="G36" t="s">
        <v>245</v>
      </c>
      <c r="H36" t="s">
        <v>245</v>
      </c>
    </row>
    <row r="37" spans="2:8">
      <c r="B37">
        <f>+B36+1</f>
        <v>2025</v>
      </c>
      <c r="C37" t="s">
        <v>244</v>
      </c>
      <c r="D37" t="s">
        <v>244</v>
      </c>
      <c r="E37" t="s">
        <v>246</v>
      </c>
      <c r="F37" t="s">
        <v>245</v>
      </c>
      <c r="G37" t="s">
        <v>245</v>
      </c>
      <c r="H37" t="s">
        <v>245</v>
      </c>
    </row>
    <row r="38" spans="2:8">
      <c r="B38">
        <f t="shared" ref="B38:B42" si="4">+B37+1</f>
        <v>2026</v>
      </c>
      <c r="C38" t="s">
        <v>244</v>
      </c>
      <c r="D38" t="s">
        <v>244</v>
      </c>
      <c r="E38" t="s">
        <v>246</v>
      </c>
      <c r="F38" t="s">
        <v>245</v>
      </c>
      <c r="G38" t="s">
        <v>245</v>
      </c>
      <c r="H38" t="s">
        <v>245</v>
      </c>
    </row>
    <row r="39" spans="2:8">
      <c r="B39">
        <f t="shared" si="4"/>
        <v>2027</v>
      </c>
      <c r="C39" t="s">
        <v>244</v>
      </c>
      <c r="D39" t="s">
        <v>244</v>
      </c>
      <c r="E39" t="s">
        <v>246</v>
      </c>
      <c r="F39" t="s">
        <v>245</v>
      </c>
      <c r="G39" t="s">
        <v>245</v>
      </c>
      <c r="H39" t="s">
        <v>245</v>
      </c>
    </row>
    <row r="40" spans="2:8">
      <c r="B40">
        <f t="shared" si="4"/>
        <v>2028</v>
      </c>
      <c r="C40" t="s">
        <v>244</v>
      </c>
      <c r="D40" t="s">
        <v>244</v>
      </c>
      <c r="E40" t="s">
        <v>246</v>
      </c>
      <c r="F40" t="s">
        <v>245</v>
      </c>
      <c r="G40" t="s">
        <v>245</v>
      </c>
      <c r="H40" t="s">
        <v>245</v>
      </c>
    </row>
    <row r="41" spans="2:8">
      <c r="B41">
        <f t="shared" si="4"/>
        <v>2029</v>
      </c>
      <c r="C41" t="s">
        <v>244</v>
      </c>
      <c r="D41" t="s">
        <v>244</v>
      </c>
      <c r="E41" t="s">
        <v>246</v>
      </c>
      <c r="F41" t="s">
        <v>246</v>
      </c>
      <c r="G41" t="s">
        <v>245</v>
      </c>
      <c r="H41" t="s">
        <v>245</v>
      </c>
    </row>
    <row r="42" spans="2:8">
      <c r="B42">
        <f t="shared" si="4"/>
        <v>2030</v>
      </c>
      <c r="C42" t="s">
        <v>244</v>
      </c>
      <c r="D42" t="s">
        <v>244</v>
      </c>
      <c r="E42" t="s">
        <v>246</v>
      </c>
      <c r="F42" t="s">
        <v>246</v>
      </c>
      <c r="G42" t="s">
        <v>246</v>
      </c>
      <c r="H42" t="s">
        <v>246</v>
      </c>
    </row>
    <row r="45" spans="2:8">
      <c r="B45" t="s">
        <v>248</v>
      </c>
    </row>
    <row r="46" spans="2:8">
      <c r="C46" t="s">
        <v>241</v>
      </c>
      <c r="G46" t="s">
        <v>242</v>
      </c>
    </row>
    <row r="47" spans="2:8">
      <c r="C47">
        <v>1</v>
      </c>
      <c r="D47">
        <v>2</v>
      </c>
      <c r="E47">
        <v>3</v>
      </c>
      <c r="F47">
        <v>4</v>
      </c>
      <c r="G47">
        <v>5</v>
      </c>
      <c r="H47">
        <v>6</v>
      </c>
    </row>
    <row r="48" spans="2:8">
      <c r="B48">
        <v>2024</v>
      </c>
      <c r="C48" t="s">
        <v>244</v>
      </c>
      <c r="D48" t="s">
        <v>244</v>
      </c>
      <c r="E48" t="s">
        <v>245</v>
      </c>
      <c r="F48" t="s">
        <v>245</v>
      </c>
      <c r="G48" t="s">
        <v>245</v>
      </c>
      <c r="H48" t="s">
        <v>245</v>
      </c>
    </row>
    <row r="49" spans="1:9">
      <c r="B49">
        <f>+B48+1</f>
        <v>2025</v>
      </c>
      <c r="C49" t="s">
        <v>244</v>
      </c>
      <c r="D49" t="s">
        <v>244</v>
      </c>
      <c r="E49" t="s">
        <v>246</v>
      </c>
      <c r="F49" t="s">
        <v>245</v>
      </c>
      <c r="G49" t="s">
        <v>245</v>
      </c>
      <c r="H49" t="s">
        <v>245</v>
      </c>
    </row>
    <row r="50" spans="1:9">
      <c r="B50">
        <f t="shared" ref="B50:B54" si="5">+B49+1</f>
        <v>2026</v>
      </c>
      <c r="C50" t="s">
        <v>244</v>
      </c>
      <c r="D50" t="s">
        <v>244</v>
      </c>
      <c r="E50" t="s">
        <v>246</v>
      </c>
      <c r="F50" t="s">
        <v>245</v>
      </c>
      <c r="G50" t="s">
        <v>245</v>
      </c>
      <c r="H50" t="s">
        <v>245</v>
      </c>
    </row>
    <row r="51" spans="1:9">
      <c r="B51">
        <f t="shared" si="5"/>
        <v>2027</v>
      </c>
      <c r="C51" t="s">
        <v>244</v>
      </c>
      <c r="D51" t="s">
        <v>244</v>
      </c>
      <c r="E51" t="s">
        <v>246</v>
      </c>
      <c r="F51" t="s">
        <v>245</v>
      </c>
      <c r="G51" t="s">
        <v>245</v>
      </c>
      <c r="H51" t="s">
        <v>245</v>
      </c>
    </row>
    <row r="52" spans="1:9">
      <c r="B52">
        <f t="shared" si="5"/>
        <v>2028</v>
      </c>
      <c r="C52" t="s">
        <v>244</v>
      </c>
      <c r="D52" t="s">
        <v>244</v>
      </c>
      <c r="E52" t="s">
        <v>246</v>
      </c>
      <c r="F52" t="s">
        <v>246</v>
      </c>
      <c r="G52" t="s">
        <v>245</v>
      </c>
      <c r="H52" t="s">
        <v>245</v>
      </c>
    </row>
    <row r="53" spans="1:9">
      <c r="B53">
        <f t="shared" si="5"/>
        <v>2029</v>
      </c>
      <c r="C53" t="s">
        <v>244</v>
      </c>
      <c r="D53" t="s">
        <v>244</v>
      </c>
      <c r="E53" t="s">
        <v>246</v>
      </c>
      <c r="F53" t="s">
        <v>246</v>
      </c>
      <c r="G53" t="s">
        <v>246</v>
      </c>
      <c r="H53" t="s">
        <v>246</v>
      </c>
    </row>
    <row r="54" spans="1:9">
      <c r="B54">
        <f t="shared" si="5"/>
        <v>2030</v>
      </c>
      <c r="C54" t="s">
        <v>244</v>
      </c>
      <c r="D54" t="s">
        <v>244</v>
      </c>
      <c r="E54" t="s">
        <v>246</v>
      </c>
      <c r="F54" t="s">
        <v>246</v>
      </c>
      <c r="G54" t="s">
        <v>246</v>
      </c>
      <c r="H54" t="s">
        <v>246</v>
      </c>
    </row>
    <row r="56" spans="1:9">
      <c r="C56">
        <v>575</v>
      </c>
      <c r="D56">
        <v>575</v>
      </c>
      <c r="E56">
        <v>550</v>
      </c>
      <c r="F56">
        <v>550</v>
      </c>
      <c r="G56">
        <v>575</v>
      </c>
      <c r="H56">
        <v>575</v>
      </c>
    </row>
    <row r="58" spans="1:9">
      <c r="B58" t="s">
        <v>249</v>
      </c>
      <c r="F58" s="10"/>
    </row>
    <row r="59" spans="1:9">
      <c r="C59" s="262" t="s">
        <v>241</v>
      </c>
      <c r="D59" s="262"/>
      <c r="E59" s="262"/>
      <c r="F59" s="262"/>
      <c r="G59" s="262" t="s">
        <v>242</v>
      </c>
      <c r="H59" s="262"/>
    </row>
    <row r="60" spans="1:9">
      <c r="C60">
        <v>1</v>
      </c>
      <c r="D60">
        <v>2</v>
      </c>
      <c r="E60">
        <v>3</v>
      </c>
      <c r="F60">
        <v>4</v>
      </c>
      <c r="G60">
        <v>5</v>
      </c>
      <c r="H60">
        <v>6</v>
      </c>
    </row>
    <row r="61" spans="1:9">
      <c r="A61">
        <f>+' חלופה 1 20% מתחדש -תמג 3 '!A32</f>
        <v>0.96432015429122475</v>
      </c>
      <c r="B61">
        <v>2024</v>
      </c>
      <c r="C61" s="6">
        <f>+VLOOKUP(C25,$E$16:$F$18,2,0)*C$56</f>
        <v>45498.284313725489</v>
      </c>
      <c r="D61" s="6">
        <f t="shared" ref="D61:G61" si="6">+VLOOKUP(D25,$E$16:$F$18,2,0)*D$56</f>
        <v>45498.284313725489</v>
      </c>
      <c r="E61" s="6">
        <f t="shared" si="6"/>
        <v>63983.333333333328</v>
      </c>
      <c r="F61" s="6">
        <f t="shared" si="6"/>
        <v>63983.333333333328</v>
      </c>
      <c r="G61" s="6">
        <f t="shared" si="6"/>
        <v>66891.666666666657</v>
      </c>
      <c r="H61" s="6">
        <f>+VLOOKUP(H25,$E$16:$F$18,2,0)*H$56</f>
        <v>66891.666666666657</v>
      </c>
      <c r="I61" s="5">
        <f t="shared" ref="I61:I67" si="7">SUM(C61:H61)</f>
        <v>352746.56862745096</v>
      </c>
    </row>
    <row r="62" spans="1:9">
      <c r="A62">
        <f>+' חלופה 1 20% מתחדש -תמג 3 '!A33</f>
        <v>0.92991335997225155</v>
      </c>
      <c r="B62">
        <f>+B61+1</f>
        <v>2025</v>
      </c>
      <c r="C62" s="6">
        <f t="shared" ref="C62:G62" si="8">+VLOOKUP(C26,$E$16:$F$18,2,0)*C$56</f>
        <v>45498.284313725489</v>
      </c>
      <c r="D62" s="6">
        <f t="shared" si="8"/>
        <v>45498.284313725489</v>
      </c>
      <c r="E62" s="6">
        <f>+VLOOKUP(E26,$E$16:$F$18,2,0)*E$56</f>
        <v>43520.098039215685</v>
      </c>
      <c r="F62" s="6">
        <f t="shared" si="8"/>
        <v>43520.098039215685</v>
      </c>
      <c r="G62" s="6">
        <f t="shared" si="8"/>
        <v>66891.666666666657</v>
      </c>
      <c r="H62" s="6">
        <f>+VLOOKUP(H26,$E$16:$F$18,2,0)*H$56</f>
        <v>66891.666666666657</v>
      </c>
      <c r="I62" s="5">
        <f t="shared" si="7"/>
        <v>311820.09803921566</v>
      </c>
    </row>
    <row r="63" spans="1:9">
      <c r="A63">
        <f>+' חלופה 1 20% מתחדש -תמג 3 '!A34</f>
        <v>0.89673419476591276</v>
      </c>
      <c r="B63">
        <f t="shared" ref="B63:B67" si="9">+B62+1</f>
        <v>2026</v>
      </c>
      <c r="C63" s="6">
        <f t="shared" ref="C63:H63" si="10">+VLOOKUP(C27,$E$16:$F$18,2,0)*C$56</f>
        <v>45498.284313725489</v>
      </c>
      <c r="D63" s="6">
        <f t="shared" si="10"/>
        <v>45498.284313725489</v>
      </c>
      <c r="E63" s="6">
        <f t="shared" si="10"/>
        <v>43520.098039215685</v>
      </c>
      <c r="F63" s="6">
        <f t="shared" si="10"/>
        <v>43520.098039215685</v>
      </c>
      <c r="G63" s="6">
        <f>+VLOOKUP(G27,$E$16:$F$18,2,0)*G$56</f>
        <v>45498.284313725489</v>
      </c>
      <c r="H63" s="6">
        <f t="shared" si="10"/>
        <v>45498.284313725489</v>
      </c>
      <c r="I63" s="5">
        <f t="shared" si="7"/>
        <v>269033.33333333331</v>
      </c>
    </row>
    <row r="64" spans="1:9">
      <c r="A64">
        <f>+' חלופה 1 20% מתחדש -תמג 3 '!A35</f>
        <v>0.86473885705488229</v>
      </c>
      <c r="B64">
        <f t="shared" si="9"/>
        <v>2027</v>
      </c>
      <c r="C64" s="6">
        <f t="shared" ref="C64:H64" si="11">+VLOOKUP(C28,$E$16:$F$18,2,0)*C$56</f>
        <v>45498.284313725489</v>
      </c>
      <c r="D64" s="6">
        <f t="shared" si="11"/>
        <v>45498.284313725489</v>
      </c>
      <c r="E64" s="6">
        <f t="shared" si="11"/>
        <v>43520.098039215685</v>
      </c>
      <c r="F64" s="6">
        <f t="shared" si="11"/>
        <v>43520.098039215685</v>
      </c>
      <c r="G64" s="6">
        <f t="shared" si="11"/>
        <v>45498.284313725489</v>
      </c>
      <c r="H64" s="6">
        <f t="shared" si="11"/>
        <v>45498.284313725489</v>
      </c>
      <c r="I64" s="5">
        <f t="shared" si="7"/>
        <v>269033.33333333331</v>
      </c>
    </row>
    <row r="65" spans="1:10">
      <c r="A65">
        <f>+' חלופה 1 20% מתחדש -תמג 3 '!A36</f>
        <v>0.8338851080567814</v>
      </c>
      <c r="B65">
        <f t="shared" si="9"/>
        <v>2028</v>
      </c>
      <c r="C65" s="6">
        <f t="shared" ref="C65:G65" si="12">+VLOOKUP(C29,$E$16:$F$18,2,0)*C$56</f>
        <v>45498.284313725489</v>
      </c>
      <c r="D65" s="6">
        <f t="shared" si="12"/>
        <v>45498.284313725489</v>
      </c>
      <c r="E65" s="6">
        <f t="shared" si="12"/>
        <v>43520.098039215685</v>
      </c>
      <c r="F65" s="6">
        <f>+VLOOKUP(F29,$E$16:$F$18,2,0)*F$56</f>
        <v>43520.098039215685</v>
      </c>
      <c r="G65" s="6">
        <f t="shared" si="12"/>
        <v>45498.284313725489</v>
      </c>
      <c r="H65" s="6">
        <f>+VLOOKUP(H29,$E$16:$F$18,2,0)*H$56</f>
        <v>45498.284313725489</v>
      </c>
      <c r="I65" s="5">
        <f>SUM(C65:H65)</f>
        <v>269033.33333333331</v>
      </c>
    </row>
    <row r="66" spans="1:10">
      <c r="A66">
        <f>+' חלופה 1 20% מתחדש -תמג 3 '!A37</f>
        <v>0.8041322160624701</v>
      </c>
      <c r="B66">
        <f t="shared" si="9"/>
        <v>2029</v>
      </c>
      <c r="C66" s="6">
        <f t="shared" ref="C66:H66" si="13">+VLOOKUP(C30,$E$16:$F$18,2,0)*C$56</f>
        <v>45498.284313725489</v>
      </c>
      <c r="D66" s="6">
        <f t="shared" si="13"/>
        <v>45498.284313725489</v>
      </c>
      <c r="E66" s="6">
        <f t="shared" si="13"/>
        <v>43520.098039215685</v>
      </c>
      <c r="F66" s="6">
        <f t="shared" si="13"/>
        <v>43520.098039215685</v>
      </c>
      <c r="G66" s="6">
        <f t="shared" si="13"/>
        <v>45498.284313725489</v>
      </c>
      <c r="H66" s="6">
        <f t="shared" si="13"/>
        <v>45498.284313725489</v>
      </c>
      <c r="I66" s="5">
        <f t="shared" si="7"/>
        <v>269033.33333333331</v>
      </c>
    </row>
    <row r="67" spans="1:10">
      <c r="A67">
        <f>+' חלופה 1 20% מתחדש -תמג 3 '!A38</f>
        <v>0.77544090266390553</v>
      </c>
      <c r="B67">
        <f t="shared" si="9"/>
        <v>2030</v>
      </c>
      <c r="C67" s="6">
        <f t="shared" ref="C67:H67" si="14">+VLOOKUP(C31,$E$16:$F$18,2,0)*C$56</f>
        <v>45498.284313725489</v>
      </c>
      <c r="D67" s="6">
        <f t="shared" si="14"/>
        <v>45498.284313725489</v>
      </c>
      <c r="E67" s="6">
        <f t="shared" si="14"/>
        <v>43520.098039215685</v>
      </c>
      <c r="F67" s="6">
        <f t="shared" si="14"/>
        <v>43520.098039215685</v>
      </c>
      <c r="G67" s="6">
        <f t="shared" si="14"/>
        <v>45498.284313725489</v>
      </c>
      <c r="H67" s="6">
        <f t="shared" si="14"/>
        <v>45498.284313725489</v>
      </c>
      <c r="I67" s="5">
        <f t="shared" si="7"/>
        <v>269033.33333333331</v>
      </c>
    </row>
    <row r="68" spans="1:10">
      <c r="I68" s="61">
        <f>+SUMPRODUCT(I61:I67,A61:A67)</f>
        <v>1753321.9788794639</v>
      </c>
      <c r="J68" s="10"/>
    </row>
    <row r="69" spans="1:10">
      <c r="B69" t="s">
        <v>247</v>
      </c>
    </row>
    <row r="70" spans="1:10">
      <c r="C70" t="s">
        <v>241</v>
      </c>
      <c r="G70" t="s">
        <v>242</v>
      </c>
    </row>
    <row r="71" spans="1:10">
      <c r="C71">
        <v>1</v>
      </c>
      <c r="D71">
        <v>2</v>
      </c>
      <c r="E71">
        <v>3</v>
      </c>
      <c r="F71">
        <v>4</v>
      </c>
      <c r="G71">
        <v>5</v>
      </c>
      <c r="H71">
        <v>6</v>
      </c>
      <c r="I71" s="61"/>
    </row>
    <row r="72" spans="1:10">
      <c r="A72">
        <f>+A61</f>
        <v>0.96432015429122475</v>
      </c>
      <c r="B72">
        <v>2024</v>
      </c>
      <c r="C72" s="6">
        <f>+VLOOKUP(C36,$E$16:$F$18,2,0)*C$56</f>
        <v>45498.284313725489</v>
      </c>
      <c r="D72" s="6">
        <f t="shared" ref="D72:H72" si="15">+VLOOKUP(D36,$E$16:$F$18,2,0)*D$56</f>
        <v>45498.284313725489</v>
      </c>
      <c r="E72" s="6">
        <f t="shared" si="15"/>
        <v>63983.333333333328</v>
      </c>
      <c r="F72" s="6">
        <f t="shared" si="15"/>
        <v>63983.333333333328</v>
      </c>
      <c r="G72" s="6">
        <f t="shared" si="15"/>
        <v>66891.666666666657</v>
      </c>
      <c r="H72" s="6">
        <f t="shared" si="15"/>
        <v>66891.666666666657</v>
      </c>
      <c r="I72" s="5">
        <f t="shared" ref="I72:I78" si="16">SUM(C72:H72)</f>
        <v>352746.56862745096</v>
      </c>
    </row>
    <row r="73" spans="1:10">
      <c r="A73">
        <f t="shared" ref="A73:A78" si="17">+A62</f>
        <v>0.92991335997225155</v>
      </c>
      <c r="B73">
        <f>+B72+1</f>
        <v>2025</v>
      </c>
      <c r="C73" s="6">
        <f t="shared" ref="C73:H73" si="18">+VLOOKUP(C37,$E$16:$F$18,2,0)*C$56</f>
        <v>45498.284313725489</v>
      </c>
      <c r="D73" s="6">
        <f t="shared" si="18"/>
        <v>45498.284313725489</v>
      </c>
      <c r="E73" s="6">
        <f t="shared" si="18"/>
        <v>51838.982172470976</v>
      </c>
      <c r="F73" s="6">
        <f t="shared" si="18"/>
        <v>63983.333333333328</v>
      </c>
      <c r="G73" s="6">
        <f t="shared" si="18"/>
        <v>66891.666666666657</v>
      </c>
      <c r="H73" s="6">
        <f t="shared" si="18"/>
        <v>66891.666666666657</v>
      </c>
      <c r="I73" s="5">
        <f t="shared" si="16"/>
        <v>340602.2174665886</v>
      </c>
    </row>
    <row r="74" spans="1:10">
      <c r="A74">
        <f t="shared" si="17"/>
        <v>0.89673419476591276</v>
      </c>
      <c r="B74">
        <f t="shared" ref="B74:B78" si="19">+B73+1</f>
        <v>2026</v>
      </c>
      <c r="C74" s="6">
        <f t="shared" ref="C74:H74" si="20">+VLOOKUP(C38,$E$16:$F$18,2,0)*C$56</f>
        <v>45498.284313725489</v>
      </c>
      <c r="D74" s="6">
        <f t="shared" si="20"/>
        <v>45498.284313725489</v>
      </c>
      <c r="E74" s="6">
        <f t="shared" si="20"/>
        <v>51838.982172470976</v>
      </c>
      <c r="F74" s="6">
        <f t="shared" si="20"/>
        <v>63983.333333333328</v>
      </c>
      <c r="G74" s="6">
        <f t="shared" si="20"/>
        <v>66891.666666666657</v>
      </c>
      <c r="H74" s="6">
        <f t="shared" si="20"/>
        <v>66891.666666666657</v>
      </c>
      <c r="I74" s="5">
        <f t="shared" si="16"/>
        <v>340602.2174665886</v>
      </c>
    </row>
    <row r="75" spans="1:10">
      <c r="A75">
        <f t="shared" si="17"/>
        <v>0.86473885705488229</v>
      </c>
      <c r="B75">
        <f t="shared" si="19"/>
        <v>2027</v>
      </c>
      <c r="C75" s="6">
        <f t="shared" ref="C75:H75" si="21">+VLOOKUP(C39,$E$16:$F$18,2,0)*C$56</f>
        <v>45498.284313725489</v>
      </c>
      <c r="D75" s="6">
        <f t="shared" si="21"/>
        <v>45498.284313725489</v>
      </c>
      <c r="E75" s="6">
        <f t="shared" si="21"/>
        <v>51838.982172470976</v>
      </c>
      <c r="F75" s="6">
        <f t="shared" si="21"/>
        <v>63983.333333333328</v>
      </c>
      <c r="G75" s="6">
        <f t="shared" si="21"/>
        <v>66891.666666666657</v>
      </c>
      <c r="H75" s="6">
        <f t="shared" si="21"/>
        <v>66891.666666666657</v>
      </c>
      <c r="I75" s="5">
        <f t="shared" si="16"/>
        <v>340602.2174665886</v>
      </c>
    </row>
    <row r="76" spans="1:10">
      <c r="A76">
        <f t="shared" si="17"/>
        <v>0.8338851080567814</v>
      </c>
      <c r="B76">
        <f t="shared" si="19"/>
        <v>2028</v>
      </c>
      <c r="C76" s="6">
        <f t="shared" ref="C76:H76" si="22">+VLOOKUP(C40,$E$16:$F$18,2,0)*C$56</f>
        <v>45498.284313725489</v>
      </c>
      <c r="D76" s="6">
        <f t="shared" si="22"/>
        <v>45498.284313725489</v>
      </c>
      <c r="E76" s="6">
        <f t="shared" si="22"/>
        <v>51838.982172470976</v>
      </c>
      <c r="F76" s="6">
        <f t="shared" si="22"/>
        <v>63983.333333333328</v>
      </c>
      <c r="G76" s="6">
        <f t="shared" si="22"/>
        <v>66891.666666666657</v>
      </c>
      <c r="H76" s="6">
        <f t="shared" si="22"/>
        <v>66891.666666666657</v>
      </c>
      <c r="I76" s="5">
        <f t="shared" si="16"/>
        <v>340602.2174665886</v>
      </c>
    </row>
    <row r="77" spans="1:10">
      <c r="A77">
        <f t="shared" si="17"/>
        <v>0.8041322160624701</v>
      </c>
      <c r="B77">
        <f t="shared" si="19"/>
        <v>2029</v>
      </c>
      <c r="C77" s="6">
        <f t="shared" ref="C77:H77" si="23">+VLOOKUP(C41,$E$16:$F$18,2,0)*C$56</f>
        <v>45498.284313725489</v>
      </c>
      <c r="D77" s="6">
        <f t="shared" si="23"/>
        <v>45498.284313725489</v>
      </c>
      <c r="E77" s="6">
        <f t="shared" si="23"/>
        <v>51838.982172470976</v>
      </c>
      <c r="F77" s="6">
        <f t="shared" si="23"/>
        <v>51838.982172470976</v>
      </c>
      <c r="G77" s="6">
        <f t="shared" si="23"/>
        <v>66891.666666666657</v>
      </c>
      <c r="H77" s="6">
        <f t="shared" si="23"/>
        <v>66891.666666666657</v>
      </c>
      <c r="I77" s="5">
        <f t="shared" si="16"/>
        <v>328457.86630572623</v>
      </c>
    </row>
    <row r="78" spans="1:10">
      <c r="A78">
        <f t="shared" si="17"/>
        <v>0.77544090266390553</v>
      </c>
      <c r="B78">
        <f t="shared" si="19"/>
        <v>2030</v>
      </c>
      <c r="C78" s="6">
        <f t="shared" ref="C78:H78" si="24">+VLOOKUP(C42,$E$16:$F$18,2,0)*C$56</f>
        <v>45498.284313725489</v>
      </c>
      <c r="D78" s="6">
        <f t="shared" si="24"/>
        <v>45498.284313725489</v>
      </c>
      <c r="E78" s="6">
        <f t="shared" si="24"/>
        <v>51838.982172470976</v>
      </c>
      <c r="F78" s="6">
        <f t="shared" si="24"/>
        <v>51838.982172470976</v>
      </c>
      <c r="G78" s="6">
        <f t="shared" si="24"/>
        <v>54195.29954394693</v>
      </c>
      <c r="H78" s="6">
        <f t="shared" si="24"/>
        <v>54195.29954394693</v>
      </c>
      <c r="I78" s="5">
        <f t="shared" si="16"/>
        <v>303065.13206028682</v>
      </c>
    </row>
    <row r="79" spans="1:10">
      <c r="I79" s="61">
        <f>+SUMPRODUCT(I72:I78,A72:A78)</f>
        <v>2040008.5738035447</v>
      </c>
    </row>
    <row r="80" spans="1:10">
      <c r="J80" s="10"/>
    </row>
    <row r="81" spans="1:9">
      <c r="B81" t="s">
        <v>248</v>
      </c>
    </row>
    <row r="82" spans="1:9">
      <c r="C82" t="s">
        <v>241</v>
      </c>
      <c r="G82" t="s">
        <v>242</v>
      </c>
    </row>
    <row r="83" spans="1:9">
      <c r="C83">
        <v>1</v>
      </c>
      <c r="D83">
        <v>2</v>
      </c>
      <c r="E83">
        <v>3</v>
      </c>
      <c r="F83">
        <v>4</v>
      </c>
      <c r="G83">
        <v>5</v>
      </c>
      <c r="H83">
        <v>6</v>
      </c>
      <c r="I83" s="61"/>
    </row>
    <row r="84" spans="1:9">
      <c r="A84">
        <f>+A72</f>
        <v>0.96432015429122475</v>
      </c>
      <c r="B84">
        <v>2024</v>
      </c>
      <c r="C84" s="6">
        <f>+VLOOKUP(C48,$E$16:$F$18,2,0)*C$56</f>
        <v>45498.284313725489</v>
      </c>
      <c r="D84" s="6">
        <f t="shared" ref="D84:H84" si="25">+VLOOKUP(D48,$E$16:$F$18,2,0)*D$56</f>
        <v>45498.284313725489</v>
      </c>
      <c r="E84" s="6">
        <f t="shared" si="25"/>
        <v>63983.333333333328</v>
      </c>
      <c r="F84" s="6">
        <f t="shared" si="25"/>
        <v>63983.333333333328</v>
      </c>
      <c r="G84" s="6">
        <f t="shared" si="25"/>
        <v>66891.666666666657</v>
      </c>
      <c r="H84" s="6">
        <f t="shared" si="25"/>
        <v>66891.666666666657</v>
      </c>
      <c r="I84" s="5">
        <f t="shared" ref="I84:I90" si="26">SUM(C84:H84)</f>
        <v>352746.56862745096</v>
      </c>
    </row>
    <row r="85" spans="1:9">
      <c r="A85">
        <f t="shared" ref="A85:A90" si="27">+A73</f>
        <v>0.92991335997225155</v>
      </c>
      <c r="B85">
        <f>+B84+1</f>
        <v>2025</v>
      </c>
      <c r="C85" s="6">
        <f t="shared" ref="C85:H85" si="28">+VLOOKUP(C49,$E$16:$F$18,2,0)*C$56</f>
        <v>45498.284313725489</v>
      </c>
      <c r="D85" s="6">
        <f t="shared" si="28"/>
        <v>45498.284313725489</v>
      </c>
      <c r="E85" s="6">
        <f t="shared" si="28"/>
        <v>51838.982172470976</v>
      </c>
      <c r="F85" s="6">
        <f t="shared" si="28"/>
        <v>63983.333333333328</v>
      </c>
      <c r="G85" s="6">
        <f t="shared" si="28"/>
        <v>66891.666666666657</v>
      </c>
      <c r="H85" s="6">
        <f t="shared" si="28"/>
        <v>66891.666666666657</v>
      </c>
      <c r="I85" s="5">
        <f t="shared" si="26"/>
        <v>340602.2174665886</v>
      </c>
    </row>
    <row r="86" spans="1:9">
      <c r="A86">
        <f t="shared" si="27"/>
        <v>0.89673419476591276</v>
      </c>
      <c r="B86">
        <f t="shared" ref="B86:B90" si="29">+B85+1</f>
        <v>2026</v>
      </c>
      <c r="C86" s="6">
        <f t="shared" ref="C86:H86" si="30">+VLOOKUP(C50,$E$16:$F$18,2,0)*C$56</f>
        <v>45498.284313725489</v>
      </c>
      <c r="D86" s="6">
        <f t="shared" si="30"/>
        <v>45498.284313725489</v>
      </c>
      <c r="E86" s="6">
        <f t="shared" si="30"/>
        <v>51838.982172470976</v>
      </c>
      <c r="F86" s="6">
        <f t="shared" si="30"/>
        <v>63983.333333333328</v>
      </c>
      <c r="G86" s="6">
        <f t="shared" si="30"/>
        <v>66891.666666666657</v>
      </c>
      <c r="H86" s="6">
        <f t="shared" si="30"/>
        <v>66891.666666666657</v>
      </c>
      <c r="I86" s="5">
        <f t="shared" si="26"/>
        <v>340602.2174665886</v>
      </c>
    </row>
    <row r="87" spans="1:9">
      <c r="A87">
        <f t="shared" si="27"/>
        <v>0.86473885705488229</v>
      </c>
      <c r="B87">
        <f t="shared" si="29"/>
        <v>2027</v>
      </c>
      <c r="C87" s="6">
        <f t="shared" ref="C87:H87" si="31">+VLOOKUP(C51,$E$16:$F$18,2,0)*C$56</f>
        <v>45498.284313725489</v>
      </c>
      <c r="D87" s="6">
        <f t="shared" si="31"/>
        <v>45498.284313725489</v>
      </c>
      <c r="E87" s="6">
        <f t="shared" si="31"/>
        <v>51838.982172470976</v>
      </c>
      <c r="F87" s="6">
        <f t="shared" si="31"/>
        <v>63983.333333333328</v>
      </c>
      <c r="G87" s="6">
        <f t="shared" si="31"/>
        <v>66891.666666666657</v>
      </c>
      <c r="H87" s="6">
        <f t="shared" si="31"/>
        <v>66891.666666666657</v>
      </c>
      <c r="I87" s="5">
        <f t="shared" si="26"/>
        <v>340602.2174665886</v>
      </c>
    </row>
    <row r="88" spans="1:9">
      <c r="A88">
        <f t="shared" si="27"/>
        <v>0.8338851080567814</v>
      </c>
      <c r="B88">
        <f t="shared" si="29"/>
        <v>2028</v>
      </c>
      <c r="C88" s="6">
        <f t="shared" ref="C88:H88" si="32">+VLOOKUP(C52,$E$16:$F$18,2,0)*C$56</f>
        <v>45498.284313725489</v>
      </c>
      <c r="D88" s="6">
        <f t="shared" si="32"/>
        <v>45498.284313725489</v>
      </c>
      <c r="E88" s="6">
        <f t="shared" si="32"/>
        <v>51838.982172470976</v>
      </c>
      <c r="F88" s="6">
        <f t="shared" si="32"/>
        <v>51838.982172470976</v>
      </c>
      <c r="G88" s="6">
        <f t="shared" si="32"/>
        <v>66891.666666666657</v>
      </c>
      <c r="H88" s="6">
        <f t="shared" si="32"/>
        <v>66891.666666666657</v>
      </c>
      <c r="I88" s="5">
        <f t="shared" si="26"/>
        <v>328457.86630572623</v>
      </c>
    </row>
    <row r="89" spans="1:9">
      <c r="A89">
        <f t="shared" si="27"/>
        <v>0.8041322160624701</v>
      </c>
      <c r="B89">
        <f t="shared" si="29"/>
        <v>2029</v>
      </c>
      <c r="C89" s="6">
        <f t="shared" ref="C89:H89" si="33">+VLOOKUP(C53,$E$16:$F$18,2,0)*C$56</f>
        <v>45498.284313725489</v>
      </c>
      <c r="D89" s="6">
        <f t="shared" si="33"/>
        <v>45498.284313725489</v>
      </c>
      <c r="E89" s="6">
        <f t="shared" si="33"/>
        <v>51838.982172470976</v>
      </c>
      <c r="F89" s="6">
        <f t="shared" si="33"/>
        <v>51838.982172470976</v>
      </c>
      <c r="G89" s="6">
        <f t="shared" si="33"/>
        <v>54195.29954394693</v>
      </c>
      <c r="H89" s="6">
        <f t="shared" si="33"/>
        <v>54195.29954394693</v>
      </c>
      <c r="I89" s="5">
        <f t="shared" si="26"/>
        <v>303065.13206028682</v>
      </c>
    </row>
    <row r="90" spans="1:9">
      <c r="A90">
        <f t="shared" si="27"/>
        <v>0.77544090266390553</v>
      </c>
      <c r="B90">
        <f t="shared" si="29"/>
        <v>2030</v>
      </c>
      <c r="C90" s="6">
        <f t="shared" ref="C90:H90" si="34">+VLOOKUP(C54,$E$16:$F$18,2,0)*C$56</f>
        <v>45498.284313725489</v>
      </c>
      <c r="D90" s="6">
        <f t="shared" si="34"/>
        <v>45498.284313725489</v>
      </c>
      <c r="E90" s="6">
        <f t="shared" si="34"/>
        <v>51838.982172470976</v>
      </c>
      <c r="F90" s="6">
        <f t="shared" si="34"/>
        <v>51838.982172470976</v>
      </c>
      <c r="G90" s="6">
        <f t="shared" si="34"/>
        <v>54195.29954394693</v>
      </c>
      <c r="H90" s="6">
        <f t="shared" si="34"/>
        <v>54195.29954394693</v>
      </c>
      <c r="I90" s="5">
        <f t="shared" si="26"/>
        <v>303065.13206028682</v>
      </c>
    </row>
    <row r="91" spans="1:9">
      <c r="I91" s="61">
        <f>+SUMPRODUCT(I84:I90,A84:A90)</f>
        <v>2009462.4645628191</v>
      </c>
    </row>
    <row r="93" spans="1:9">
      <c r="B93" t="s">
        <v>356</v>
      </c>
    </row>
    <row r="94" spans="1:9">
      <c r="C94" t="s">
        <v>241</v>
      </c>
      <c r="G94" t="s">
        <v>242</v>
      </c>
    </row>
    <row r="95" spans="1:9">
      <c r="C95">
        <v>1</v>
      </c>
      <c r="D95">
        <v>2</v>
      </c>
      <c r="E95">
        <v>3</v>
      </c>
      <c r="F95">
        <v>4</v>
      </c>
      <c r="G95">
        <v>5</v>
      </c>
      <c r="H95">
        <v>6</v>
      </c>
    </row>
    <row r="96" spans="1:9">
      <c r="A96">
        <f>+A67/(' חלופה 1 20% מתחדש -תמג 3 '!$I$1+1)</f>
        <v>0.74777329090058398</v>
      </c>
      <c r="B96">
        <v>2031</v>
      </c>
      <c r="C96" s="5">
        <f t="shared" ref="C96:H96" si="35">+C67</f>
        <v>45498.284313725489</v>
      </c>
      <c r="D96" s="5">
        <f t="shared" si="35"/>
        <v>45498.284313725489</v>
      </c>
      <c r="E96" s="5">
        <f t="shared" si="35"/>
        <v>43520.098039215685</v>
      </c>
      <c r="F96" s="5">
        <f t="shared" si="35"/>
        <v>43520.098039215685</v>
      </c>
      <c r="G96" s="5">
        <f t="shared" si="35"/>
        <v>45498.284313725489</v>
      </c>
      <c r="H96" s="5">
        <f t="shared" si="35"/>
        <v>45498.284313725489</v>
      </c>
      <c r="I96" s="5">
        <f t="shared" ref="I96" si="36">SUM(C96:H96)</f>
        <v>269033.33333333331</v>
      </c>
    </row>
    <row r="97" spans="1:9">
      <c r="A97">
        <f>+A96/(' חלופה 1 20% מתחדש -תמג 3 '!$I$1+1)</f>
        <v>0.721092855256108</v>
      </c>
      <c r="B97">
        <f>+B96+1</f>
        <v>2032</v>
      </c>
      <c r="C97" s="5">
        <f>+C96</f>
        <v>45498.284313725489</v>
      </c>
      <c r="D97" s="5">
        <f t="shared" ref="D97:H97" si="37">+D96</f>
        <v>45498.284313725489</v>
      </c>
      <c r="E97" s="5">
        <f t="shared" si="37"/>
        <v>43520.098039215685</v>
      </c>
      <c r="F97" s="5">
        <f t="shared" si="37"/>
        <v>43520.098039215685</v>
      </c>
      <c r="G97" s="5">
        <f t="shared" si="37"/>
        <v>45498.284313725489</v>
      </c>
      <c r="H97" s="5">
        <f t="shared" si="37"/>
        <v>45498.284313725489</v>
      </c>
      <c r="I97" s="5">
        <f t="shared" ref="I97" si="38">SUM(C97:H97)</f>
        <v>269033.33333333331</v>
      </c>
    </row>
    <row r="98" spans="1:9">
      <c r="A98">
        <f>+A97/(' חלופה 1 20% מתחדש -תמג 3 '!$I$1+1)</f>
        <v>0.69536437343886992</v>
      </c>
      <c r="B98">
        <f t="shared" ref="B98:B110" si="39">+B97+1</f>
        <v>2033</v>
      </c>
      <c r="C98" s="5">
        <f t="shared" ref="C98:C110" si="40">+C97</f>
        <v>45498.284313725489</v>
      </c>
      <c r="D98" s="5">
        <f t="shared" ref="D98:D110" si="41">+D97</f>
        <v>45498.284313725489</v>
      </c>
      <c r="E98" s="5">
        <f t="shared" ref="E98:E110" si="42">+E97</f>
        <v>43520.098039215685</v>
      </c>
      <c r="F98" s="5">
        <f t="shared" ref="F98:F110" si="43">+F97</f>
        <v>43520.098039215685</v>
      </c>
      <c r="G98" s="5">
        <f t="shared" ref="G98:G110" si="44">+G97</f>
        <v>45498.284313725489</v>
      </c>
      <c r="H98" s="5">
        <f t="shared" ref="H98:H110" si="45">+H97</f>
        <v>45498.284313725489</v>
      </c>
      <c r="I98" s="5">
        <f t="shared" ref="I98:I110" si="46">SUM(C98:H98)</f>
        <v>269033.33333333331</v>
      </c>
    </row>
    <row r="99" spans="1:9">
      <c r="A99">
        <f>+A98/(' חלופה 1 20% מתחדש -תמג 3 '!$I$1+1)</f>
        <v>0.67055387988319193</v>
      </c>
      <c r="B99">
        <f t="shared" si="39"/>
        <v>2034</v>
      </c>
      <c r="C99" s="5">
        <f t="shared" si="40"/>
        <v>45498.284313725489</v>
      </c>
      <c r="D99" s="5">
        <f t="shared" si="41"/>
        <v>45498.284313725489</v>
      </c>
      <c r="E99" s="5">
        <f t="shared" si="42"/>
        <v>43520.098039215685</v>
      </c>
      <c r="F99" s="5">
        <f t="shared" si="43"/>
        <v>43520.098039215685</v>
      </c>
      <c r="G99" s="5">
        <f t="shared" si="44"/>
        <v>45498.284313725489</v>
      </c>
      <c r="H99" s="5">
        <f t="shared" si="45"/>
        <v>45498.284313725489</v>
      </c>
      <c r="I99" s="5">
        <f t="shared" si="46"/>
        <v>269033.33333333331</v>
      </c>
    </row>
    <row r="100" spans="1:9">
      <c r="A100">
        <f>+A99/(' חלופה 1 20% מתחדש -תמג 3 '!$I$1+1)</f>
        <v>0.64662862090953899</v>
      </c>
      <c r="B100">
        <f t="shared" si="39"/>
        <v>2035</v>
      </c>
      <c r="C100" s="5">
        <f t="shared" si="40"/>
        <v>45498.284313725489</v>
      </c>
      <c r="D100" s="5">
        <f t="shared" si="41"/>
        <v>45498.284313725489</v>
      </c>
      <c r="E100" s="5">
        <f t="shared" si="42"/>
        <v>43520.098039215685</v>
      </c>
      <c r="F100" s="5">
        <f t="shared" si="43"/>
        <v>43520.098039215685</v>
      </c>
      <c r="G100" s="5">
        <f t="shared" si="44"/>
        <v>45498.284313725489</v>
      </c>
      <c r="H100" s="5">
        <f t="shared" si="45"/>
        <v>45498.284313725489</v>
      </c>
      <c r="I100" s="5">
        <f t="shared" si="46"/>
        <v>269033.33333333331</v>
      </c>
    </row>
    <row r="101" spans="1:9">
      <c r="A101">
        <f>+A100/(' חלופה 1 20% מתחדש -תמג 3 '!$I$1+1)</f>
        <v>0.62355701148460851</v>
      </c>
      <c r="B101">
        <f t="shared" si="39"/>
        <v>2036</v>
      </c>
      <c r="C101" s="5">
        <f t="shared" si="40"/>
        <v>45498.284313725489</v>
      </c>
      <c r="D101" s="5">
        <f t="shared" si="41"/>
        <v>45498.284313725489</v>
      </c>
      <c r="E101" s="5">
        <f t="shared" si="42"/>
        <v>43520.098039215685</v>
      </c>
      <c r="F101" s="5">
        <f t="shared" si="43"/>
        <v>43520.098039215685</v>
      </c>
      <c r="G101" s="5">
        <f t="shared" si="44"/>
        <v>45498.284313725489</v>
      </c>
      <c r="H101" s="5">
        <f t="shared" si="45"/>
        <v>45498.284313725489</v>
      </c>
      <c r="I101" s="5">
        <f t="shared" si="46"/>
        <v>269033.33333333331</v>
      </c>
    </row>
    <row r="102" spans="1:9">
      <c r="A102">
        <f>+A101/(' חלופה 1 20% מתחדש -תמג 3 '!$I$1+1)</f>
        <v>0.60130859352421273</v>
      </c>
      <c r="B102">
        <f t="shared" si="39"/>
        <v>2037</v>
      </c>
      <c r="C102" s="5">
        <f t="shared" si="40"/>
        <v>45498.284313725489</v>
      </c>
      <c r="D102" s="5">
        <f t="shared" si="41"/>
        <v>45498.284313725489</v>
      </c>
      <c r="E102" s="5">
        <f t="shared" si="42"/>
        <v>43520.098039215685</v>
      </c>
      <c r="F102" s="5">
        <f t="shared" si="43"/>
        <v>43520.098039215685</v>
      </c>
      <c r="G102" s="5">
        <f t="shared" si="44"/>
        <v>45498.284313725489</v>
      </c>
      <c r="H102" s="5">
        <f t="shared" si="45"/>
        <v>45498.284313725489</v>
      </c>
      <c r="I102" s="5">
        <f t="shared" si="46"/>
        <v>269033.33333333331</v>
      </c>
    </row>
    <row r="103" spans="1:9">
      <c r="A103">
        <f>+A102/(' חלופה 1 20% מתחדש -תמג 3 '!$I$1+1)</f>
        <v>0.57985399568390816</v>
      </c>
      <c r="B103">
        <f t="shared" si="39"/>
        <v>2038</v>
      </c>
      <c r="C103" s="5">
        <f t="shared" si="40"/>
        <v>45498.284313725489</v>
      </c>
      <c r="D103" s="5">
        <f t="shared" si="41"/>
        <v>45498.284313725489</v>
      </c>
      <c r="E103" s="5">
        <f t="shared" si="42"/>
        <v>43520.098039215685</v>
      </c>
      <c r="F103" s="5">
        <f t="shared" si="43"/>
        <v>43520.098039215685</v>
      </c>
      <c r="G103" s="5">
        <f t="shared" si="44"/>
        <v>45498.284313725489</v>
      </c>
      <c r="H103" s="5">
        <f t="shared" si="45"/>
        <v>45498.284313725489</v>
      </c>
      <c r="I103" s="5">
        <f t="shared" si="46"/>
        <v>269033.33333333331</v>
      </c>
    </row>
    <row r="104" spans="1:9">
      <c r="A104">
        <f>+A103/(' חלופה 1 20% מתחדש -תמג 3 '!$I$1+1)</f>
        <v>0.55916489458428953</v>
      </c>
      <c r="B104">
        <f t="shared" si="39"/>
        <v>2039</v>
      </c>
      <c r="C104" s="5">
        <f t="shared" si="40"/>
        <v>45498.284313725489</v>
      </c>
      <c r="D104" s="5">
        <f t="shared" si="41"/>
        <v>45498.284313725489</v>
      </c>
      <c r="E104" s="5">
        <f t="shared" si="42"/>
        <v>43520.098039215685</v>
      </c>
      <c r="F104" s="5">
        <f t="shared" si="43"/>
        <v>43520.098039215685</v>
      </c>
      <c r="G104" s="5">
        <f t="shared" si="44"/>
        <v>45498.284313725489</v>
      </c>
      <c r="H104" s="5">
        <f t="shared" si="45"/>
        <v>45498.284313725489</v>
      </c>
      <c r="I104" s="5">
        <f t="shared" si="46"/>
        <v>269033.33333333331</v>
      </c>
    </row>
    <row r="105" spans="1:9">
      <c r="A105">
        <f>+A104/(' חלופה 1 20% מתחדש -תמג 3 '!$I$1+1)</f>
        <v>0.53921397741975852</v>
      </c>
      <c r="B105">
        <f t="shared" si="39"/>
        <v>2040</v>
      </c>
      <c r="C105" s="5">
        <f t="shared" si="40"/>
        <v>45498.284313725489</v>
      </c>
      <c r="D105" s="5">
        <f t="shared" si="41"/>
        <v>45498.284313725489</v>
      </c>
      <c r="E105" s="5">
        <f t="shared" si="42"/>
        <v>43520.098039215685</v>
      </c>
      <c r="F105" s="5">
        <f t="shared" si="43"/>
        <v>43520.098039215685</v>
      </c>
      <c r="G105" s="5">
        <f t="shared" si="44"/>
        <v>45498.284313725489</v>
      </c>
      <c r="H105" s="5">
        <f t="shared" si="45"/>
        <v>45498.284313725489</v>
      </c>
      <c r="I105" s="5">
        <f t="shared" si="46"/>
        <v>269033.33333333331</v>
      </c>
    </row>
    <row r="106" spans="1:9">
      <c r="A106">
        <f>+A105/(' חלופה 1 20% מתחדש -תמג 3 '!$I$1+1)</f>
        <v>0.51997490590140649</v>
      </c>
      <c r="B106">
        <f t="shared" si="39"/>
        <v>2041</v>
      </c>
      <c r="C106" s="5">
        <f t="shared" si="40"/>
        <v>45498.284313725489</v>
      </c>
      <c r="D106" s="5">
        <f t="shared" si="41"/>
        <v>45498.284313725489</v>
      </c>
      <c r="E106" s="5">
        <f t="shared" si="42"/>
        <v>43520.098039215685</v>
      </c>
      <c r="F106" s="5">
        <f t="shared" si="43"/>
        <v>43520.098039215685</v>
      </c>
      <c r="G106" s="5">
        <f t="shared" si="44"/>
        <v>45498.284313725489</v>
      </c>
      <c r="H106" s="5">
        <f t="shared" si="45"/>
        <v>45498.284313725489</v>
      </c>
      <c r="I106" s="5">
        <f t="shared" si="46"/>
        <v>269033.33333333331</v>
      </c>
    </row>
    <row r="107" spans="1:9">
      <c r="A107">
        <f>+A106/(' חלופה 1 20% מתחדש -תמג 3 '!$I$1+1)</f>
        <v>0.50142228148640944</v>
      </c>
      <c r="B107">
        <f t="shared" si="39"/>
        <v>2042</v>
      </c>
      <c r="C107" s="5">
        <f t="shared" si="40"/>
        <v>45498.284313725489</v>
      </c>
      <c r="D107" s="5">
        <f t="shared" si="41"/>
        <v>45498.284313725489</v>
      </c>
      <c r="E107" s="5">
        <f t="shared" si="42"/>
        <v>43520.098039215685</v>
      </c>
      <c r="F107" s="5">
        <f t="shared" si="43"/>
        <v>43520.098039215685</v>
      </c>
      <c r="G107" s="5">
        <f t="shared" si="44"/>
        <v>45498.284313725489</v>
      </c>
      <c r="H107" s="5">
        <f t="shared" si="45"/>
        <v>45498.284313725489</v>
      </c>
      <c r="I107" s="5">
        <f t="shared" si="46"/>
        <v>269033.33333333331</v>
      </c>
    </row>
    <row r="108" spans="1:9">
      <c r="A108">
        <f>+A107/(' חלופה 1 20% מתחדש -תמג 3 '!$I$1+1)</f>
        <v>0.48353161184803228</v>
      </c>
      <c r="B108">
        <f t="shared" si="39"/>
        <v>2043</v>
      </c>
      <c r="C108" s="5">
        <f t="shared" si="40"/>
        <v>45498.284313725489</v>
      </c>
      <c r="D108" s="5">
        <f t="shared" si="41"/>
        <v>45498.284313725489</v>
      </c>
      <c r="E108" s="5">
        <f t="shared" si="42"/>
        <v>43520.098039215685</v>
      </c>
      <c r="F108" s="5">
        <f t="shared" si="43"/>
        <v>43520.098039215685</v>
      </c>
      <c r="G108" s="5">
        <f t="shared" si="44"/>
        <v>45498.284313725489</v>
      </c>
      <c r="H108" s="5">
        <f t="shared" si="45"/>
        <v>45498.284313725489</v>
      </c>
      <c r="I108" s="5">
        <f t="shared" si="46"/>
        <v>269033.33333333331</v>
      </c>
    </row>
    <row r="109" spans="1:9">
      <c r="A109">
        <f>+A108/(' חלופה 1 20% מתחדש -תמג 3 '!$I$1+1)</f>
        <v>0.46627927854197909</v>
      </c>
      <c r="B109">
        <f t="shared" si="39"/>
        <v>2044</v>
      </c>
      <c r="C109" s="5">
        <f t="shared" si="40"/>
        <v>45498.284313725489</v>
      </c>
      <c r="D109" s="5">
        <f t="shared" si="41"/>
        <v>45498.284313725489</v>
      </c>
      <c r="E109" s="5">
        <f t="shared" si="42"/>
        <v>43520.098039215685</v>
      </c>
      <c r="F109" s="5">
        <f t="shared" si="43"/>
        <v>43520.098039215685</v>
      </c>
      <c r="G109" s="5">
        <f t="shared" si="44"/>
        <v>45498.284313725489</v>
      </c>
      <c r="H109" s="5">
        <f t="shared" si="45"/>
        <v>45498.284313725489</v>
      </c>
      <c r="I109" s="5">
        <f t="shared" si="46"/>
        <v>269033.33333333331</v>
      </c>
    </row>
    <row r="110" spans="1:9">
      <c r="A110">
        <f>+A109/(' חלופה 1 20% מתחדש -תמג 3 '!$I$1+1)</f>
        <v>0.44964250582640225</v>
      </c>
      <c r="B110">
        <f t="shared" si="39"/>
        <v>2045</v>
      </c>
      <c r="C110" s="5">
        <f t="shared" si="40"/>
        <v>45498.284313725489</v>
      </c>
      <c r="D110" s="5">
        <f t="shared" si="41"/>
        <v>45498.284313725489</v>
      </c>
      <c r="E110" s="5">
        <f t="shared" si="42"/>
        <v>43520.098039215685</v>
      </c>
      <c r="F110" s="5">
        <f t="shared" si="43"/>
        <v>43520.098039215685</v>
      </c>
      <c r="G110" s="5">
        <f t="shared" si="44"/>
        <v>45498.284313725489</v>
      </c>
      <c r="H110" s="5">
        <f t="shared" si="45"/>
        <v>45498.284313725489</v>
      </c>
      <c r="I110" s="5">
        <f t="shared" si="46"/>
        <v>269033.33333333331</v>
      </c>
    </row>
    <row r="111" spans="1:9">
      <c r="I111" s="5">
        <f>+SUMPRODUCT(I96:I110,A96:A110)</f>
        <v>2368935.9106986444</v>
      </c>
    </row>
    <row r="113" spans="1:9">
      <c r="B113" t="s">
        <v>248</v>
      </c>
    </row>
    <row r="114" spans="1:9">
      <c r="C114" t="s">
        <v>241</v>
      </c>
      <c r="G114" t="s">
        <v>242</v>
      </c>
    </row>
    <row r="115" spans="1:9">
      <c r="C115">
        <v>1</v>
      </c>
      <c r="D115">
        <v>2</v>
      </c>
      <c r="E115">
        <v>3</v>
      </c>
      <c r="F115">
        <v>4</v>
      </c>
      <c r="G115">
        <v>5</v>
      </c>
      <c r="H115">
        <v>6</v>
      </c>
    </row>
    <row r="116" spans="1:9">
      <c r="A116">
        <f>+A78/(' חלופה 1 20% מתחדש -תמג 3 '!$I$1+1)</f>
        <v>0.74777329090058398</v>
      </c>
      <c r="B116">
        <v>2031</v>
      </c>
      <c r="C116" s="5">
        <f>+C78</f>
        <v>45498.284313725489</v>
      </c>
      <c r="D116" s="5">
        <f t="shared" ref="D116:H116" si="47">+D78</f>
        <v>45498.284313725489</v>
      </c>
      <c r="E116" s="5">
        <f t="shared" si="47"/>
        <v>51838.982172470976</v>
      </c>
      <c r="F116" s="5">
        <f t="shared" si="47"/>
        <v>51838.982172470976</v>
      </c>
      <c r="G116" s="5">
        <f t="shared" si="47"/>
        <v>54195.29954394693</v>
      </c>
      <c r="H116" s="5">
        <f t="shared" si="47"/>
        <v>54195.29954394693</v>
      </c>
      <c r="I116" s="5">
        <f t="shared" ref="I116:I130" si="48">SUM(C116:H116)</f>
        <v>303065.13206028682</v>
      </c>
    </row>
    <row r="117" spans="1:9">
      <c r="A117">
        <f>+A116/(' חלופה 1 20% מתחדש -תמג 3 '!$I$1+1)</f>
        <v>0.721092855256108</v>
      </c>
      <c r="B117">
        <f>+B116+1</f>
        <v>2032</v>
      </c>
      <c r="C117" s="5">
        <f>+C116</f>
        <v>45498.284313725489</v>
      </c>
      <c r="D117" s="5">
        <f t="shared" ref="D117:D130" si="49">+D116</f>
        <v>45498.284313725489</v>
      </c>
      <c r="E117" s="5">
        <f t="shared" ref="E117:E130" si="50">+E116</f>
        <v>51838.982172470976</v>
      </c>
      <c r="F117" s="5">
        <f t="shared" ref="F117:F130" si="51">+F116</f>
        <v>51838.982172470976</v>
      </c>
      <c r="G117" s="5">
        <f t="shared" ref="G117:G130" si="52">+G116</f>
        <v>54195.29954394693</v>
      </c>
      <c r="H117" s="5">
        <f t="shared" ref="H117:H130" si="53">+H116</f>
        <v>54195.29954394693</v>
      </c>
      <c r="I117" s="5">
        <f t="shared" si="48"/>
        <v>303065.13206028682</v>
      </c>
    </row>
    <row r="118" spans="1:9">
      <c r="A118">
        <f>+A117/(' חלופה 1 20% מתחדש -תמג 3 '!$I$1+1)</f>
        <v>0.69536437343886992</v>
      </c>
      <c r="B118">
        <f t="shared" ref="B118:B130" si="54">+B117+1</f>
        <v>2033</v>
      </c>
      <c r="C118" s="5">
        <f t="shared" ref="C118:C130" si="55">+C117</f>
        <v>45498.284313725489</v>
      </c>
      <c r="D118" s="5">
        <f t="shared" si="49"/>
        <v>45498.284313725489</v>
      </c>
      <c r="E118" s="5">
        <f t="shared" si="50"/>
        <v>51838.982172470976</v>
      </c>
      <c r="F118" s="5">
        <f t="shared" si="51"/>
        <v>51838.982172470976</v>
      </c>
      <c r="G118" s="5">
        <f t="shared" si="52"/>
        <v>54195.29954394693</v>
      </c>
      <c r="H118" s="5">
        <f t="shared" si="53"/>
        <v>54195.29954394693</v>
      </c>
      <c r="I118" s="5">
        <f t="shared" si="48"/>
        <v>303065.13206028682</v>
      </c>
    </row>
    <row r="119" spans="1:9">
      <c r="A119">
        <f>+A118/(' חלופה 1 20% מתחדש -תמג 3 '!$I$1+1)</f>
        <v>0.67055387988319193</v>
      </c>
      <c r="B119">
        <f t="shared" si="54"/>
        <v>2034</v>
      </c>
      <c r="C119" s="5">
        <f t="shared" si="55"/>
        <v>45498.284313725489</v>
      </c>
      <c r="D119" s="5">
        <f t="shared" si="49"/>
        <v>45498.284313725489</v>
      </c>
      <c r="E119" s="5">
        <f t="shared" si="50"/>
        <v>51838.982172470976</v>
      </c>
      <c r="F119" s="5">
        <f t="shared" si="51"/>
        <v>51838.982172470976</v>
      </c>
      <c r="G119" s="5">
        <f t="shared" si="52"/>
        <v>54195.29954394693</v>
      </c>
      <c r="H119" s="5">
        <f t="shared" si="53"/>
        <v>54195.29954394693</v>
      </c>
      <c r="I119" s="5">
        <f t="shared" si="48"/>
        <v>303065.13206028682</v>
      </c>
    </row>
    <row r="120" spans="1:9">
      <c r="A120">
        <f>+A119/(' חלופה 1 20% מתחדש -תמג 3 '!$I$1+1)</f>
        <v>0.64662862090953899</v>
      </c>
      <c r="B120">
        <f t="shared" si="54"/>
        <v>2035</v>
      </c>
      <c r="C120" s="5">
        <f t="shared" si="55"/>
        <v>45498.284313725489</v>
      </c>
      <c r="D120" s="5">
        <f t="shared" si="49"/>
        <v>45498.284313725489</v>
      </c>
      <c r="E120" s="5">
        <f t="shared" si="50"/>
        <v>51838.982172470976</v>
      </c>
      <c r="F120" s="5">
        <f t="shared" si="51"/>
        <v>51838.982172470976</v>
      </c>
      <c r="G120" s="5">
        <f t="shared" si="52"/>
        <v>54195.29954394693</v>
      </c>
      <c r="H120" s="5">
        <f t="shared" si="53"/>
        <v>54195.29954394693</v>
      </c>
      <c r="I120" s="5">
        <f t="shared" si="48"/>
        <v>303065.13206028682</v>
      </c>
    </row>
    <row r="121" spans="1:9">
      <c r="A121">
        <f>+A120/(' חלופה 1 20% מתחדש -תמג 3 '!$I$1+1)</f>
        <v>0.62355701148460851</v>
      </c>
      <c r="B121">
        <f t="shared" si="54"/>
        <v>2036</v>
      </c>
      <c r="C121" s="5">
        <f t="shared" si="55"/>
        <v>45498.284313725489</v>
      </c>
      <c r="D121" s="5">
        <f t="shared" si="49"/>
        <v>45498.284313725489</v>
      </c>
      <c r="E121" s="5">
        <f t="shared" si="50"/>
        <v>51838.982172470976</v>
      </c>
      <c r="F121" s="5">
        <f t="shared" si="51"/>
        <v>51838.982172470976</v>
      </c>
      <c r="G121" s="5">
        <f t="shared" si="52"/>
        <v>54195.29954394693</v>
      </c>
      <c r="H121" s="5">
        <f t="shared" si="53"/>
        <v>54195.29954394693</v>
      </c>
      <c r="I121" s="5">
        <f t="shared" si="48"/>
        <v>303065.13206028682</v>
      </c>
    </row>
    <row r="122" spans="1:9">
      <c r="A122">
        <f>+A121/(' חלופה 1 20% מתחדש -תמג 3 '!$I$1+1)</f>
        <v>0.60130859352421273</v>
      </c>
      <c r="B122">
        <f t="shared" si="54"/>
        <v>2037</v>
      </c>
      <c r="C122" s="5">
        <f t="shared" si="55"/>
        <v>45498.284313725489</v>
      </c>
      <c r="D122" s="5">
        <f t="shared" si="49"/>
        <v>45498.284313725489</v>
      </c>
      <c r="E122" s="5">
        <f t="shared" si="50"/>
        <v>51838.982172470976</v>
      </c>
      <c r="F122" s="5">
        <f t="shared" si="51"/>
        <v>51838.982172470976</v>
      </c>
      <c r="G122" s="5">
        <f t="shared" si="52"/>
        <v>54195.29954394693</v>
      </c>
      <c r="H122" s="5">
        <f t="shared" si="53"/>
        <v>54195.29954394693</v>
      </c>
      <c r="I122" s="5">
        <f t="shared" si="48"/>
        <v>303065.13206028682</v>
      </c>
    </row>
    <row r="123" spans="1:9">
      <c r="A123">
        <f>+A122/(' חלופה 1 20% מתחדש -תמג 3 '!$I$1+1)</f>
        <v>0.57985399568390816</v>
      </c>
      <c r="B123">
        <f t="shared" si="54"/>
        <v>2038</v>
      </c>
      <c r="C123" s="5">
        <f t="shared" si="55"/>
        <v>45498.284313725489</v>
      </c>
      <c r="D123" s="5">
        <f t="shared" si="49"/>
        <v>45498.284313725489</v>
      </c>
      <c r="E123" s="5">
        <f t="shared" si="50"/>
        <v>51838.982172470976</v>
      </c>
      <c r="F123" s="5">
        <f t="shared" si="51"/>
        <v>51838.982172470976</v>
      </c>
      <c r="G123" s="5">
        <f t="shared" si="52"/>
        <v>54195.29954394693</v>
      </c>
      <c r="H123" s="5">
        <f t="shared" si="53"/>
        <v>54195.29954394693</v>
      </c>
      <c r="I123" s="5">
        <f t="shared" si="48"/>
        <v>303065.13206028682</v>
      </c>
    </row>
    <row r="124" spans="1:9">
      <c r="A124">
        <f>+A123/(' חלופה 1 20% מתחדש -תמג 3 '!$I$1+1)</f>
        <v>0.55916489458428953</v>
      </c>
      <c r="B124">
        <f t="shared" si="54"/>
        <v>2039</v>
      </c>
      <c r="C124" s="5">
        <f t="shared" si="55"/>
        <v>45498.284313725489</v>
      </c>
      <c r="D124" s="5">
        <f t="shared" si="49"/>
        <v>45498.284313725489</v>
      </c>
      <c r="E124" s="5">
        <f t="shared" si="50"/>
        <v>51838.982172470976</v>
      </c>
      <c r="F124" s="5">
        <f t="shared" si="51"/>
        <v>51838.982172470976</v>
      </c>
      <c r="G124" s="5">
        <f t="shared" si="52"/>
        <v>54195.29954394693</v>
      </c>
      <c r="H124" s="5">
        <f t="shared" si="53"/>
        <v>54195.29954394693</v>
      </c>
      <c r="I124" s="5">
        <f t="shared" si="48"/>
        <v>303065.13206028682</v>
      </c>
    </row>
    <row r="125" spans="1:9">
      <c r="A125">
        <f>+A124/(' חלופה 1 20% מתחדש -תמג 3 '!$I$1+1)</f>
        <v>0.53921397741975852</v>
      </c>
      <c r="B125">
        <f t="shared" si="54"/>
        <v>2040</v>
      </c>
      <c r="C125" s="5">
        <f t="shared" si="55"/>
        <v>45498.284313725489</v>
      </c>
      <c r="D125" s="5">
        <f t="shared" si="49"/>
        <v>45498.284313725489</v>
      </c>
      <c r="E125" s="5">
        <f t="shared" si="50"/>
        <v>51838.982172470976</v>
      </c>
      <c r="F125" s="5">
        <f t="shared" si="51"/>
        <v>51838.982172470976</v>
      </c>
      <c r="G125" s="5">
        <f t="shared" si="52"/>
        <v>54195.29954394693</v>
      </c>
      <c r="H125" s="5">
        <f t="shared" si="53"/>
        <v>54195.29954394693</v>
      </c>
      <c r="I125" s="5">
        <f t="shared" si="48"/>
        <v>303065.13206028682</v>
      </c>
    </row>
    <row r="126" spans="1:9">
      <c r="A126">
        <f>+A125/(' חלופה 1 20% מתחדש -תמג 3 '!$I$1+1)</f>
        <v>0.51997490590140649</v>
      </c>
      <c r="B126">
        <f t="shared" si="54"/>
        <v>2041</v>
      </c>
      <c r="C126" s="5">
        <f t="shared" si="55"/>
        <v>45498.284313725489</v>
      </c>
      <c r="D126" s="5">
        <f t="shared" si="49"/>
        <v>45498.284313725489</v>
      </c>
      <c r="E126" s="5">
        <f t="shared" si="50"/>
        <v>51838.982172470976</v>
      </c>
      <c r="F126" s="5">
        <f t="shared" si="51"/>
        <v>51838.982172470976</v>
      </c>
      <c r="G126" s="5">
        <f t="shared" si="52"/>
        <v>54195.29954394693</v>
      </c>
      <c r="H126" s="5">
        <f t="shared" si="53"/>
        <v>54195.29954394693</v>
      </c>
      <c r="I126" s="5">
        <f t="shared" si="48"/>
        <v>303065.13206028682</v>
      </c>
    </row>
    <row r="127" spans="1:9">
      <c r="A127">
        <f>+A126/(' חלופה 1 20% מתחדש -תמג 3 '!$I$1+1)</f>
        <v>0.50142228148640944</v>
      </c>
      <c r="B127">
        <f t="shared" si="54"/>
        <v>2042</v>
      </c>
      <c r="C127" s="5">
        <f t="shared" si="55"/>
        <v>45498.284313725489</v>
      </c>
      <c r="D127" s="5">
        <f t="shared" si="49"/>
        <v>45498.284313725489</v>
      </c>
      <c r="E127" s="5">
        <f t="shared" si="50"/>
        <v>51838.982172470976</v>
      </c>
      <c r="F127" s="5">
        <f t="shared" si="51"/>
        <v>51838.982172470976</v>
      </c>
      <c r="G127" s="5">
        <f t="shared" si="52"/>
        <v>54195.29954394693</v>
      </c>
      <c r="H127" s="5">
        <f t="shared" si="53"/>
        <v>54195.29954394693</v>
      </c>
      <c r="I127" s="5">
        <f t="shared" si="48"/>
        <v>303065.13206028682</v>
      </c>
    </row>
    <row r="128" spans="1:9">
      <c r="A128">
        <f>+A127/(' חלופה 1 20% מתחדש -תמג 3 '!$I$1+1)</f>
        <v>0.48353161184803228</v>
      </c>
      <c r="B128">
        <f t="shared" si="54"/>
        <v>2043</v>
      </c>
      <c r="C128" s="5">
        <f t="shared" si="55"/>
        <v>45498.284313725489</v>
      </c>
      <c r="D128" s="5">
        <f t="shared" si="49"/>
        <v>45498.284313725489</v>
      </c>
      <c r="E128" s="5">
        <f t="shared" si="50"/>
        <v>51838.982172470976</v>
      </c>
      <c r="F128" s="5">
        <f t="shared" si="51"/>
        <v>51838.982172470976</v>
      </c>
      <c r="G128" s="5">
        <f t="shared" si="52"/>
        <v>54195.29954394693</v>
      </c>
      <c r="H128" s="5">
        <f t="shared" si="53"/>
        <v>54195.29954394693</v>
      </c>
      <c r="I128" s="5">
        <f t="shared" si="48"/>
        <v>303065.13206028682</v>
      </c>
    </row>
    <row r="129" spans="1:9">
      <c r="A129">
        <f>+A128/(' חלופה 1 20% מתחדש -תמג 3 '!$I$1+1)</f>
        <v>0.46627927854197909</v>
      </c>
      <c r="B129">
        <f t="shared" si="54"/>
        <v>2044</v>
      </c>
      <c r="C129" s="5">
        <f t="shared" si="55"/>
        <v>45498.284313725489</v>
      </c>
      <c r="D129" s="5">
        <f t="shared" si="49"/>
        <v>45498.284313725489</v>
      </c>
      <c r="E129" s="5">
        <f t="shared" si="50"/>
        <v>51838.982172470976</v>
      </c>
      <c r="F129" s="5">
        <f t="shared" si="51"/>
        <v>51838.982172470976</v>
      </c>
      <c r="G129" s="5">
        <f t="shared" si="52"/>
        <v>54195.29954394693</v>
      </c>
      <c r="H129" s="5">
        <f t="shared" si="53"/>
        <v>54195.29954394693</v>
      </c>
      <c r="I129" s="5">
        <f t="shared" si="48"/>
        <v>303065.13206028682</v>
      </c>
    </row>
    <row r="130" spans="1:9">
      <c r="A130">
        <f>+A129/(' חלופה 1 20% מתחדש -תמג 3 '!$I$1+1)</f>
        <v>0.44964250582640225</v>
      </c>
      <c r="B130">
        <f t="shared" si="54"/>
        <v>2045</v>
      </c>
      <c r="C130" s="5">
        <f t="shared" si="55"/>
        <v>45498.284313725489</v>
      </c>
      <c r="D130" s="5">
        <f t="shared" si="49"/>
        <v>45498.284313725489</v>
      </c>
      <c r="E130" s="5">
        <f t="shared" si="50"/>
        <v>51838.982172470976</v>
      </c>
      <c r="F130" s="5">
        <f t="shared" si="51"/>
        <v>51838.982172470976</v>
      </c>
      <c r="G130" s="5">
        <f t="shared" si="52"/>
        <v>54195.29954394693</v>
      </c>
      <c r="H130" s="5">
        <f t="shared" si="53"/>
        <v>54195.29954394693</v>
      </c>
      <c r="I130" s="5">
        <f t="shared" si="48"/>
        <v>303065.13206028682</v>
      </c>
    </row>
    <row r="131" spans="1:9">
      <c r="I131" s="5">
        <f>+SUMPRODUCT(I116:I130,A116:A130)</f>
        <v>2668598.220610484</v>
      </c>
    </row>
    <row r="134" spans="1:9">
      <c r="B134" t="s">
        <v>247</v>
      </c>
    </row>
    <row r="135" spans="1:9">
      <c r="C135" t="s">
        <v>241</v>
      </c>
      <c r="G135" t="s">
        <v>242</v>
      </c>
    </row>
    <row r="136" spans="1:9">
      <c r="C136">
        <v>1</v>
      </c>
      <c r="D136">
        <v>2</v>
      </c>
      <c r="E136">
        <v>3</v>
      </c>
      <c r="F136">
        <v>4</v>
      </c>
      <c r="G136">
        <v>5</v>
      </c>
      <c r="H136">
        <v>6</v>
      </c>
    </row>
    <row r="137" spans="1:9">
      <c r="A137">
        <f>+A90/(' חלופה 1 20% מתחדש -תמג 3 '!$I$1+1)</f>
        <v>0.74777329090058398</v>
      </c>
      <c r="B137">
        <v>2031</v>
      </c>
      <c r="C137" s="5">
        <f>+C90</f>
        <v>45498.284313725489</v>
      </c>
      <c r="D137" s="5">
        <f t="shared" ref="D137:H137" si="56">+D90</f>
        <v>45498.284313725489</v>
      </c>
      <c r="E137" s="5">
        <f t="shared" si="56"/>
        <v>51838.982172470976</v>
      </c>
      <c r="F137" s="5">
        <f t="shared" si="56"/>
        <v>51838.982172470976</v>
      </c>
      <c r="G137" s="5">
        <f t="shared" si="56"/>
        <v>54195.29954394693</v>
      </c>
      <c r="H137" s="5">
        <f t="shared" si="56"/>
        <v>54195.29954394693</v>
      </c>
      <c r="I137" s="5">
        <f t="shared" ref="I137:I151" si="57">SUM(C137:H137)</f>
        <v>303065.13206028682</v>
      </c>
    </row>
    <row r="138" spans="1:9">
      <c r="A138">
        <f>+A137/(' חלופה 1 20% מתחדש -תמג 3 '!$I$1+1)</f>
        <v>0.721092855256108</v>
      </c>
      <c r="B138">
        <f>+B137+1</f>
        <v>2032</v>
      </c>
      <c r="C138" s="5">
        <f>+C137</f>
        <v>45498.284313725489</v>
      </c>
      <c r="D138" s="5">
        <f t="shared" ref="D138:D151" si="58">+D137</f>
        <v>45498.284313725489</v>
      </c>
      <c r="E138" s="5">
        <f t="shared" ref="E138:E151" si="59">+E137</f>
        <v>51838.982172470976</v>
      </c>
      <c r="F138" s="5">
        <f t="shared" ref="F138:F151" si="60">+F137</f>
        <v>51838.982172470976</v>
      </c>
      <c r="G138" s="5">
        <f t="shared" ref="G138:G151" si="61">+G137</f>
        <v>54195.29954394693</v>
      </c>
      <c r="H138" s="5">
        <f t="shared" ref="H138:H151" si="62">+H137</f>
        <v>54195.29954394693</v>
      </c>
      <c r="I138" s="5">
        <f t="shared" si="57"/>
        <v>303065.13206028682</v>
      </c>
    </row>
    <row r="139" spans="1:9">
      <c r="A139">
        <f>+A138/(' חלופה 1 20% מתחדש -תמג 3 '!$I$1+1)</f>
        <v>0.69536437343886992</v>
      </c>
      <c r="B139">
        <f t="shared" ref="B139:B151" si="63">+B138+1</f>
        <v>2033</v>
      </c>
      <c r="C139" s="5">
        <f t="shared" ref="C139:C151" si="64">+C138</f>
        <v>45498.284313725489</v>
      </c>
      <c r="D139" s="5">
        <f t="shared" si="58"/>
        <v>45498.284313725489</v>
      </c>
      <c r="E139" s="5">
        <f t="shared" si="59"/>
        <v>51838.982172470976</v>
      </c>
      <c r="F139" s="5">
        <f t="shared" si="60"/>
        <v>51838.982172470976</v>
      </c>
      <c r="G139" s="5">
        <f t="shared" si="61"/>
        <v>54195.29954394693</v>
      </c>
      <c r="H139" s="5">
        <f t="shared" si="62"/>
        <v>54195.29954394693</v>
      </c>
      <c r="I139" s="5">
        <f t="shared" si="57"/>
        <v>303065.13206028682</v>
      </c>
    </row>
    <row r="140" spans="1:9">
      <c r="A140">
        <f>+A139/(' חלופה 1 20% מתחדש -תמג 3 '!$I$1+1)</f>
        <v>0.67055387988319193</v>
      </c>
      <c r="B140">
        <f t="shared" si="63"/>
        <v>2034</v>
      </c>
      <c r="C140" s="5">
        <f t="shared" si="64"/>
        <v>45498.284313725489</v>
      </c>
      <c r="D140" s="5">
        <f t="shared" si="58"/>
        <v>45498.284313725489</v>
      </c>
      <c r="E140" s="5">
        <f t="shared" si="59"/>
        <v>51838.982172470976</v>
      </c>
      <c r="F140" s="5">
        <f t="shared" si="60"/>
        <v>51838.982172470976</v>
      </c>
      <c r="G140" s="5">
        <f t="shared" si="61"/>
        <v>54195.29954394693</v>
      </c>
      <c r="H140" s="5">
        <f t="shared" si="62"/>
        <v>54195.29954394693</v>
      </c>
      <c r="I140" s="5">
        <f t="shared" si="57"/>
        <v>303065.13206028682</v>
      </c>
    </row>
    <row r="141" spans="1:9">
      <c r="A141">
        <f>+A140/(' חלופה 1 20% מתחדש -תמג 3 '!$I$1+1)</f>
        <v>0.64662862090953899</v>
      </c>
      <c r="B141">
        <f t="shared" si="63"/>
        <v>2035</v>
      </c>
      <c r="C141" s="5">
        <f t="shared" si="64"/>
        <v>45498.284313725489</v>
      </c>
      <c r="D141" s="5">
        <f t="shared" si="58"/>
        <v>45498.284313725489</v>
      </c>
      <c r="E141" s="5">
        <f t="shared" si="59"/>
        <v>51838.982172470976</v>
      </c>
      <c r="F141" s="5">
        <f t="shared" si="60"/>
        <v>51838.982172470976</v>
      </c>
      <c r="G141" s="5">
        <f t="shared" si="61"/>
        <v>54195.29954394693</v>
      </c>
      <c r="H141" s="5">
        <f t="shared" si="62"/>
        <v>54195.29954394693</v>
      </c>
      <c r="I141" s="5">
        <f t="shared" si="57"/>
        <v>303065.13206028682</v>
      </c>
    </row>
    <row r="142" spans="1:9">
      <c r="A142">
        <f>+A141/(' חלופה 1 20% מתחדש -תמג 3 '!$I$1+1)</f>
        <v>0.62355701148460851</v>
      </c>
      <c r="B142">
        <f t="shared" si="63"/>
        <v>2036</v>
      </c>
      <c r="C142" s="5">
        <f t="shared" si="64"/>
        <v>45498.284313725489</v>
      </c>
      <c r="D142" s="5">
        <f t="shared" si="58"/>
        <v>45498.284313725489</v>
      </c>
      <c r="E142" s="5">
        <f t="shared" si="59"/>
        <v>51838.982172470976</v>
      </c>
      <c r="F142" s="5">
        <f t="shared" si="60"/>
        <v>51838.982172470976</v>
      </c>
      <c r="G142" s="5">
        <f t="shared" si="61"/>
        <v>54195.29954394693</v>
      </c>
      <c r="H142" s="5">
        <f t="shared" si="62"/>
        <v>54195.29954394693</v>
      </c>
      <c r="I142" s="5">
        <f t="shared" si="57"/>
        <v>303065.13206028682</v>
      </c>
    </row>
    <row r="143" spans="1:9">
      <c r="A143">
        <f>+A142/(' חלופה 1 20% מתחדש -תמג 3 '!$I$1+1)</f>
        <v>0.60130859352421273</v>
      </c>
      <c r="B143">
        <f t="shared" si="63"/>
        <v>2037</v>
      </c>
      <c r="C143" s="5">
        <f t="shared" si="64"/>
        <v>45498.284313725489</v>
      </c>
      <c r="D143" s="5">
        <f t="shared" si="58"/>
        <v>45498.284313725489</v>
      </c>
      <c r="E143" s="5">
        <f t="shared" si="59"/>
        <v>51838.982172470976</v>
      </c>
      <c r="F143" s="5">
        <f t="shared" si="60"/>
        <v>51838.982172470976</v>
      </c>
      <c r="G143" s="5">
        <f t="shared" si="61"/>
        <v>54195.29954394693</v>
      </c>
      <c r="H143" s="5">
        <f t="shared" si="62"/>
        <v>54195.29954394693</v>
      </c>
      <c r="I143" s="5">
        <f t="shared" si="57"/>
        <v>303065.13206028682</v>
      </c>
    </row>
    <row r="144" spans="1:9">
      <c r="A144">
        <f>+A143/(' חלופה 1 20% מתחדש -תמג 3 '!$I$1+1)</f>
        <v>0.57985399568390816</v>
      </c>
      <c r="B144">
        <f t="shared" si="63"/>
        <v>2038</v>
      </c>
      <c r="C144" s="5">
        <f t="shared" si="64"/>
        <v>45498.284313725489</v>
      </c>
      <c r="D144" s="5">
        <f t="shared" si="58"/>
        <v>45498.284313725489</v>
      </c>
      <c r="E144" s="5">
        <f t="shared" si="59"/>
        <v>51838.982172470976</v>
      </c>
      <c r="F144" s="5">
        <f t="shared" si="60"/>
        <v>51838.982172470976</v>
      </c>
      <c r="G144" s="5">
        <f t="shared" si="61"/>
        <v>54195.29954394693</v>
      </c>
      <c r="H144" s="5">
        <f t="shared" si="62"/>
        <v>54195.29954394693</v>
      </c>
      <c r="I144" s="5">
        <f t="shared" si="57"/>
        <v>303065.13206028682</v>
      </c>
    </row>
    <row r="145" spans="1:9">
      <c r="A145">
        <f>+A144/(' חלופה 1 20% מתחדש -תמג 3 '!$I$1+1)</f>
        <v>0.55916489458428953</v>
      </c>
      <c r="B145">
        <f t="shared" si="63"/>
        <v>2039</v>
      </c>
      <c r="C145" s="5">
        <f t="shared" si="64"/>
        <v>45498.284313725489</v>
      </c>
      <c r="D145" s="5">
        <f t="shared" si="58"/>
        <v>45498.284313725489</v>
      </c>
      <c r="E145" s="5">
        <f t="shared" si="59"/>
        <v>51838.982172470976</v>
      </c>
      <c r="F145" s="5">
        <f t="shared" si="60"/>
        <v>51838.982172470976</v>
      </c>
      <c r="G145" s="5">
        <f t="shared" si="61"/>
        <v>54195.29954394693</v>
      </c>
      <c r="H145" s="5">
        <f t="shared" si="62"/>
        <v>54195.29954394693</v>
      </c>
      <c r="I145" s="5">
        <f t="shared" si="57"/>
        <v>303065.13206028682</v>
      </c>
    </row>
    <row r="146" spans="1:9">
      <c r="A146">
        <f>+A145/(' חלופה 1 20% מתחדש -תמג 3 '!$I$1+1)</f>
        <v>0.53921397741975852</v>
      </c>
      <c r="B146">
        <f t="shared" si="63"/>
        <v>2040</v>
      </c>
      <c r="C146" s="5">
        <f t="shared" si="64"/>
        <v>45498.284313725489</v>
      </c>
      <c r="D146" s="5">
        <f t="shared" si="58"/>
        <v>45498.284313725489</v>
      </c>
      <c r="E146" s="5">
        <f t="shared" si="59"/>
        <v>51838.982172470976</v>
      </c>
      <c r="F146" s="5">
        <f t="shared" si="60"/>
        <v>51838.982172470976</v>
      </c>
      <c r="G146" s="5">
        <f t="shared" si="61"/>
        <v>54195.29954394693</v>
      </c>
      <c r="H146" s="5">
        <f t="shared" si="62"/>
        <v>54195.29954394693</v>
      </c>
      <c r="I146" s="5">
        <f t="shared" si="57"/>
        <v>303065.13206028682</v>
      </c>
    </row>
    <row r="147" spans="1:9">
      <c r="A147">
        <f>+A146/(' חלופה 1 20% מתחדש -תמג 3 '!$I$1+1)</f>
        <v>0.51997490590140649</v>
      </c>
      <c r="B147">
        <f t="shared" si="63"/>
        <v>2041</v>
      </c>
      <c r="C147" s="5">
        <f t="shared" si="64"/>
        <v>45498.284313725489</v>
      </c>
      <c r="D147" s="5">
        <f t="shared" si="58"/>
        <v>45498.284313725489</v>
      </c>
      <c r="E147" s="5">
        <f t="shared" si="59"/>
        <v>51838.982172470976</v>
      </c>
      <c r="F147" s="5">
        <f t="shared" si="60"/>
        <v>51838.982172470976</v>
      </c>
      <c r="G147" s="5">
        <f t="shared" si="61"/>
        <v>54195.29954394693</v>
      </c>
      <c r="H147" s="5">
        <f t="shared" si="62"/>
        <v>54195.29954394693</v>
      </c>
      <c r="I147" s="5">
        <f t="shared" si="57"/>
        <v>303065.13206028682</v>
      </c>
    </row>
    <row r="148" spans="1:9">
      <c r="A148">
        <f>+A147/(' חלופה 1 20% מתחדש -תמג 3 '!$I$1+1)</f>
        <v>0.50142228148640944</v>
      </c>
      <c r="B148">
        <f t="shared" si="63"/>
        <v>2042</v>
      </c>
      <c r="C148" s="5">
        <f t="shared" si="64"/>
        <v>45498.284313725489</v>
      </c>
      <c r="D148" s="5">
        <f t="shared" si="58"/>
        <v>45498.284313725489</v>
      </c>
      <c r="E148" s="5">
        <f t="shared" si="59"/>
        <v>51838.982172470976</v>
      </c>
      <c r="F148" s="5">
        <f t="shared" si="60"/>
        <v>51838.982172470976</v>
      </c>
      <c r="G148" s="5">
        <f t="shared" si="61"/>
        <v>54195.29954394693</v>
      </c>
      <c r="H148" s="5">
        <f t="shared" si="62"/>
        <v>54195.29954394693</v>
      </c>
      <c r="I148" s="5">
        <f t="shared" si="57"/>
        <v>303065.13206028682</v>
      </c>
    </row>
    <row r="149" spans="1:9">
      <c r="A149">
        <f>+A148/(' חלופה 1 20% מתחדש -תמג 3 '!$I$1+1)</f>
        <v>0.48353161184803228</v>
      </c>
      <c r="B149">
        <f t="shared" si="63"/>
        <v>2043</v>
      </c>
      <c r="C149" s="5">
        <f t="shared" si="64"/>
        <v>45498.284313725489</v>
      </c>
      <c r="D149" s="5">
        <f t="shared" si="58"/>
        <v>45498.284313725489</v>
      </c>
      <c r="E149" s="5">
        <f t="shared" si="59"/>
        <v>51838.982172470976</v>
      </c>
      <c r="F149" s="5">
        <f t="shared" si="60"/>
        <v>51838.982172470976</v>
      </c>
      <c r="G149" s="5">
        <f t="shared" si="61"/>
        <v>54195.29954394693</v>
      </c>
      <c r="H149" s="5">
        <f t="shared" si="62"/>
        <v>54195.29954394693</v>
      </c>
      <c r="I149" s="5">
        <f t="shared" si="57"/>
        <v>303065.13206028682</v>
      </c>
    </row>
    <row r="150" spans="1:9">
      <c r="A150">
        <f>+A149/(' חלופה 1 20% מתחדש -תמג 3 '!$I$1+1)</f>
        <v>0.46627927854197909</v>
      </c>
      <c r="B150">
        <f t="shared" si="63"/>
        <v>2044</v>
      </c>
      <c r="C150" s="5">
        <f t="shared" si="64"/>
        <v>45498.284313725489</v>
      </c>
      <c r="D150" s="5">
        <f t="shared" si="58"/>
        <v>45498.284313725489</v>
      </c>
      <c r="E150" s="5">
        <f t="shared" si="59"/>
        <v>51838.982172470976</v>
      </c>
      <c r="F150" s="5">
        <f t="shared" si="60"/>
        <v>51838.982172470976</v>
      </c>
      <c r="G150" s="5">
        <f t="shared" si="61"/>
        <v>54195.29954394693</v>
      </c>
      <c r="H150" s="5">
        <f t="shared" si="62"/>
        <v>54195.29954394693</v>
      </c>
      <c r="I150" s="5">
        <f t="shared" si="57"/>
        <v>303065.13206028682</v>
      </c>
    </row>
    <row r="151" spans="1:9">
      <c r="A151">
        <f>+A150/(' חלופה 1 20% מתחדש -תמג 3 '!$I$1+1)</f>
        <v>0.44964250582640225</v>
      </c>
      <c r="B151">
        <f t="shared" si="63"/>
        <v>2045</v>
      </c>
      <c r="C151" s="5">
        <f t="shared" si="64"/>
        <v>45498.284313725489</v>
      </c>
      <c r="D151" s="5">
        <f t="shared" si="58"/>
        <v>45498.284313725489</v>
      </c>
      <c r="E151" s="5">
        <f t="shared" si="59"/>
        <v>51838.982172470976</v>
      </c>
      <c r="F151" s="5">
        <f t="shared" si="60"/>
        <v>51838.982172470976</v>
      </c>
      <c r="G151" s="5">
        <f t="shared" si="61"/>
        <v>54195.29954394693</v>
      </c>
      <c r="H151" s="5">
        <f t="shared" si="62"/>
        <v>54195.29954394693</v>
      </c>
      <c r="I151" s="5">
        <f t="shared" si="57"/>
        <v>303065.13206028682</v>
      </c>
    </row>
    <row r="152" spans="1:9">
      <c r="I152" s="5">
        <f>+SUMPRODUCT(I137:I151,A137:A151)</f>
        <v>2668598.220610484</v>
      </c>
    </row>
  </sheetData>
  <mergeCells count="3">
    <mergeCell ref="S1:X1"/>
    <mergeCell ref="C59:F59"/>
    <mergeCell ref="G59:H59"/>
  </mergeCell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A125"/>
  <sheetViews>
    <sheetView rightToLeft="1" topLeftCell="A97" workbookViewId="0">
      <selection activeCell="C98" sqref="C98:K107"/>
    </sheetView>
  </sheetViews>
  <sheetFormatPr defaultRowHeight="14.25"/>
  <cols>
    <col min="2" max="2" width="30.5" customWidth="1"/>
    <col min="3" max="11" width="10.375" customWidth="1"/>
    <col min="12" max="12" width="21" customWidth="1"/>
    <col min="20" max="20" width="26.125" customWidth="1"/>
  </cols>
  <sheetData>
    <row r="1" spans="1:27">
      <c r="B1" t="s">
        <v>13</v>
      </c>
      <c r="M1" t="s">
        <v>20</v>
      </c>
      <c r="N1" s="16"/>
      <c r="O1" s="16"/>
      <c r="P1" s="16"/>
      <c r="Q1" s="16"/>
      <c r="R1" s="16"/>
      <c r="T1" s="16" t="s">
        <v>4</v>
      </c>
      <c r="U1" s="16"/>
      <c r="V1" s="16"/>
      <c r="W1" s="16"/>
      <c r="X1" s="16"/>
      <c r="Y1" s="16"/>
      <c r="Z1" s="16"/>
    </row>
    <row r="2" spans="1:27" ht="15" customHeight="1">
      <c r="B2" s="264" t="s">
        <v>151</v>
      </c>
      <c r="C2" s="265" t="s">
        <v>58</v>
      </c>
      <c r="D2" s="265"/>
      <c r="E2" s="265"/>
      <c r="F2" s="265"/>
      <c r="G2" s="265"/>
      <c r="H2" s="265" t="s">
        <v>59</v>
      </c>
      <c r="I2" s="265"/>
      <c r="J2" s="15"/>
      <c r="K2" s="15"/>
      <c r="L2" s="264" t="s">
        <v>152</v>
      </c>
      <c r="M2" s="265" t="s">
        <v>0</v>
      </c>
      <c r="N2" s="265"/>
      <c r="O2" s="265"/>
      <c r="P2" s="265"/>
      <c r="Q2" s="265"/>
      <c r="R2" s="265"/>
      <c r="T2" s="266" t="s">
        <v>153</v>
      </c>
      <c r="U2" s="265" t="s">
        <v>0</v>
      </c>
      <c r="V2" s="265"/>
      <c r="W2" s="265"/>
      <c r="X2" s="265"/>
      <c r="Y2" s="265"/>
      <c r="Z2" s="265"/>
    </row>
    <row r="3" spans="1:27" ht="15" customHeight="1">
      <c r="B3" s="264"/>
      <c r="C3" s="265" t="s">
        <v>60</v>
      </c>
      <c r="D3" s="265"/>
      <c r="E3" s="265"/>
      <c r="F3" s="265"/>
      <c r="G3" s="265"/>
      <c r="H3" s="265" t="s">
        <v>60</v>
      </c>
      <c r="I3" s="265"/>
      <c r="J3" s="15"/>
      <c r="K3" s="15"/>
      <c r="L3" s="264"/>
      <c r="M3" s="265" t="s">
        <v>58</v>
      </c>
      <c r="N3" s="265"/>
      <c r="O3" s="265"/>
      <c r="P3" s="265"/>
      <c r="Q3" s="265" t="s">
        <v>59</v>
      </c>
      <c r="R3" s="265"/>
      <c r="T3" s="266"/>
      <c r="U3" s="265" t="s">
        <v>58</v>
      </c>
      <c r="V3" s="265"/>
      <c r="W3" s="265"/>
      <c r="X3" s="265"/>
      <c r="Y3" s="265" t="s">
        <v>59</v>
      </c>
      <c r="Z3" s="265"/>
    </row>
    <row r="4" spans="1:27" ht="22.5" customHeight="1">
      <c r="B4" s="264"/>
      <c r="C4" s="15" t="s">
        <v>61</v>
      </c>
      <c r="D4" s="15" t="s">
        <v>62</v>
      </c>
      <c r="E4" s="15" t="s">
        <v>63</v>
      </c>
      <c r="F4" s="15" t="s">
        <v>64</v>
      </c>
      <c r="G4" s="15" t="s">
        <v>1</v>
      </c>
      <c r="H4" s="15" t="s">
        <v>65</v>
      </c>
      <c r="I4" s="15" t="s">
        <v>66</v>
      </c>
      <c r="J4" s="15"/>
      <c r="K4" s="15"/>
      <c r="L4" s="264"/>
      <c r="M4" s="15" t="s">
        <v>61</v>
      </c>
      <c r="N4" s="15" t="s">
        <v>62</v>
      </c>
      <c r="O4" s="15" t="s">
        <v>63</v>
      </c>
      <c r="P4" s="15" t="s">
        <v>64</v>
      </c>
      <c r="Q4" s="15" t="s">
        <v>65</v>
      </c>
      <c r="R4" s="15" t="s">
        <v>66</v>
      </c>
      <c r="T4" s="266"/>
      <c r="U4" s="15" t="s">
        <v>61</v>
      </c>
      <c r="V4" s="15" t="s">
        <v>62</v>
      </c>
      <c r="W4" s="15" t="s">
        <v>63</v>
      </c>
      <c r="X4" s="15" t="s">
        <v>64</v>
      </c>
      <c r="Y4" s="15" t="s">
        <v>65</v>
      </c>
      <c r="Z4" s="15" t="s">
        <v>66</v>
      </c>
    </row>
    <row r="5" spans="1:27" ht="21" customHeight="1">
      <c r="A5">
        <v>2024</v>
      </c>
      <c r="B5" s="1" t="s">
        <v>67</v>
      </c>
      <c r="C5" s="2">
        <v>744</v>
      </c>
      <c r="D5" s="2">
        <v>744</v>
      </c>
      <c r="E5" s="2">
        <v>0</v>
      </c>
      <c r="F5" s="2">
        <v>0</v>
      </c>
      <c r="G5" s="2">
        <v>1488</v>
      </c>
      <c r="H5" s="2">
        <v>744</v>
      </c>
      <c r="I5" s="2">
        <v>576</v>
      </c>
      <c r="J5">
        <f>SUM(G5:I5)</f>
        <v>2808</v>
      </c>
      <c r="K5" s="2"/>
      <c r="L5" s="1" t="s">
        <v>67</v>
      </c>
      <c r="M5" s="2">
        <v>744</v>
      </c>
      <c r="N5" s="2">
        <v>744</v>
      </c>
      <c r="O5" s="2">
        <v>744</v>
      </c>
      <c r="P5" s="2">
        <v>0</v>
      </c>
      <c r="Q5" s="2">
        <v>744</v>
      </c>
      <c r="R5" s="2">
        <v>576</v>
      </c>
      <c r="S5">
        <f>SUM(M5:R5)</f>
        <v>3552</v>
      </c>
      <c r="T5" s="1" t="s">
        <v>67</v>
      </c>
      <c r="U5" s="2">
        <v>0</v>
      </c>
      <c r="V5" s="2">
        <v>744</v>
      </c>
      <c r="W5" s="2">
        <v>744</v>
      </c>
      <c r="X5" s="2">
        <v>0</v>
      </c>
      <c r="Y5" s="2">
        <v>744</v>
      </c>
      <c r="Z5" s="2">
        <v>576</v>
      </c>
      <c r="AA5">
        <f>SUM(U5:Z5)</f>
        <v>2808</v>
      </c>
    </row>
    <row r="6" spans="1:27" ht="21" customHeight="1">
      <c r="A6">
        <v>2024</v>
      </c>
      <c r="B6" s="1" t="s">
        <v>68</v>
      </c>
      <c r="C6" s="2">
        <v>696</v>
      </c>
      <c r="D6" s="2">
        <v>696</v>
      </c>
      <c r="E6" s="2">
        <v>0</v>
      </c>
      <c r="F6" s="2">
        <v>0</v>
      </c>
      <c r="G6" s="2">
        <v>1392</v>
      </c>
      <c r="H6" s="2">
        <v>696</v>
      </c>
      <c r="I6" s="2">
        <v>696</v>
      </c>
      <c r="J6">
        <f t="shared" ref="J6:J69" si="0">SUM(G6:I6)</f>
        <v>2784</v>
      </c>
      <c r="K6" s="2"/>
      <c r="L6" s="1" t="s">
        <v>68</v>
      </c>
      <c r="M6" s="2">
        <v>696</v>
      </c>
      <c r="N6" s="2">
        <v>696</v>
      </c>
      <c r="O6" s="2">
        <v>696</v>
      </c>
      <c r="P6" s="2">
        <v>0</v>
      </c>
      <c r="Q6" s="2">
        <v>696</v>
      </c>
      <c r="R6" s="2">
        <v>696</v>
      </c>
      <c r="S6">
        <f t="shared" ref="S6:S69" si="1">SUM(M6:R6)</f>
        <v>3480</v>
      </c>
      <c r="T6" s="1" t="s">
        <v>68</v>
      </c>
      <c r="U6" s="2">
        <v>0</v>
      </c>
      <c r="V6" s="2">
        <v>696</v>
      </c>
      <c r="W6" s="2">
        <v>696</v>
      </c>
      <c r="X6" s="2">
        <v>0</v>
      </c>
      <c r="Y6" s="2">
        <v>696</v>
      </c>
      <c r="Z6" s="2">
        <v>696</v>
      </c>
      <c r="AA6">
        <f t="shared" ref="AA6:AA69" si="2">SUM(U6:Z6)</f>
        <v>2784</v>
      </c>
    </row>
    <row r="7" spans="1:27" ht="21" customHeight="1">
      <c r="A7">
        <v>2024</v>
      </c>
      <c r="B7" s="1" t="s">
        <v>69</v>
      </c>
      <c r="C7" s="2">
        <v>0</v>
      </c>
      <c r="D7" s="2">
        <v>0</v>
      </c>
      <c r="E7" s="2">
        <v>0</v>
      </c>
      <c r="F7" s="2">
        <v>0</v>
      </c>
      <c r="G7" s="2">
        <v>0</v>
      </c>
      <c r="H7" s="2">
        <v>0</v>
      </c>
      <c r="I7" s="2">
        <v>0</v>
      </c>
      <c r="J7">
        <f t="shared" si="0"/>
        <v>0</v>
      </c>
      <c r="K7" s="2"/>
      <c r="L7" s="1" t="s">
        <v>69</v>
      </c>
      <c r="M7" s="2">
        <v>576</v>
      </c>
      <c r="N7" s="2">
        <v>576</v>
      </c>
      <c r="O7" s="2">
        <v>720</v>
      </c>
      <c r="P7" s="2">
        <v>0</v>
      </c>
      <c r="Q7" s="2">
        <v>744</v>
      </c>
      <c r="R7" s="2">
        <v>744</v>
      </c>
      <c r="S7">
        <f t="shared" si="1"/>
        <v>3360</v>
      </c>
      <c r="T7" s="1" t="s">
        <v>69</v>
      </c>
      <c r="U7" s="2">
        <v>0</v>
      </c>
      <c r="V7" s="2">
        <v>0</v>
      </c>
      <c r="W7" s="2">
        <v>720</v>
      </c>
      <c r="X7" s="2">
        <v>0</v>
      </c>
      <c r="Y7" s="2">
        <v>0</v>
      </c>
      <c r="Z7" s="2">
        <v>0</v>
      </c>
      <c r="AA7">
        <f t="shared" si="2"/>
        <v>720</v>
      </c>
    </row>
    <row r="8" spans="1:27" ht="21" customHeight="1">
      <c r="A8">
        <v>2024</v>
      </c>
      <c r="B8" s="1" t="s">
        <v>70</v>
      </c>
      <c r="C8" s="2">
        <v>0</v>
      </c>
      <c r="D8" s="2">
        <v>0</v>
      </c>
      <c r="E8" s="2">
        <v>0</v>
      </c>
      <c r="F8" s="2">
        <v>0</v>
      </c>
      <c r="G8" s="2">
        <v>0</v>
      </c>
      <c r="H8" s="2">
        <v>0</v>
      </c>
      <c r="I8" s="2">
        <v>0</v>
      </c>
      <c r="J8">
        <f t="shared" si="0"/>
        <v>0</v>
      </c>
      <c r="K8" s="2"/>
      <c r="L8" s="1" t="s">
        <v>70</v>
      </c>
      <c r="M8" s="2">
        <v>552</v>
      </c>
      <c r="N8" s="2">
        <v>0</v>
      </c>
      <c r="O8" s="2">
        <v>0</v>
      </c>
      <c r="P8" s="2">
        <v>0</v>
      </c>
      <c r="Q8" s="2">
        <v>720</v>
      </c>
      <c r="R8" s="2">
        <v>48</v>
      </c>
      <c r="S8">
        <f t="shared" si="1"/>
        <v>1320</v>
      </c>
      <c r="T8" s="1" t="s">
        <v>70</v>
      </c>
      <c r="U8" s="2">
        <v>0</v>
      </c>
      <c r="V8" s="2">
        <v>0</v>
      </c>
      <c r="W8" s="2">
        <v>0</v>
      </c>
      <c r="X8" s="2">
        <v>0</v>
      </c>
      <c r="Y8" s="2">
        <v>0</v>
      </c>
      <c r="Z8" s="2">
        <v>0</v>
      </c>
      <c r="AA8">
        <f t="shared" si="2"/>
        <v>0</v>
      </c>
    </row>
    <row r="9" spans="1:27" ht="21" customHeight="1">
      <c r="A9">
        <v>2024</v>
      </c>
      <c r="B9" s="1" t="s">
        <v>71</v>
      </c>
      <c r="C9" s="2">
        <v>0</v>
      </c>
      <c r="D9" s="2">
        <v>0</v>
      </c>
      <c r="E9" s="2">
        <v>0</v>
      </c>
      <c r="F9" s="2">
        <v>0</v>
      </c>
      <c r="G9" s="2">
        <v>0</v>
      </c>
      <c r="H9" s="2">
        <v>0</v>
      </c>
      <c r="I9" s="2">
        <v>0</v>
      </c>
      <c r="J9">
        <f t="shared" si="0"/>
        <v>0</v>
      </c>
      <c r="K9" s="2"/>
      <c r="L9" s="1" t="s">
        <v>71</v>
      </c>
      <c r="M9" s="2">
        <v>576</v>
      </c>
      <c r="N9" s="2">
        <v>696</v>
      </c>
      <c r="O9" s="2">
        <v>0</v>
      </c>
      <c r="P9" s="2">
        <v>0</v>
      </c>
      <c r="Q9" s="2">
        <v>744</v>
      </c>
      <c r="R9" s="2">
        <v>648</v>
      </c>
      <c r="S9">
        <f t="shared" si="1"/>
        <v>2664</v>
      </c>
      <c r="T9" s="1" t="s">
        <v>71</v>
      </c>
      <c r="U9" s="2">
        <v>0</v>
      </c>
      <c r="V9" s="2">
        <v>0</v>
      </c>
      <c r="W9" s="2">
        <v>0</v>
      </c>
      <c r="X9" s="2">
        <v>0</v>
      </c>
      <c r="Y9" s="2">
        <v>0</v>
      </c>
      <c r="Z9" s="2">
        <v>0</v>
      </c>
      <c r="AA9">
        <f t="shared" si="2"/>
        <v>0</v>
      </c>
    </row>
    <row r="10" spans="1:27" ht="21" customHeight="1">
      <c r="A10">
        <v>2024</v>
      </c>
      <c r="B10" s="1" t="s">
        <v>72</v>
      </c>
      <c r="C10" s="2">
        <v>0</v>
      </c>
      <c r="D10" s="2">
        <v>0</v>
      </c>
      <c r="E10" s="2">
        <v>0</v>
      </c>
      <c r="F10" s="2">
        <v>0</v>
      </c>
      <c r="G10" s="2">
        <v>0</v>
      </c>
      <c r="H10" s="2">
        <v>0</v>
      </c>
      <c r="I10" s="2">
        <v>0</v>
      </c>
      <c r="J10">
        <f t="shared" si="0"/>
        <v>0</v>
      </c>
      <c r="K10" s="2"/>
      <c r="L10" s="1" t="s">
        <v>72</v>
      </c>
      <c r="M10" s="2">
        <v>720</v>
      </c>
      <c r="N10" s="2">
        <v>720</v>
      </c>
      <c r="O10" s="2">
        <v>0</v>
      </c>
      <c r="P10" s="2">
        <v>0</v>
      </c>
      <c r="Q10" s="2">
        <v>720</v>
      </c>
      <c r="R10" s="2">
        <v>720</v>
      </c>
      <c r="S10">
        <f t="shared" si="1"/>
        <v>2880</v>
      </c>
      <c r="T10" s="1" t="s">
        <v>72</v>
      </c>
      <c r="U10" s="2">
        <v>0</v>
      </c>
      <c r="V10" s="2">
        <v>0</v>
      </c>
      <c r="W10" s="2">
        <v>0</v>
      </c>
      <c r="X10" s="2">
        <v>0</v>
      </c>
      <c r="Y10" s="2">
        <v>0</v>
      </c>
      <c r="Z10" s="2">
        <v>0</v>
      </c>
      <c r="AA10">
        <f t="shared" si="2"/>
        <v>0</v>
      </c>
    </row>
    <row r="11" spans="1:27" ht="21" customHeight="1">
      <c r="A11">
        <v>2024</v>
      </c>
      <c r="B11" s="1" t="s">
        <v>73</v>
      </c>
      <c r="C11" s="2">
        <v>744</v>
      </c>
      <c r="D11" s="2">
        <v>0</v>
      </c>
      <c r="E11" s="2">
        <v>0</v>
      </c>
      <c r="F11" s="2">
        <v>0</v>
      </c>
      <c r="G11" s="2">
        <v>744</v>
      </c>
      <c r="H11" s="2">
        <v>744</v>
      </c>
      <c r="I11" s="2">
        <v>744</v>
      </c>
      <c r="J11">
        <f t="shared" si="0"/>
        <v>2232</v>
      </c>
      <c r="K11" s="2"/>
      <c r="L11" s="1" t="s">
        <v>73</v>
      </c>
      <c r="M11" s="2">
        <v>744</v>
      </c>
      <c r="N11" s="2">
        <v>744</v>
      </c>
      <c r="O11" s="2">
        <v>0</v>
      </c>
      <c r="P11" s="2">
        <v>0</v>
      </c>
      <c r="Q11" s="2">
        <v>744</v>
      </c>
      <c r="R11" s="2">
        <v>744</v>
      </c>
      <c r="S11">
        <f t="shared" si="1"/>
        <v>2976</v>
      </c>
      <c r="T11" s="1" t="s">
        <v>73</v>
      </c>
      <c r="U11" s="2">
        <v>0</v>
      </c>
      <c r="V11" s="2">
        <v>744</v>
      </c>
      <c r="W11" s="2">
        <v>0</v>
      </c>
      <c r="X11" s="2">
        <v>0</v>
      </c>
      <c r="Y11" s="2">
        <v>744</v>
      </c>
      <c r="Z11" s="2">
        <v>744</v>
      </c>
      <c r="AA11">
        <f t="shared" si="2"/>
        <v>2232</v>
      </c>
    </row>
    <row r="12" spans="1:27" ht="21" customHeight="1">
      <c r="A12">
        <v>2024</v>
      </c>
      <c r="B12" s="1" t="s">
        <v>74</v>
      </c>
      <c r="C12" s="2">
        <v>744</v>
      </c>
      <c r="D12" s="2">
        <v>0</v>
      </c>
      <c r="E12" s="2">
        <v>0</v>
      </c>
      <c r="F12" s="2">
        <v>0</v>
      </c>
      <c r="G12" s="2">
        <v>744</v>
      </c>
      <c r="H12" s="2">
        <v>744</v>
      </c>
      <c r="I12" s="2">
        <v>744</v>
      </c>
      <c r="J12">
        <f t="shared" si="0"/>
        <v>2232</v>
      </c>
      <c r="K12" s="2"/>
      <c r="L12" s="1" t="s">
        <v>74</v>
      </c>
      <c r="M12" s="2">
        <v>744</v>
      </c>
      <c r="N12" s="2">
        <v>744</v>
      </c>
      <c r="O12" s="2">
        <v>0</v>
      </c>
      <c r="P12" s="2">
        <v>0</v>
      </c>
      <c r="Q12" s="2">
        <v>744</v>
      </c>
      <c r="R12" s="2">
        <v>744</v>
      </c>
      <c r="S12">
        <f t="shared" si="1"/>
        <v>2976</v>
      </c>
      <c r="T12" s="1" t="s">
        <v>74</v>
      </c>
      <c r="U12" s="2">
        <v>0</v>
      </c>
      <c r="V12" s="2">
        <v>744</v>
      </c>
      <c r="W12" s="2">
        <v>0</v>
      </c>
      <c r="X12" s="2">
        <v>0</v>
      </c>
      <c r="Y12" s="2">
        <v>744</v>
      </c>
      <c r="Z12" s="2">
        <v>744</v>
      </c>
      <c r="AA12">
        <f t="shared" si="2"/>
        <v>2232</v>
      </c>
    </row>
    <row r="13" spans="1:27" ht="21" customHeight="1">
      <c r="A13">
        <v>2024</v>
      </c>
      <c r="B13" s="1" t="s">
        <v>75</v>
      </c>
      <c r="C13" s="2">
        <v>0</v>
      </c>
      <c r="D13" s="2">
        <v>0</v>
      </c>
      <c r="E13" s="2">
        <v>0</v>
      </c>
      <c r="F13" s="2">
        <v>0</v>
      </c>
      <c r="G13" s="2">
        <v>0</v>
      </c>
      <c r="H13" s="2">
        <v>0</v>
      </c>
      <c r="I13" s="2">
        <v>0</v>
      </c>
      <c r="J13">
        <f t="shared" si="0"/>
        <v>0</v>
      </c>
      <c r="K13" s="2"/>
      <c r="L13" s="1" t="s">
        <v>75</v>
      </c>
      <c r="M13" s="2">
        <v>672</v>
      </c>
      <c r="N13" s="2">
        <v>720</v>
      </c>
      <c r="O13" s="2">
        <v>0</v>
      </c>
      <c r="P13" s="2">
        <v>0</v>
      </c>
      <c r="Q13" s="2">
        <v>720</v>
      </c>
      <c r="R13" s="2">
        <v>720</v>
      </c>
      <c r="S13">
        <f t="shared" si="1"/>
        <v>2832</v>
      </c>
      <c r="T13" s="1" t="s">
        <v>75</v>
      </c>
      <c r="U13" s="2">
        <v>0</v>
      </c>
      <c r="V13" s="2">
        <v>0</v>
      </c>
      <c r="W13" s="2">
        <v>0</v>
      </c>
      <c r="X13" s="2">
        <v>0</v>
      </c>
      <c r="Y13" s="2">
        <v>0</v>
      </c>
      <c r="Z13" s="2">
        <v>0</v>
      </c>
      <c r="AA13">
        <f t="shared" si="2"/>
        <v>0</v>
      </c>
    </row>
    <row r="14" spans="1:27" ht="21" customHeight="1">
      <c r="A14">
        <v>2024</v>
      </c>
      <c r="B14" s="1" t="s">
        <v>76</v>
      </c>
      <c r="C14" s="2">
        <v>0</v>
      </c>
      <c r="D14" s="2">
        <v>0</v>
      </c>
      <c r="E14" s="2">
        <v>0</v>
      </c>
      <c r="F14" s="2">
        <v>0</v>
      </c>
      <c r="G14" s="2">
        <v>0</v>
      </c>
      <c r="H14" s="2">
        <v>0</v>
      </c>
      <c r="I14" s="2">
        <v>0</v>
      </c>
      <c r="J14">
        <f t="shared" si="0"/>
        <v>0</v>
      </c>
      <c r="K14" s="2"/>
      <c r="L14" s="1" t="s">
        <v>76</v>
      </c>
      <c r="M14" s="2">
        <v>504</v>
      </c>
      <c r="N14" s="2">
        <v>744</v>
      </c>
      <c r="O14" s="2">
        <v>0</v>
      </c>
      <c r="P14" s="2">
        <v>0</v>
      </c>
      <c r="Q14" s="2">
        <v>240</v>
      </c>
      <c r="R14" s="2">
        <v>744</v>
      </c>
      <c r="S14">
        <f t="shared" si="1"/>
        <v>2232</v>
      </c>
      <c r="T14" s="1" t="s">
        <v>76</v>
      </c>
      <c r="U14" s="2">
        <v>0</v>
      </c>
      <c r="V14" s="2">
        <v>0</v>
      </c>
      <c r="W14" s="2">
        <v>0</v>
      </c>
      <c r="X14" s="2">
        <v>0</v>
      </c>
      <c r="Y14" s="2">
        <v>0</v>
      </c>
      <c r="Z14" s="2">
        <v>0</v>
      </c>
      <c r="AA14">
        <f t="shared" si="2"/>
        <v>0</v>
      </c>
    </row>
    <row r="15" spans="1:27" ht="21" customHeight="1">
      <c r="A15">
        <v>2024</v>
      </c>
      <c r="B15" s="1" t="s">
        <v>77</v>
      </c>
      <c r="C15" s="2">
        <v>0</v>
      </c>
      <c r="D15" s="2">
        <v>0</v>
      </c>
      <c r="E15" s="2">
        <v>0</v>
      </c>
      <c r="F15" s="2">
        <v>0</v>
      </c>
      <c r="G15" s="2">
        <v>0</v>
      </c>
      <c r="H15" s="2">
        <v>0</v>
      </c>
      <c r="I15" s="2">
        <v>0</v>
      </c>
      <c r="J15">
        <f t="shared" si="0"/>
        <v>0</v>
      </c>
      <c r="K15" s="2"/>
      <c r="L15" s="1" t="s">
        <v>77</v>
      </c>
      <c r="M15" s="2">
        <v>0</v>
      </c>
      <c r="N15" s="2">
        <v>720</v>
      </c>
      <c r="O15" s="2">
        <v>0</v>
      </c>
      <c r="P15" s="2">
        <v>0</v>
      </c>
      <c r="Q15" s="2">
        <v>456</v>
      </c>
      <c r="R15" s="2">
        <v>720</v>
      </c>
      <c r="S15">
        <f t="shared" si="1"/>
        <v>1896</v>
      </c>
      <c r="T15" s="1" t="s">
        <v>77</v>
      </c>
      <c r="U15" s="2">
        <v>0</v>
      </c>
      <c r="V15" s="2">
        <v>0</v>
      </c>
      <c r="W15" s="2">
        <v>0</v>
      </c>
      <c r="X15" s="2">
        <v>0</v>
      </c>
      <c r="Y15" s="2">
        <v>0</v>
      </c>
      <c r="Z15" s="2">
        <v>0</v>
      </c>
      <c r="AA15">
        <f t="shared" si="2"/>
        <v>0</v>
      </c>
    </row>
    <row r="16" spans="1:27" ht="21" customHeight="1">
      <c r="A16">
        <v>2024</v>
      </c>
      <c r="B16" s="1" t="s">
        <v>78</v>
      </c>
      <c r="C16" s="2">
        <v>0</v>
      </c>
      <c r="D16" s="2">
        <v>0</v>
      </c>
      <c r="E16" s="2">
        <v>0</v>
      </c>
      <c r="F16" s="2">
        <v>0</v>
      </c>
      <c r="G16" s="2">
        <v>0</v>
      </c>
      <c r="H16" s="2">
        <v>0</v>
      </c>
      <c r="I16" s="2">
        <v>0</v>
      </c>
      <c r="J16">
        <f t="shared" si="0"/>
        <v>0</v>
      </c>
      <c r="K16" s="2"/>
      <c r="L16" s="1" t="s">
        <v>78</v>
      </c>
      <c r="M16" s="2">
        <v>528</v>
      </c>
      <c r="N16" s="2">
        <v>744</v>
      </c>
      <c r="O16" s="2">
        <v>0</v>
      </c>
      <c r="P16" s="2">
        <v>0</v>
      </c>
      <c r="Q16" s="2">
        <v>744</v>
      </c>
      <c r="R16" s="2">
        <v>744</v>
      </c>
      <c r="S16">
        <f t="shared" si="1"/>
        <v>2760</v>
      </c>
      <c r="T16" s="1" t="s">
        <v>78</v>
      </c>
      <c r="U16" s="2">
        <v>0</v>
      </c>
      <c r="V16" s="2">
        <v>0</v>
      </c>
      <c r="W16" s="2">
        <v>0</v>
      </c>
      <c r="X16" s="2">
        <v>0</v>
      </c>
      <c r="Y16" s="2">
        <v>0</v>
      </c>
      <c r="Z16" s="2">
        <v>0</v>
      </c>
      <c r="AA16">
        <f t="shared" si="2"/>
        <v>0</v>
      </c>
    </row>
    <row r="17" spans="1:27" ht="21" customHeight="1">
      <c r="A17">
        <f>+A5+1</f>
        <v>2025</v>
      </c>
      <c r="B17" s="1" t="s">
        <v>79</v>
      </c>
      <c r="C17" s="2">
        <v>0</v>
      </c>
      <c r="D17" s="2">
        <v>0</v>
      </c>
      <c r="E17" s="2">
        <v>0</v>
      </c>
      <c r="F17" s="2">
        <v>0</v>
      </c>
      <c r="G17" s="2">
        <v>0</v>
      </c>
      <c r="H17" s="2">
        <v>744</v>
      </c>
      <c r="I17" s="2">
        <v>744</v>
      </c>
      <c r="J17">
        <f t="shared" si="0"/>
        <v>1488</v>
      </c>
      <c r="K17" s="2"/>
      <c r="L17" s="1" t="s">
        <v>79</v>
      </c>
      <c r="M17" s="2">
        <v>744</v>
      </c>
      <c r="N17" s="2">
        <v>744</v>
      </c>
      <c r="O17" s="2">
        <v>0</v>
      </c>
      <c r="P17" s="2">
        <v>0</v>
      </c>
      <c r="Q17" s="2">
        <v>744</v>
      </c>
      <c r="R17" s="2">
        <v>744</v>
      </c>
      <c r="S17">
        <f t="shared" si="1"/>
        <v>2976</v>
      </c>
      <c r="T17" s="1" t="s">
        <v>79</v>
      </c>
      <c r="U17" s="2">
        <v>0</v>
      </c>
      <c r="V17" s="2">
        <v>744</v>
      </c>
      <c r="W17" s="2">
        <v>0</v>
      </c>
      <c r="X17" s="2">
        <v>0</v>
      </c>
      <c r="Y17" s="2">
        <v>744</v>
      </c>
      <c r="Z17" s="2">
        <v>744</v>
      </c>
      <c r="AA17">
        <f t="shared" si="2"/>
        <v>2232</v>
      </c>
    </row>
    <row r="18" spans="1:27" ht="21" customHeight="1">
      <c r="A18">
        <f t="shared" ref="A18:A81" si="3">+A6+1</f>
        <v>2025</v>
      </c>
      <c r="B18" s="1" t="s">
        <v>80</v>
      </c>
      <c r="C18" s="2">
        <v>0</v>
      </c>
      <c r="D18" s="2">
        <v>0</v>
      </c>
      <c r="E18" s="2">
        <v>0</v>
      </c>
      <c r="F18" s="2">
        <v>0</v>
      </c>
      <c r="G18" s="2">
        <v>0</v>
      </c>
      <c r="H18" s="2">
        <v>672</v>
      </c>
      <c r="I18" s="2">
        <v>672</v>
      </c>
      <c r="J18">
        <f t="shared" si="0"/>
        <v>1344</v>
      </c>
      <c r="K18" s="2"/>
      <c r="L18" s="1" t="s">
        <v>80</v>
      </c>
      <c r="M18" s="2">
        <v>672</v>
      </c>
      <c r="N18" s="2">
        <v>672</v>
      </c>
      <c r="O18" s="2">
        <v>0</v>
      </c>
      <c r="P18" s="2">
        <v>0</v>
      </c>
      <c r="Q18" s="2">
        <v>672</v>
      </c>
      <c r="R18" s="2">
        <v>672</v>
      </c>
      <c r="S18">
        <f t="shared" si="1"/>
        <v>2688</v>
      </c>
      <c r="T18" s="1" t="s">
        <v>80</v>
      </c>
      <c r="U18" s="2">
        <v>0</v>
      </c>
      <c r="V18" s="2">
        <v>672</v>
      </c>
      <c r="W18" s="2">
        <v>0</v>
      </c>
      <c r="X18" s="2">
        <v>0</v>
      </c>
      <c r="Y18" s="2">
        <v>672</v>
      </c>
      <c r="Z18" s="2">
        <v>672</v>
      </c>
      <c r="AA18">
        <f t="shared" si="2"/>
        <v>2016</v>
      </c>
    </row>
    <row r="19" spans="1:27" ht="21" customHeight="1">
      <c r="A19">
        <f t="shared" si="3"/>
        <v>2025</v>
      </c>
      <c r="B19" s="1" t="s">
        <v>81</v>
      </c>
      <c r="C19" s="2">
        <v>0</v>
      </c>
      <c r="D19" s="2">
        <v>0</v>
      </c>
      <c r="E19" s="2">
        <v>0</v>
      </c>
      <c r="F19" s="2">
        <v>0</v>
      </c>
      <c r="G19" s="2">
        <v>0</v>
      </c>
      <c r="H19" s="2">
        <v>0</v>
      </c>
      <c r="I19" s="2">
        <v>0</v>
      </c>
      <c r="J19">
        <f t="shared" si="0"/>
        <v>0</v>
      </c>
      <c r="K19" s="2"/>
      <c r="L19" s="1" t="s">
        <v>81</v>
      </c>
      <c r="M19" s="2">
        <v>744</v>
      </c>
      <c r="N19" s="2">
        <v>744</v>
      </c>
      <c r="O19" s="2">
        <v>0</v>
      </c>
      <c r="P19" s="2">
        <v>0</v>
      </c>
      <c r="Q19" s="2">
        <v>696</v>
      </c>
      <c r="R19" s="2">
        <v>576</v>
      </c>
      <c r="S19">
        <f t="shared" si="1"/>
        <v>2760</v>
      </c>
      <c r="T19" s="1" t="s">
        <v>81</v>
      </c>
      <c r="U19" s="2">
        <v>0</v>
      </c>
      <c r="V19" s="2">
        <v>0</v>
      </c>
      <c r="W19" s="2">
        <v>0</v>
      </c>
      <c r="X19" s="2">
        <v>0</v>
      </c>
      <c r="Y19" s="2">
        <v>0</v>
      </c>
      <c r="Z19" s="2">
        <v>0</v>
      </c>
      <c r="AA19">
        <f t="shared" si="2"/>
        <v>0</v>
      </c>
    </row>
    <row r="20" spans="1:27" ht="21" customHeight="1">
      <c r="A20">
        <f t="shared" si="3"/>
        <v>2025</v>
      </c>
      <c r="B20" s="1" t="s">
        <v>82</v>
      </c>
      <c r="C20" s="2">
        <v>0</v>
      </c>
      <c r="D20" s="2">
        <v>0</v>
      </c>
      <c r="E20" s="2">
        <v>0</v>
      </c>
      <c r="F20" s="2">
        <v>0</v>
      </c>
      <c r="G20" s="2">
        <v>0</v>
      </c>
      <c r="H20" s="2">
        <v>600</v>
      </c>
      <c r="I20" s="2">
        <v>0</v>
      </c>
      <c r="J20">
        <f t="shared" si="0"/>
        <v>600</v>
      </c>
      <c r="K20" s="2"/>
      <c r="L20" s="1" t="s">
        <v>82</v>
      </c>
      <c r="M20" s="2">
        <v>720</v>
      </c>
      <c r="N20" s="2">
        <v>720</v>
      </c>
      <c r="O20" s="2">
        <v>0</v>
      </c>
      <c r="P20" s="2">
        <v>0</v>
      </c>
      <c r="Q20" s="2">
        <v>0</v>
      </c>
      <c r="R20" s="2">
        <v>24</v>
      </c>
      <c r="S20">
        <f t="shared" si="1"/>
        <v>1464</v>
      </c>
      <c r="T20" s="1" t="s">
        <v>82</v>
      </c>
      <c r="U20" s="2">
        <v>0</v>
      </c>
      <c r="V20" s="2">
        <v>0</v>
      </c>
      <c r="W20" s="2">
        <v>0</v>
      </c>
      <c r="X20" s="2">
        <v>0</v>
      </c>
      <c r="Y20" s="2">
        <v>0</v>
      </c>
      <c r="Z20" s="2">
        <v>0</v>
      </c>
      <c r="AA20">
        <f t="shared" si="2"/>
        <v>0</v>
      </c>
    </row>
    <row r="21" spans="1:27" ht="21" customHeight="1">
      <c r="A21">
        <f t="shared" si="3"/>
        <v>2025</v>
      </c>
      <c r="B21" s="1" t="s">
        <v>83</v>
      </c>
      <c r="C21" s="2">
        <v>0</v>
      </c>
      <c r="D21" s="2">
        <v>0</v>
      </c>
      <c r="E21" s="2">
        <v>0</v>
      </c>
      <c r="F21" s="2">
        <v>0</v>
      </c>
      <c r="G21" s="2">
        <v>0</v>
      </c>
      <c r="H21" s="2">
        <v>744</v>
      </c>
      <c r="I21" s="2">
        <v>0</v>
      </c>
      <c r="J21">
        <f t="shared" si="0"/>
        <v>744</v>
      </c>
      <c r="K21" s="2"/>
      <c r="L21" s="1" t="s">
        <v>83</v>
      </c>
      <c r="M21" s="2">
        <v>576</v>
      </c>
      <c r="N21" s="2">
        <v>744</v>
      </c>
      <c r="O21" s="2">
        <v>0</v>
      </c>
      <c r="P21" s="2">
        <v>0</v>
      </c>
      <c r="Q21" s="2">
        <v>696</v>
      </c>
      <c r="R21" s="2">
        <v>672</v>
      </c>
      <c r="S21">
        <f t="shared" si="1"/>
        <v>2688</v>
      </c>
      <c r="T21" s="1" t="s">
        <v>83</v>
      </c>
      <c r="U21" s="2">
        <v>0</v>
      </c>
      <c r="V21" s="2">
        <v>0</v>
      </c>
      <c r="W21" s="2">
        <v>0</v>
      </c>
      <c r="X21" s="2">
        <v>0</v>
      </c>
      <c r="Y21" s="2">
        <v>0</v>
      </c>
      <c r="Z21" s="2">
        <v>0</v>
      </c>
      <c r="AA21">
        <f t="shared" si="2"/>
        <v>0</v>
      </c>
    </row>
    <row r="22" spans="1:27" ht="21" customHeight="1">
      <c r="A22">
        <f t="shared" si="3"/>
        <v>2025</v>
      </c>
      <c r="B22" s="1" t="s">
        <v>84</v>
      </c>
      <c r="C22" s="2">
        <v>0</v>
      </c>
      <c r="D22" s="2">
        <v>0</v>
      </c>
      <c r="E22" s="2">
        <v>0</v>
      </c>
      <c r="F22" s="2">
        <v>0</v>
      </c>
      <c r="G22" s="2">
        <v>0</v>
      </c>
      <c r="H22" s="2">
        <v>720</v>
      </c>
      <c r="I22" s="2">
        <v>0</v>
      </c>
      <c r="J22">
        <f t="shared" si="0"/>
        <v>720</v>
      </c>
      <c r="K22" s="2"/>
      <c r="L22" s="1" t="s">
        <v>84</v>
      </c>
      <c r="M22" s="2">
        <v>720</v>
      </c>
      <c r="N22" s="2">
        <v>720</v>
      </c>
      <c r="O22" s="2">
        <v>0</v>
      </c>
      <c r="P22" s="2">
        <v>0</v>
      </c>
      <c r="Q22" s="2">
        <v>720</v>
      </c>
      <c r="R22" s="2">
        <v>720</v>
      </c>
      <c r="S22">
        <f t="shared" si="1"/>
        <v>2880</v>
      </c>
      <c r="T22" s="1" t="s">
        <v>84</v>
      </c>
      <c r="U22" s="2">
        <v>0</v>
      </c>
      <c r="V22" s="2">
        <v>0</v>
      </c>
      <c r="W22" s="2">
        <v>0</v>
      </c>
      <c r="X22" s="2">
        <v>0</v>
      </c>
      <c r="Y22" s="2">
        <v>0</v>
      </c>
      <c r="Z22" s="2">
        <v>0</v>
      </c>
      <c r="AA22">
        <f t="shared" si="2"/>
        <v>0</v>
      </c>
    </row>
    <row r="23" spans="1:27" ht="21" customHeight="1">
      <c r="A23">
        <f t="shared" si="3"/>
        <v>2025</v>
      </c>
      <c r="B23" s="1" t="s">
        <v>85</v>
      </c>
      <c r="C23" s="2">
        <v>0</v>
      </c>
      <c r="D23" s="2">
        <v>0</v>
      </c>
      <c r="E23" s="2">
        <v>0</v>
      </c>
      <c r="F23" s="2">
        <v>0</v>
      </c>
      <c r="G23" s="2">
        <v>0</v>
      </c>
      <c r="H23" s="2">
        <v>576</v>
      </c>
      <c r="I23" s="2">
        <v>0</v>
      </c>
      <c r="J23">
        <f t="shared" si="0"/>
        <v>576</v>
      </c>
      <c r="K23" s="2"/>
      <c r="L23" s="1" t="s">
        <v>85</v>
      </c>
      <c r="M23" s="2">
        <v>744</v>
      </c>
      <c r="N23" s="2">
        <v>744</v>
      </c>
      <c r="O23" s="2">
        <v>0</v>
      </c>
      <c r="P23" s="2">
        <v>0</v>
      </c>
      <c r="Q23" s="2">
        <v>576</v>
      </c>
      <c r="R23" s="2">
        <v>744</v>
      </c>
      <c r="S23">
        <f t="shared" si="1"/>
        <v>2808</v>
      </c>
      <c r="T23" s="1" t="s">
        <v>85</v>
      </c>
      <c r="U23" s="2">
        <v>0</v>
      </c>
      <c r="V23" s="2">
        <v>744</v>
      </c>
      <c r="W23" s="2">
        <v>0</v>
      </c>
      <c r="X23" s="2">
        <v>0</v>
      </c>
      <c r="Y23" s="2">
        <v>576</v>
      </c>
      <c r="Z23" s="2">
        <v>744</v>
      </c>
      <c r="AA23">
        <f t="shared" si="2"/>
        <v>2064</v>
      </c>
    </row>
    <row r="24" spans="1:27" ht="21" customHeight="1">
      <c r="A24">
        <f t="shared" si="3"/>
        <v>2025</v>
      </c>
      <c r="B24" s="1" t="s">
        <v>86</v>
      </c>
      <c r="C24" s="2">
        <v>0</v>
      </c>
      <c r="D24" s="2">
        <v>0</v>
      </c>
      <c r="E24" s="2">
        <v>0</v>
      </c>
      <c r="F24" s="2">
        <v>0</v>
      </c>
      <c r="G24" s="2">
        <v>0</v>
      </c>
      <c r="H24" s="2">
        <v>744</v>
      </c>
      <c r="I24" s="2">
        <v>0</v>
      </c>
      <c r="J24">
        <f t="shared" si="0"/>
        <v>744</v>
      </c>
      <c r="K24" s="2"/>
      <c r="L24" s="1" t="s">
        <v>86</v>
      </c>
      <c r="M24" s="2">
        <v>744</v>
      </c>
      <c r="N24" s="2">
        <v>744</v>
      </c>
      <c r="O24" s="2">
        <v>0</v>
      </c>
      <c r="P24" s="2">
        <v>0</v>
      </c>
      <c r="Q24" s="2">
        <v>744</v>
      </c>
      <c r="R24" s="2">
        <v>744</v>
      </c>
      <c r="S24">
        <f t="shared" si="1"/>
        <v>2976</v>
      </c>
      <c r="T24" s="1" t="s">
        <v>86</v>
      </c>
      <c r="U24" s="2">
        <v>0</v>
      </c>
      <c r="V24" s="2">
        <v>744</v>
      </c>
      <c r="W24" s="2">
        <v>0</v>
      </c>
      <c r="X24" s="2">
        <v>0</v>
      </c>
      <c r="Y24" s="2">
        <v>744</v>
      </c>
      <c r="Z24" s="2">
        <v>744</v>
      </c>
      <c r="AA24">
        <f t="shared" si="2"/>
        <v>2232</v>
      </c>
    </row>
    <row r="25" spans="1:27" ht="21" customHeight="1">
      <c r="A25">
        <f t="shared" si="3"/>
        <v>2025</v>
      </c>
      <c r="B25" s="1" t="s">
        <v>87</v>
      </c>
      <c r="C25" s="2">
        <v>0</v>
      </c>
      <c r="D25" s="2">
        <v>0</v>
      </c>
      <c r="E25" s="2">
        <v>0</v>
      </c>
      <c r="F25" s="2">
        <v>0</v>
      </c>
      <c r="G25" s="2">
        <v>0</v>
      </c>
      <c r="H25" s="2">
        <v>720</v>
      </c>
      <c r="I25" s="2">
        <v>0</v>
      </c>
      <c r="J25">
        <f t="shared" si="0"/>
        <v>720</v>
      </c>
      <c r="K25" s="2"/>
      <c r="L25" s="1" t="s">
        <v>87</v>
      </c>
      <c r="M25" s="2">
        <v>720</v>
      </c>
      <c r="N25" s="2">
        <v>720</v>
      </c>
      <c r="O25" s="2">
        <v>0</v>
      </c>
      <c r="P25" s="2">
        <v>0</v>
      </c>
      <c r="Q25" s="2">
        <v>720</v>
      </c>
      <c r="R25" s="2">
        <v>648</v>
      </c>
      <c r="S25">
        <f t="shared" si="1"/>
        <v>2808</v>
      </c>
      <c r="T25" s="1" t="s">
        <v>87</v>
      </c>
      <c r="U25" s="2">
        <v>0</v>
      </c>
      <c r="V25" s="2">
        <v>0</v>
      </c>
      <c r="W25" s="2">
        <v>0</v>
      </c>
      <c r="X25" s="2">
        <v>0</v>
      </c>
      <c r="Y25" s="2">
        <v>0</v>
      </c>
      <c r="Z25" s="2">
        <v>0</v>
      </c>
      <c r="AA25">
        <f t="shared" si="2"/>
        <v>0</v>
      </c>
    </row>
    <row r="26" spans="1:27" ht="21" customHeight="1">
      <c r="A26">
        <f t="shared" si="3"/>
        <v>2025</v>
      </c>
      <c r="B26" s="1" t="s">
        <v>88</v>
      </c>
      <c r="C26" s="2">
        <v>0</v>
      </c>
      <c r="D26" s="2">
        <v>0</v>
      </c>
      <c r="E26" s="2">
        <v>0</v>
      </c>
      <c r="F26" s="2">
        <v>0</v>
      </c>
      <c r="G26" s="2">
        <v>0</v>
      </c>
      <c r="H26" s="2">
        <v>0</v>
      </c>
      <c r="I26" s="2">
        <v>0</v>
      </c>
      <c r="J26">
        <f t="shared" si="0"/>
        <v>0</v>
      </c>
      <c r="K26" s="2"/>
      <c r="L26" s="1" t="s">
        <v>88</v>
      </c>
      <c r="M26" s="2">
        <v>720</v>
      </c>
      <c r="N26" s="2">
        <v>696</v>
      </c>
      <c r="O26" s="2">
        <v>0</v>
      </c>
      <c r="P26" s="2">
        <v>0</v>
      </c>
      <c r="Q26" s="2">
        <v>744</v>
      </c>
      <c r="R26" s="2">
        <v>648</v>
      </c>
      <c r="S26">
        <f t="shared" si="1"/>
        <v>2808</v>
      </c>
      <c r="T26" s="1" t="s">
        <v>88</v>
      </c>
      <c r="U26" s="2">
        <v>0</v>
      </c>
      <c r="V26" s="2">
        <v>0</v>
      </c>
      <c r="W26" s="2">
        <v>0</v>
      </c>
      <c r="X26" s="2">
        <v>0</v>
      </c>
      <c r="Y26" s="2">
        <v>0</v>
      </c>
      <c r="Z26" s="2">
        <v>0</v>
      </c>
      <c r="AA26">
        <f t="shared" si="2"/>
        <v>0</v>
      </c>
    </row>
    <row r="27" spans="1:27" ht="21" customHeight="1">
      <c r="A27">
        <f t="shared" si="3"/>
        <v>2025</v>
      </c>
      <c r="B27" s="1" t="s">
        <v>89</v>
      </c>
      <c r="C27" s="2">
        <v>0</v>
      </c>
      <c r="D27" s="2">
        <v>0</v>
      </c>
      <c r="E27" s="2">
        <v>0</v>
      </c>
      <c r="F27" s="2">
        <v>0</v>
      </c>
      <c r="G27" s="2">
        <v>0</v>
      </c>
      <c r="H27" s="2">
        <v>696</v>
      </c>
      <c r="I27" s="2">
        <v>0</v>
      </c>
      <c r="J27">
        <f t="shared" si="0"/>
        <v>696</v>
      </c>
      <c r="K27" s="2"/>
      <c r="L27" s="1" t="s">
        <v>89</v>
      </c>
      <c r="M27" s="2">
        <v>0</v>
      </c>
      <c r="N27" s="2">
        <v>0</v>
      </c>
      <c r="O27" s="2">
        <v>0</v>
      </c>
      <c r="P27" s="2">
        <v>0</v>
      </c>
      <c r="Q27" s="2">
        <v>720</v>
      </c>
      <c r="R27" s="2">
        <v>720</v>
      </c>
      <c r="S27">
        <f t="shared" si="1"/>
        <v>1440</v>
      </c>
      <c r="T27" s="1" t="s">
        <v>89</v>
      </c>
      <c r="U27" s="2">
        <v>0</v>
      </c>
      <c r="V27" s="2">
        <v>0</v>
      </c>
      <c r="W27" s="2">
        <v>0</v>
      </c>
      <c r="X27" s="2">
        <v>0</v>
      </c>
      <c r="Y27" s="2">
        <v>0</v>
      </c>
      <c r="Z27" s="2">
        <v>0</v>
      </c>
      <c r="AA27">
        <f t="shared" si="2"/>
        <v>0</v>
      </c>
    </row>
    <row r="28" spans="1:27" ht="21" customHeight="1">
      <c r="A28">
        <f t="shared" si="3"/>
        <v>2025</v>
      </c>
      <c r="B28" s="1" t="s">
        <v>90</v>
      </c>
      <c r="C28" s="2">
        <v>0</v>
      </c>
      <c r="D28" s="2">
        <v>0</v>
      </c>
      <c r="E28" s="2">
        <v>0</v>
      </c>
      <c r="F28" s="2">
        <v>0</v>
      </c>
      <c r="G28" s="2">
        <v>0</v>
      </c>
      <c r="H28" s="2">
        <v>576</v>
      </c>
      <c r="I28" s="2">
        <v>0</v>
      </c>
      <c r="J28">
        <f t="shared" si="0"/>
        <v>576</v>
      </c>
      <c r="K28" s="2"/>
      <c r="L28" s="1" t="s">
        <v>90</v>
      </c>
      <c r="M28" s="2">
        <v>720</v>
      </c>
      <c r="N28" s="2">
        <v>744</v>
      </c>
      <c r="O28" s="2">
        <v>0</v>
      </c>
      <c r="P28" s="2">
        <v>0</v>
      </c>
      <c r="Q28" s="2">
        <v>576</v>
      </c>
      <c r="R28" s="2">
        <v>744</v>
      </c>
      <c r="S28">
        <f t="shared" si="1"/>
        <v>2784</v>
      </c>
      <c r="T28" s="1" t="s">
        <v>90</v>
      </c>
      <c r="U28" s="2">
        <v>0</v>
      </c>
      <c r="V28" s="2">
        <v>0</v>
      </c>
      <c r="W28" s="2">
        <v>0</v>
      </c>
      <c r="X28" s="2">
        <v>0</v>
      </c>
      <c r="Y28" s="2">
        <v>0</v>
      </c>
      <c r="Z28" s="2">
        <v>0</v>
      </c>
      <c r="AA28">
        <f t="shared" si="2"/>
        <v>0</v>
      </c>
    </row>
    <row r="29" spans="1:27" ht="21" customHeight="1">
      <c r="A29">
        <f t="shared" si="3"/>
        <v>2026</v>
      </c>
      <c r="B29" s="1" t="s">
        <v>91</v>
      </c>
      <c r="C29" s="2">
        <v>0</v>
      </c>
      <c r="D29" s="2">
        <v>0</v>
      </c>
      <c r="E29" s="2">
        <v>0</v>
      </c>
      <c r="F29" s="2">
        <v>0</v>
      </c>
      <c r="G29" s="2">
        <v>0</v>
      </c>
      <c r="H29" s="2">
        <v>0</v>
      </c>
      <c r="I29" s="2">
        <v>0</v>
      </c>
      <c r="J29">
        <f t="shared" si="0"/>
        <v>0</v>
      </c>
      <c r="K29" s="2"/>
      <c r="L29" s="1" t="s">
        <v>91</v>
      </c>
      <c r="M29" s="2">
        <v>744</v>
      </c>
      <c r="N29" s="2">
        <v>744</v>
      </c>
      <c r="O29" s="2">
        <v>0</v>
      </c>
      <c r="P29" s="2">
        <v>0</v>
      </c>
      <c r="Q29" s="2">
        <v>744</v>
      </c>
      <c r="R29" s="2">
        <v>744</v>
      </c>
      <c r="S29">
        <f t="shared" si="1"/>
        <v>2976</v>
      </c>
      <c r="T29" s="1" t="s">
        <v>91</v>
      </c>
      <c r="U29" s="2">
        <v>0</v>
      </c>
      <c r="V29" s="2">
        <v>744</v>
      </c>
      <c r="W29" s="2">
        <v>0</v>
      </c>
      <c r="X29" s="2">
        <v>0</v>
      </c>
      <c r="Y29" s="2">
        <v>744</v>
      </c>
      <c r="Z29" s="2">
        <v>744</v>
      </c>
      <c r="AA29">
        <f t="shared" si="2"/>
        <v>2232</v>
      </c>
    </row>
    <row r="30" spans="1:27" ht="21" customHeight="1">
      <c r="A30">
        <f t="shared" si="3"/>
        <v>2026</v>
      </c>
      <c r="B30" s="1" t="s">
        <v>92</v>
      </c>
      <c r="C30" s="2">
        <v>0</v>
      </c>
      <c r="D30" s="2">
        <v>0</v>
      </c>
      <c r="E30" s="2">
        <v>0</v>
      </c>
      <c r="F30" s="2">
        <v>0</v>
      </c>
      <c r="G30" s="2">
        <v>0</v>
      </c>
      <c r="H30" s="2">
        <v>0</v>
      </c>
      <c r="I30" s="2">
        <v>0</v>
      </c>
      <c r="J30">
        <f t="shared" si="0"/>
        <v>0</v>
      </c>
      <c r="K30" s="2"/>
      <c r="L30" s="1" t="s">
        <v>92</v>
      </c>
      <c r="M30" s="2">
        <v>672</v>
      </c>
      <c r="N30" s="2">
        <v>672</v>
      </c>
      <c r="O30" s="2">
        <v>0</v>
      </c>
      <c r="P30" s="2">
        <v>0</v>
      </c>
      <c r="Q30" s="2">
        <v>672</v>
      </c>
      <c r="R30" s="2">
        <v>672</v>
      </c>
      <c r="S30">
        <f t="shared" si="1"/>
        <v>2688</v>
      </c>
      <c r="T30" s="1" t="s">
        <v>92</v>
      </c>
      <c r="U30" s="2">
        <v>0</v>
      </c>
      <c r="V30" s="2">
        <v>672</v>
      </c>
      <c r="W30" s="2">
        <v>0</v>
      </c>
      <c r="X30" s="2">
        <v>0</v>
      </c>
      <c r="Y30" s="2">
        <v>672</v>
      </c>
      <c r="Z30" s="2">
        <v>672</v>
      </c>
      <c r="AA30">
        <f t="shared" si="2"/>
        <v>2016</v>
      </c>
    </row>
    <row r="31" spans="1:27" ht="21" customHeight="1">
      <c r="A31">
        <f t="shared" si="3"/>
        <v>2026</v>
      </c>
      <c r="B31" s="1" t="s">
        <v>93</v>
      </c>
      <c r="C31" s="2">
        <v>0</v>
      </c>
      <c r="D31" s="2">
        <v>0</v>
      </c>
      <c r="E31" s="2">
        <v>0</v>
      </c>
      <c r="F31" s="2">
        <v>0</v>
      </c>
      <c r="G31" s="2">
        <v>0</v>
      </c>
      <c r="H31" s="2">
        <v>0</v>
      </c>
      <c r="I31" s="2">
        <v>0</v>
      </c>
      <c r="J31">
        <f t="shared" si="0"/>
        <v>0</v>
      </c>
      <c r="K31" s="2"/>
      <c r="L31" s="1" t="s">
        <v>93</v>
      </c>
      <c r="M31" s="2">
        <v>576</v>
      </c>
      <c r="N31" s="2">
        <v>744</v>
      </c>
      <c r="O31" s="2">
        <v>0</v>
      </c>
      <c r="P31" s="2">
        <v>0</v>
      </c>
      <c r="Q31" s="2">
        <v>744</v>
      </c>
      <c r="R31" s="2">
        <v>744</v>
      </c>
      <c r="S31">
        <f t="shared" si="1"/>
        <v>2808</v>
      </c>
      <c r="T31" s="1" t="s">
        <v>93</v>
      </c>
      <c r="U31" s="2">
        <v>0</v>
      </c>
      <c r="V31" s="2">
        <v>0</v>
      </c>
      <c r="W31" s="2">
        <v>0</v>
      </c>
      <c r="X31" s="2">
        <v>0</v>
      </c>
      <c r="Y31" s="2">
        <v>0</v>
      </c>
      <c r="Z31" s="2">
        <v>0</v>
      </c>
      <c r="AA31">
        <f t="shared" si="2"/>
        <v>0</v>
      </c>
    </row>
    <row r="32" spans="1:27" ht="21" customHeight="1">
      <c r="A32">
        <f t="shared" si="3"/>
        <v>2026</v>
      </c>
      <c r="B32" s="1" t="s">
        <v>94</v>
      </c>
      <c r="C32" s="2">
        <v>0</v>
      </c>
      <c r="D32" s="2">
        <v>0</v>
      </c>
      <c r="E32" s="2">
        <v>0</v>
      </c>
      <c r="F32" s="2">
        <v>0</v>
      </c>
      <c r="G32" s="2">
        <v>0</v>
      </c>
      <c r="H32" s="2">
        <v>0</v>
      </c>
      <c r="I32" s="2">
        <v>0</v>
      </c>
      <c r="J32">
        <f t="shared" si="0"/>
        <v>0</v>
      </c>
      <c r="K32" s="2"/>
      <c r="L32" s="1" t="s">
        <v>94</v>
      </c>
      <c r="M32" s="2">
        <v>0</v>
      </c>
      <c r="N32" s="2">
        <v>720</v>
      </c>
      <c r="O32" s="2">
        <v>0</v>
      </c>
      <c r="P32" s="2">
        <v>0</v>
      </c>
      <c r="Q32" s="2">
        <v>0</v>
      </c>
      <c r="R32" s="2">
        <v>720</v>
      </c>
      <c r="S32">
        <f t="shared" si="1"/>
        <v>1440</v>
      </c>
      <c r="T32" s="1" t="s">
        <v>94</v>
      </c>
      <c r="U32" s="2">
        <v>0</v>
      </c>
      <c r="V32" s="2">
        <v>0</v>
      </c>
      <c r="W32" s="2">
        <v>0</v>
      </c>
      <c r="X32" s="2">
        <v>0</v>
      </c>
      <c r="Y32" s="2">
        <v>0</v>
      </c>
      <c r="Z32" s="2">
        <v>0</v>
      </c>
      <c r="AA32">
        <f t="shared" si="2"/>
        <v>0</v>
      </c>
    </row>
    <row r="33" spans="1:27" ht="21" customHeight="1">
      <c r="A33">
        <f t="shared" si="3"/>
        <v>2026</v>
      </c>
      <c r="B33" s="1" t="s">
        <v>95</v>
      </c>
      <c r="C33" s="2">
        <v>0</v>
      </c>
      <c r="D33" s="2">
        <v>0</v>
      </c>
      <c r="E33" s="2">
        <v>0</v>
      </c>
      <c r="F33" s="2">
        <v>0</v>
      </c>
      <c r="G33" s="2">
        <v>0</v>
      </c>
      <c r="H33" s="2">
        <v>0</v>
      </c>
      <c r="I33" s="2">
        <v>0</v>
      </c>
      <c r="J33">
        <f t="shared" si="0"/>
        <v>0</v>
      </c>
      <c r="K33" s="2"/>
      <c r="L33" s="1" t="s">
        <v>95</v>
      </c>
      <c r="M33" s="2">
        <v>696</v>
      </c>
      <c r="N33" s="2">
        <v>744</v>
      </c>
      <c r="O33" s="2">
        <v>0</v>
      </c>
      <c r="P33" s="2">
        <v>0</v>
      </c>
      <c r="Q33" s="2">
        <v>696</v>
      </c>
      <c r="R33" s="2">
        <v>744</v>
      </c>
      <c r="S33">
        <f t="shared" si="1"/>
        <v>2880</v>
      </c>
      <c r="T33" s="1" t="s">
        <v>95</v>
      </c>
      <c r="U33" s="2">
        <v>0</v>
      </c>
      <c r="V33" s="2">
        <v>0</v>
      </c>
      <c r="W33" s="2">
        <v>0</v>
      </c>
      <c r="X33" s="2">
        <v>0</v>
      </c>
      <c r="Y33" s="2">
        <v>0</v>
      </c>
      <c r="Z33" s="2">
        <v>0</v>
      </c>
      <c r="AA33">
        <f t="shared" si="2"/>
        <v>0</v>
      </c>
    </row>
    <row r="34" spans="1:27" ht="21" customHeight="1">
      <c r="A34">
        <f t="shared" si="3"/>
        <v>2026</v>
      </c>
      <c r="B34" s="1" t="s">
        <v>96</v>
      </c>
      <c r="C34" s="2">
        <v>0</v>
      </c>
      <c r="D34" s="2">
        <v>0</v>
      </c>
      <c r="E34" s="2">
        <v>0</v>
      </c>
      <c r="F34" s="2">
        <v>0</v>
      </c>
      <c r="G34" s="2">
        <v>0</v>
      </c>
      <c r="H34" s="2">
        <v>0</v>
      </c>
      <c r="I34" s="2">
        <v>0</v>
      </c>
      <c r="J34">
        <f t="shared" si="0"/>
        <v>0</v>
      </c>
      <c r="K34" s="2"/>
      <c r="L34" s="1" t="s">
        <v>96</v>
      </c>
      <c r="M34" s="2">
        <v>720</v>
      </c>
      <c r="N34" s="2">
        <v>720</v>
      </c>
      <c r="O34" s="2">
        <v>0</v>
      </c>
      <c r="P34" s="2">
        <v>0</v>
      </c>
      <c r="Q34" s="2">
        <v>552</v>
      </c>
      <c r="R34" s="2">
        <v>720</v>
      </c>
      <c r="S34">
        <f t="shared" si="1"/>
        <v>2712</v>
      </c>
      <c r="T34" s="1" t="s">
        <v>96</v>
      </c>
      <c r="U34" s="2">
        <v>0</v>
      </c>
      <c r="V34" s="2">
        <v>0</v>
      </c>
      <c r="W34" s="2">
        <v>0</v>
      </c>
      <c r="X34" s="2">
        <v>0</v>
      </c>
      <c r="Y34" s="2">
        <v>0</v>
      </c>
      <c r="Z34" s="2">
        <v>0</v>
      </c>
      <c r="AA34">
        <f t="shared" si="2"/>
        <v>0</v>
      </c>
    </row>
    <row r="35" spans="1:27" ht="21" customHeight="1">
      <c r="A35">
        <f t="shared" si="3"/>
        <v>2026</v>
      </c>
      <c r="B35" s="1" t="s">
        <v>97</v>
      </c>
      <c r="C35" s="2">
        <v>0</v>
      </c>
      <c r="D35" s="2">
        <v>0</v>
      </c>
      <c r="E35" s="2">
        <v>0</v>
      </c>
      <c r="F35" s="2">
        <v>0</v>
      </c>
      <c r="G35" s="2">
        <v>0</v>
      </c>
      <c r="H35" s="2">
        <v>0</v>
      </c>
      <c r="I35" s="2">
        <v>0</v>
      </c>
      <c r="J35">
        <f t="shared" si="0"/>
        <v>0</v>
      </c>
      <c r="K35" s="2"/>
      <c r="L35" s="1" t="s">
        <v>97</v>
      </c>
      <c r="M35" s="2">
        <v>744</v>
      </c>
      <c r="N35" s="2">
        <v>744</v>
      </c>
      <c r="O35" s="2">
        <v>0</v>
      </c>
      <c r="P35" s="2">
        <v>0</v>
      </c>
      <c r="Q35" s="2">
        <v>744</v>
      </c>
      <c r="R35" s="2">
        <v>744</v>
      </c>
      <c r="S35">
        <f t="shared" si="1"/>
        <v>2976</v>
      </c>
      <c r="T35" s="1" t="s">
        <v>97</v>
      </c>
      <c r="U35" s="2">
        <v>0</v>
      </c>
      <c r="V35" s="2">
        <v>744</v>
      </c>
      <c r="W35" s="2">
        <v>0</v>
      </c>
      <c r="X35" s="2">
        <v>0</v>
      </c>
      <c r="Y35" s="2">
        <v>744</v>
      </c>
      <c r="Z35" s="2">
        <v>744</v>
      </c>
      <c r="AA35">
        <f t="shared" si="2"/>
        <v>2232</v>
      </c>
    </row>
    <row r="36" spans="1:27" ht="21" customHeight="1">
      <c r="A36">
        <f t="shared" si="3"/>
        <v>2026</v>
      </c>
      <c r="B36" s="1" t="s">
        <v>98</v>
      </c>
      <c r="C36" s="2">
        <v>0</v>
      </c>
      <c r="D36" s="2">
        <v>0</v>
      </c>
      <c r="E36" s="2">
        <v>0</v>
      </c>
      <c r="F36" s="2">
        <v>0</v>
      </c>
      <c r="G36" s="2">
        <v>0</v>
      </c>
      <c r="H36" s="2">
        <v>0</v>
      </c>
      <c r="I36" s="2">
        <v>0</v>
      </c>
      <c r="J36">
        <f t="shared" si="0"/>
        <v>0</v>
      </c>
      <c r="K36" s="2"/>
      <c r="L36" s="1" t="s">
        <v>98</v>
      </c>
      <c r="M36" s="2">
        <v>576</v>
      </c>
      <c r="N36" s="2">
        <v>576</v>
      </c>
      <c r="O36" s="2">
        <v>0</v>
      </c>
      <c r="P36" s="2">
        <v>0</v>
      </c>
      <c r="Q36" s="2">
        <v>744</v>
      </c>
      <c r="R36" s="2">
        <v>576</v>
      </c>
      <c r="S36">
        <f t="shared" si="1"/>
        <v>2472</v>
      </c>
      <c r="T36" s="1" t="s">
        <v>98</v>
      </c>
      <c r="U36" s="2">
        <v>0</v>
      </c>
      <c r="V36" s="2">
        <v>576</v>
      </c>
      <c r="W36" s="2">
        <v>0</v>
      </c>
      <c r="X36" s="2">
        <v>0</v>
      </c>
      <c r="Y36" s="2">
        <v>744</v>
      </c>
      <c r="Z36" s="2">
        <v>576</v>
      </c>
      <c r="AA36">
        <f t="shared" si="2"/>
        <v>1896</v>
      </c>
    </row>
    <row r="37" spans="1:27" ht="21" customHeight="1">
      <c r="A37">
        <f t="shared" si="3"/>
        <v>2026</v>
      </c>
      <c r="B37" s="1" t="s">
        <v>99</v>
      </c>
      <c r="C37" s="2">
        <v>0</v>
      </c>
      <c r="D37" s="2">
        <v>0</v>
      </c>
      <c r="E37" s="2">
        <v>0</v>
      </c>
      <c r="F37" s="2">
        <v>0</v>
      </c>
      <c r="G37" s="2">
        <v>0</v>
      </c>
      <c r="H37" s="2">
        <v>0</v>
      </c>
      <c r="I37" s="2">
        <v>0</v>
      </c>
      <c r="J37">
        <f t="shared" si="0"/>
        <v>0</v>
      </c>
      <c r="K37" s="2"/>
      <c r="L37" s="1" t="s">
        <v>99</v>
      </c>
      <c r="M37" s="2">
        <v>720</v>
      </c>
      <c r="N37" s="2">
        <v>624</v>
      </c>
      <c r="O37" s="2">
        <v>0</v>
      </c>
      <c r="P37" s="2">
        <v>0</v>
      </c>
      <c r="Q37" s="2">
        <v>384</v>
      </c>
      <c r="R37" s="2">
        <v>552</v>
      </c>
      <c r="S37">
        <f t="shared" si="1"/>
        <v>2280</v>
      </c>
      <c r="T37" s="1" t="s">
        <v>99</v>
      </c>
      <c r="U37" s="2">
        <v>0</v>
      </c>
      <c r="V37" s="2">
        <v>0</v>
      </c>
      <c r="W37" s="2">
        <v>0</v>
      </c>
      <c r="X37" s="2">
        <v>0</v>
      </c>
      <c r="Y37" s="2">
        <v>0</v>
      </c>
      <c r="Z37" s="2">
        <v>0</v>
      </c>
      <c r="AA37">
        <f t="shared" si="2"/>
        <v>0</v>
      </c>
    </row>
    <row r="38" spans="1:27" ht="21" customHeight="1">
      <c r="A38">
        <f t="shared" si="3"/>
        <v>2026</v>
      </c>
      <c r="B38" s="1" t="s">
        <v>100</v>
      </c>
      <c r="C38" s="2">
        <v>0</v>
      </c>
      <c r="D38" s="2">
        <v>0</v>
      </c>
      <c r="E38" s="2">
        <v>0</v>
      </c>
      <c r="F38" s="2">
        <v>0</v>
      </c>
      <c r="G38" s="2">
        <v>0</v>
      </c>
      <c r="H38" s="2">
        <v>0</v>
      </c>
      <c r="I38" s="2">
        <v>0</v>
      </c>
      <c r="J38">
        <f t="shared" si="0"/>
        <v>0</v>
      </c>
      <c r="K38" s="2"/>
      <c r="L38" s="1" t="s">
        <v>100</v>
      </c>
      <c r="M38" s="2">
        <v>744</v>
      </c>
      <c r="N38" s="2">
        <v>0</v>
      </c>
      <c r="O38" s="2">
        <v>0</v>
      </c>
      <c r="P38" s="2">
        <v>0</v>
      </c>
      <c r="Q38" s="2">
        <v>408</v>
      </c>
      <c r="R38" s="2">
        <v>528</v>
      </c>
      <c r="S38">
        <f t="shared" si="1"/>
        <v>1680</v>
      </c>
      <c r="T38" s="1" t="s">
        <v>100</v>
      </c>
      <c r="U38" s="2">
        <v>0</v>
      </c>
      <c r="V38" s="2">
        <v>0</v>
      </c>
      <c r="W38" s="2">
        <v>0</v>
      </c>
      <c r="X38" s="2">
        <v>0</v>
      </c>
      <c r="Y38" s="2">
        <v>0</v>
      </c>
      <c r="Z38" s="2">
        <v>0</v>
      </c>
      <c r="AA38">
        <f t="shared" si="2"/>
        <v>0</v>
      </c>
    </row>
    <row r="39" spans="1:27" ht="21" customHeight="1">
      <c r="A39">
        <f t="shared" si="3"/>
        <v>2026</v>
      </c>
      <c r="B39" s="1" t="s">
        <v>101</v>
      </c>
      <c r="C39" s="2">
        <v>0</v>
      </c>
      <c r="D39" s="2">
        <v>0</v>
      </c>
      <c r="E39" s="2">
        <v>0</v>
      </c>
      <c r="F39" s="2">
        <v>0</v>
      </c>
      <c r="G39" s="2">
        <v>0</v>
      </c>
      <c r="H39" s="2">
        <v>0</v>
      </c>
      <c r="I39" s="2">
        <v>0</v>
      </c>
      <c r="J39">
        <f t="shared" si="0"/>
        <v>0</v>
      </c>
      <c r="K39" s="2"/>
      <c r="L39" s="1" t="s">
        <v>101</v>
      </c>
      <c r="M39" s="2">
        <v>552</v>
      </c>
      <c r="N39" s="2">
        <v>696</v>
      </c>
      <c r="O39" s="2">
        <v>0</v>
      </c>
      <c r="P39" s="2">
        <v>0</v>
      </c>
      <c r="Q39" s="2">
        <v>720</v>
      </c>
      <c r="R39" s="2">
        <v>0</v>
      </c>
      <c r="S39">
        <f t="shared" si="1"/>
        <v>1968</v>
      </c>
      <c r="T39" s="1" t="s">
        <v>101</v>
      </c>
      <c r="U39" s="2">
        <v>0</v>
      </c>
      <c r="V39" s="2">
        <v>0</v>
      </c>
      <c r="W39" s="2">
        <v>0</v>
      </c>
      <c r="X39" s="2">
        <v>0</v>
      </c>
      <c r="Y39" s="2">
        <v>0</v>
      </c>
      <c r="Z39" s="2">
        <v>0</v>
      </c>
      <c r="AA39">
        <f t="shared" si="2"/>
        <v>0</v>
      </c>
    </row>
    <row r="40" spans="1:27" ht="21" customHeight="1">
      <c r="A40">
        <f t="shared" si="3"/>
        <v>2026</v>
      </c>
      <c r="B40" s="1" t="s">
        <v>102</v>
      </c>
      <c r="C40" s="2">
        <v>0</v>
      </c>
      <c r="D40" s="2">
        <v>0</v>
      </c>
      <c r="E40" s="2">
        <v>0</v>
      </c>
      <c r="F40" s="2">
        <v>0</v>
      </c>
      <c r="G40" s="2">
        <v>0</v>
      </c>
      <c r="H40" s="2">
        <v>0</v>
      </c>
      <c r="I40" s="2">
        <v>0</v>
      </c>
      <c r="J40">
        <f t="shared" si="0"/>
        <v>0</v>
      </c>
      <c r="K40" s="2"/>
      <c r="L40" s="1" t="s">
        <v>102</v>
      </c>
      <c r="M40" s="2">
        <v>744</v>
      </c>
      <c r="N40" s="2">
        <v>744</v>
      </c>
      <c r="O40" s="2">
        <v>0</v>
      </c>
      <c r="P40" s="2">
        <v>0</v>
      </c>
      <c r="Q40" s="2">
        <v>744</v>
      </c>
      <c r="R40" s="2">
        <v>744</v>
      </c>
      <c r="S40">
        <f t="shared" si="1"/>
        <v>2976</v>
      </c>
      <c r="T40" s="1" t="s">
        <v>102</v>
      </c>
      <c r="U40" s="2">
        <v>0</v>
      </c>
      <c r="V40" s="2">
        <v>0</v>
      </c>
      <c r="W40" s="2">
        <v>0</v>
      </c>
      <c r="X40" s="2">
        <v>0</v>
      </c>
      <c r="Y40" s="2">
        <v>0</v>
      </c>
      <c r="Z40" s="2">
        <v>0</v>
      </c>
      <c r="AA40">
        <f t="shared" si="2"/>
        <v>0</v>
      </c>
    </row>
    <row r="41" spans="1:27" ht="21" customHeight="1">
      <c r="A41">
        <f t="shared" si="3"/>
        <v>2027</v>
      </c>
      <c r="B41" s="1" t="s">
        <v>103</v>
      </c>
      <c r="C41" s="2">
        <v>0</v>
      </c>
      <c r="D41" s="2">
        <v>0</v>
      </c>
      <c r="E41" s="2">
        <v>0</v>
      </c>
      <c r="F41" s="2">
        <v>0</v>
      </c>
      <c r="G41" s="2">
        <v>0</v>
      </c>
      <c r="H41" s="2">
        <v>0</v>
      </c>
      <c r="I41" s="2">
        <v>0</v>
      </c>
      <c r="J41">
        <f t="shared" si="0"/>
        <v>0</v>
      </c>
      <c r="K41" s="2"/>
      <c r="L41" s="1" t="s">
        <v>103</v>
      </c>
      <c r="M41" s="2">
        <v>744</v>
      </c>
      <c r="N41" s="2">
        <v>576</v>
      </c>
      <c r="O41" s="2">
        <v>0</v>
      </c>
      <c r="P41" s="2">
        <v>0</v>
      </c>
      <c r="Q41" s="2">
        <v>744</v>
      </c>
      <c r="R41" s="2">
        <v>744</v>
      </c>
      <c r="S41">
        <f t="shared" si="1"/>
        <v>2808</v>
      </c>
      <c r="T41" s="1" t="s">
        <v>103</v>
      </c>
      <c r="U41" s="2">
        <v>0</v>
      </c>
      <c r="V41" s="2">
        <v>576</v>
      </c>
      <c r="W41" s="2">
        <v>0</v>
      </c>
      <c r="X41" s="2">
        <v>0</v>
      </c>
      <c r="Y41" s="2">
        <v>744</v>
      </c>
      <c r="Z41" s="2">
        <v>744</v>
      </c>
      <c r="AA41">
        <f t="shared" si="2"/>
        <v>2064</v>
      </c>
    </row>
    <row r="42" spans="1:27" ht="21" customHeight="1">
      <c r="A42">
        <f t="shared" si="3"/>
        <v>2027</v>
      </c>
      <c r="B42" s="1" t="s">
        <v>104</v>
      </c>
      <c r="C42" s="2">
        <v>0</v>
      </c>
      <c r="D42" s="2">
        <v>0</v>
      </c>
      <c r="E42" s="2">
        <v>0</v>
      </c>
      <c r="F42" s="2">
        <v>0</v>
      </c>
      <c r="G42" s="2">
        <v>0</v>
      </c>
      <c r="H42" s="2">
        <v>0</v>
      </c>
      <c r="I42" s="2">
        <v>0</v>
      </c>
      <c r="J42">
        <f t="shared" si="0"/>
        <v>0</v>
      </c>
      <c r="K42" s="2"/>
      <c r="L42" s="1" t="s">
        <v>104</v>
      </c>
      <c r="M42" s="2">
        <v>672</v>
      </c>
      <c r="N42" s="2">
        <v>672</v>
      </c>
      <c r="O42" s="2">
        <v>0</v>
      </c>
      <c r="P42" s="2">
        <v>0</v>
      </c>
      <c r="Q42" s="2">
        <v>672</v>
      </c>
      <c r="R42" s="2">
        <v>672</v>
      </c>
      <c r="S42">
        <f t="shared" si="1"/>
        <v>2688</v>
      </c>
      <c r="T42" s="1" t="s">
        <v>104</v>
      </c>
      <c r="U42" s="2">
        <v>0</v>
      </c>
      <c r="V42" s="2">
        <v>672</v>
      </c>
      <c r="W42" s="2">
        <v>0</v>
      </c>
      <c r="X42" s="2">
        <v>0</v>
      </c>
      <c r="Y42" s="2">
        <v>672</v>
      </c>
      <c r="Z42" s="2">
        <v>672</v>
      </c>
      <c r="AA42">
        <f t="shared" si="2"/>
        <v>2016</v>
      </c>
    </row>
    <row r="43" spans="1:27" ht="21" customHeight="1">
      <c r="A43">
        <f t="shared" si="3"/>
        <v>2027</v>
      </c>
      <c r="B43" s="1" t="s">
        <v>105</v>
      </c>
      <c r="C43" s="2">
        <v>0</v>
      </c>
      <c r="D43" s="2">
        <v>0</v>
      </c>
      <c r="E43" s="2">
        <v>0</v>
      </c>
      <c r="F43" s="2">
        <v>0</v>
      </c>
      <c r="G43" s="2">
        <v>0</v>
      </c>
      <c r="H43" s="2">
        <v>0</v>
      </c>
      <c r="I43" s="2">
        <v>0</v>
      </c>
      <c r="J43">
        <f t="shared" si="0"/>
        <v>0</v>
      </c>
      <c r="K43" s="2"/>
      <c r="L43" s="1" t="s">
        <v>105</v>
      </c>
      <c r="M43" s="2">
        <v>720</v>
      </c>
      <c r="N43" s="2">
        <v>744</v>
      </c>
      <c r="O43" s="2">
        <v>0</v>
      </c>
      <c r="P43" s="2">
        <v>0</v>
      </c>
      <c r="Q43" s="2">
        <v>744</v>
      </c>
      <c r="R43" s="2">
        <v>720</v>
      </c>
      <c r="S43">
        <f t="shared" si="1"/>
        <v>2928</v>
      </c>
      <c r="T43" s="1" t="s">
        <v>105</v>
      </c>
      <c r="U43" s="2">
        <v>0</v>
      </c>
      <c r="V43" s="2">
        <v>0</v>
      </c>
      <c r="W43" s="2">
        <v>0</v>
      </c>
      <c r="X43" s="2">
        <v>0</v>
      </c>
      <c r="Y43" s="2">
        <v>0</v>
      </c>
      <c r="Z43" s="2">
        <v>0</v>
      </c>
      <c r="AA43">
        <f t="shared" si="2"/>
        <v>0</v>
      </c>
    </row>
    <row r="44" spans="1:27" ht="21" customHeight="1">
      <c r="A44">
        <f t="shared" si="3"/>
        <v>2027</v>
      </c>
      <c r="B44" s="1" t="s">
        <v>106</v>
      </c>
      <c r="C44" s="2">
        <v>0</v>
      </c>
      <c r="D44" s="2">
        <v>0</v>
      </c>
      <c r="E44" s="2">
        <v>0</v>
      </c>
      <c r="F44" s="2">
        <v>0</v>
      </c>
      <c r="G44" s="2">
        <v>0</v>
      </c>
      <c r="H44" s="2">
        <v>0</v>
      </c>
      <c r="I44" s="2">
        <v>0</v>
      </c>
      <c r="J44">
        <f t="shared" si="0"/>
        <v>0</v>
      </c>
      <c r="K44" s="2"/>
      <c r="L44" s="1" t="s">
        <v>106</v>
      </c>
      <c r="M44" s="2">
        <v>0</v>
      </c>
      <c r="N44" s="2">
        <v>720</v>
      </c>
      <c r="O44" s="2">
        <v>0</v>
      </c>
      <c r="P44" s="2">
        <v>0</v>
      </c>
      <c r="Q44" s="2">
        <v>576</v>
      </c>
      <c r="R44" s="2">
        <v>0</v>
      </c>
      <c r="S44">
        <f t="shared" si="1"/>
        <v>1296</v>
      </c>
      <c r="T44" s="1" t="s">
        <v>106</v>
      </c>
      <c r="U44" s="2">
        <v>0</v>
      </c>
      <c r="V44" s="2">
        <v>0</v>
      </c>
      <c r="W44" s="2">
        <v>0</v>
      </c>
      <c r="X44" s="2">
        <v>0</v>
      </c>
      <c r="Y44" s="2">
        <v>0</v>
      </c>
      <c r="Z44" s="2">
        <v>0</v>
      </c>
      <c r="AA44">
        <f t="shared" si="2"/>
        <v>0</v>
      </c>
    </row>
    <row r="45" spans="1:27" ht="21" customHeight="1">
      <c r="A45">
        <f t="shared" si="3"/>
        <v>2027</v>
      </c>
      <c r="B45" s="1" t="s">
        <v>107</v>
      </c>
      <c r="C45" s="2">
        <v>0</v>
      </c>
      <c r="D45" s="2">
        <v>0</v>
      </c>
      <c r="E45" s="2">
        <v>0</v>
      </c>
      <c r="F45" s="2">
        <v>0</v>
      </c>
      <c r="G45" s="2">
        <v>0</v>
      </c>
      <c r="H45" s="2">
        <v>0</v>
      </c>
      <c r="I45" s="2">
        <v>0</v>
      </c>
      <c r="J45">
        <f t="shared" si="0"/>
        <v>0</v>
      </c>
      <c r="K45" s="2"/>
      <c r="L45" s="1" t="s">
        <v>107</v>
      </c>
      <c r="M45" s="2">
        <v>720</v>
      </c>
      <c r="N45" s="2">
        <v>744</v>
      </c>
      <c r="O45" s="2">
        <v>0</v>
      </c>
      <c r="P45" s="2">
        <v>0</v>
      </c>
      <c r="Q45" s="2">
        <v>552</v>
      </c>
      <c r="R45" s="2">
        <v>720</v>
      </c>
      <c r="S45">
        <f t="shared" si="1"/>
        <v>2736</v>
      </c>
      <c r="T45" s="1" t="s">
        <v>107</v>
      </c>
      <c r="U45" s="2">
        <v>0</v>
      </c>
      <c r="V45" s="2">
        <v>0</v>
      </c>
      <c r="W45" s="2">
        <v>0</v>
      </c>
      <c r="X45" s="2">
        <v>0</v>
      </c>
      <c r="Y45" s="2">
        <v>0</v>
      </c>
      <c r="Z45" s="2">
        <v>0</v>
      </c>
      <c r="AA45">
        <f t="shared" si="2"/>
        <v>0</v>
      </c>
    </row>
    <row r="46" spans="1:27" ht="21" customHeight="1">
      <c r="A46">
        <f t="shared" si="3"/>
        <v>2027</v>
      </c>
      <c r="B46" s="1" t="s">
        <v>108</v>
      </c>
      <c r="C46" s="2">
        <v>0</v>
      </c>
      <c r="D46" s="2">
        <v>0</v>
      </c>
      <c r="E46" s="2">
        <v>0</v>
      </c>
      <c r="F46" s="2">
        <v>0</v>
      </c>
      <c r="G46" s="2">
        <v>0</v>
      </c>
      <c r="H46" s="2">
        <v>0</v>
      </c>
      <c r="I46" s="2">
        <v>0</v>
      </c>
      <c r="J46">
        <f t="shared" si="0"/>
        <v>0</v>
      </c>
      <c r="K46" s="2"/>
      <c r="L46" s="1" t="s">
        <v>108</v>
      </c>
      <c r="M46" s="2">
        <v>720</v>
      </c>
      <c r="N46" s="2">
        <v>720</v>
      </c>
      <c r="O46" s="2">
        <v>0</v>
      </c>
      <c r="P46" s="2">
        <v>0</v>
      </c>
      <c r="Q46" s="2">
        <v>720</v>
      </c>
      <c r="R46" s="2">
        <v>720</v>
      </c>
      <c r="S46">
        <f t="shared" si="1"/>
        <v>2880</v>
      </c>
      <c r="T46" s="1" t="s">
        <v>108</v>
      </c>
      <c r="U46" s="2">
        <v>0</v>
      </c>
      <c r="V46" s="2">
        <v>0</v>
      </c>
      <c r="W46" s="2">
        <v>0</v>
      </c>
      <c r="X46" s="2">
        <v>0</v>
      </c>
      <c r="Y46" s="2">
        <v>0</v>
      </c>
      <c r="Z46" s="2">
        <v>0</v>
      </c>
      <c r="AA46">
        <f t="shared" si="2"/>
        <v>0</v>
      </c>
    </row>
    <row r="47" spans="1:27" ht="21" customHeight="1">
      <c r="A47">
        <f t="shared" si="3"/>
        <v>2027</v>
      </c>
      <c r="B47" s="1" t="s">
        <v>109</v>
      </c>
      <c r="C47" s="2">
        <v>0</v>
      </c>
      <c r="D47" s="2">
        <v>0</v>
      </c>
      <c r="E47" s="2">
        <v>0</v>
      </c>
      <c r="F47" s="2">
        <v>0</v>
      </c>
      <c r="G47" s="2">
        <v>0</v>
      </c>
      <c r="H47" s="2">
        <v>0</v>
      </c>
      <c r="I47" s="2">
        <v>0</v>
      </c>
      <c r="J47">
        <f t="shared" si="0"/>
        <v>0</v>
      </c>
      <c r="K47" s="2"/>
      <c r="L47" s="1" t="s">
        <v>109</v>
      </c>
      <c r="M47" s="2">
        <v>576</v>
      </c>
      <c r="N47" s="2">
        <v>744</v>
      </c>
      <c r="O47" s="2">
        <v>0</v>
      </c>
      <c r="P47" s="2">
        <v>0</v>
      </c>
      <c r="Q47" s="2">
        <v>744</v>
      </c>
      <c r="R47" s="2">
        <v>744</v>
      </c>
      <c r="S47">
        <f t="shared" si="1"/>
        <v>2808</v>
      </c>
      <c r="T47" s="1" t="s">
        <v>109</v>
      </c>
      <c r="U47" s="2">
        <v>0</v>
      </c>
      <c r="V47" s="2">
        <v>744</v>
      </c>
      <c r="W47" s="2">
        <v>0</v>
      </c>
      <c r="X47" s="2">
        <v>0</v>
      </c>
      <c r="Y47" s="2">
        <v>744</v>
      </c>
      <c r="Z47" s="2">
        <v>744</v>
      </c>
      <c r="AA47">
        <f t="shared" si="2"/>
        <v>2232</v>
      </c>
    </row>
    <row r="48" spans="1:27" ht="21" customHeight="1">
      <c r="A48">
        <f t="shared" si="3"/>
        <v>2027</v>
      </c>
      <c r="B48" s="1" t="s">
        <v>110</v>
      </c>
      <c r="C48" s="2">
        <v>0</v>
      </c>
      <c r="D48" s="2">
        <v>0</v>
      </c>
      <c r="E48" s="2">
        <v>0</v>
      </c>
      <c r="F48" s="2">
        <v>0</v>
      </c>
      <c r="G48" s="2">
        <v>0</v>
      </c>
      <c r="H48" s="2">
        <v>0</v>
      </c>
      <c r="I48" s="2">
        <v>0</v>
      </c>
      <c r="J48">
        <f t="shared" si="0"/>
        <v>0</v>
      </c>
      <c r="K48" s="2"/>
      <c r="L48" s="1" t="s">
        <v>110</v>
      </c>
      <c r="M48" s="2">
        <v>744</v>
      </c>
      <c r="N48" s="2">
        <v>744</v>
      </c>
      <c r="O48" s="2">
        <v>0</v>
      </c>
      <c r="P48" s="2">
        <v>0</v>
      </c>
      <c r="Q48" s="2">
        <v>744</v>
      </c>
      <c r="R48" s="2">
        <v>576</v>
      </c>
      <c r="S48">
        <f t="shared" si="1"/>
        <v>2808</v>
      </c>
      <c r="T48" s="1" t="s">
        <v>110</v>
      </c>
      <c r="U48" s="2">
        <v>0</v>
      </c>
      <c r="V48" s="2">
        <v>744</v>
      </c>
      <c r="W48" s="2">
        <v>0</v>
      </c>
      <c r="X48" s="2">
        <v>0</v>
      </c>
      <c r="Y48" s="2">
        <v>744</v>
      </c>
      <c r="Z48" s="2">
        <v>576</v>
      </c>
      <c r="AA48">
        <f t="shared" si="2"/>
        <v>2064</v>
      </c>
    </row>
    <row r="49" spans="1:27" ht="21" customHeight="1">
      <c r="A49">
        <f t="shared" si="3"/>
        <v>2027</v>
      </c>
      <c r="B49" s="1" t="s">
        <v>111</v>
      </c>
      <c r="C49" s="2">
        <v>0</v>
      </c>
      <c r="D49" s="2">
        <v>0</v>
      </c>
      <c r="E49" s="2">
        <v>0</v>
      </c>
      <c r="F49" s="2">
        <v>0</v>
      </c>
      <c r="G49" s="2">
        <v>0</v>
      </c>
      <c r="H49" s="2">
        <v>0</v>
      </c>
      <c r="I49" s="2">
        <v>0</v>
      </c>
      <c r="J49">
        <f t="shared" si="0"/>
        <v>0</v>
      </c>
      <c r="K49" s="2"/>
      <c r="L49" s="1" t="s">
        <v>111</v>
      </c>
      <c r="M49" s="2">
        <v>600</v>
      </c>
      <c r="N49" s="2">
        <v>720</v>
      </c>
      <c r="O49" s="2">
        <v>0</v>
      </c>
      <c r="P49" s="2">
        <v>0</v>
      </c>
      <c r="Q49" s="2">
        <v>552</v>
      </c>
      <c r="R49" s="2">
        <v>720</v>
      </c>
      <c r="S49">
        <f t="shared" si="1"/>
        <v>2592</v>
      </c>
      <c r="T49" s="1" t="s">
        <v>111</v>
      </c>
      <c r="U49" s="2">
        <v>0</v>
      </c>
      <c r="V49" s="2">
        <v>0</v>
      </c>
      <c r="W49" s="2">
        <v>0</v>
      </c>
      <c r="X49" s="2">
        <v>0</v>
      </c>
      <c r="Y49" s="2">
        <v>0</v>
      </c>
      <c r="Z49" s="2">
        <v>0</v>
      </c>
      <c r="AA49">
        <f t="shared" si="2"/>
        <v>0</v>
      </c>
    </row>
    <row r="50" spans="1:27" ht="21" customHeight="1">
      <c r="A50">
        <f t="shared" si="3"/>
        <v>2027</v>
      </c>
      <c r="B50" s="1" t="s">
        <v>112</v>
      </c>
      <c r="C50" s="2">
        <v>0</v>
      </c>
      <c r="D50" s="2">
        <v>0</v>
      </c>
      <c r="E50" s="2">
        <v>0</v>
      </c>
      <c r="F50" s="2">
        <v>0</v>
      </c>
      <c r="G50" s="2">
        <v>0</v>
      </c>
      <c r="H50" s="2">
        <v>0</v>
      </c>
      <c r="I50" s="2">
        <v>0</v>
      </c>
      <c r="J50">
        <f t="shared" si="0"/>
        <v>0</v>
      </c>
      <c r="K50" s="2"/>
      <c r="L50" s="1" t="s">
        <v>112</v>
      </c>
      <c r="M50" s="2">
        <v>696</v>
      </c>
      <c r="N50" s="2">
        <v>744</v>
      </c>
      <c r="O50" s="2">
        <v>0</v>
      </c>
      <c r="P50" s="2">
        <v>0</v>
      </c>
      <c r="Q50" s="2">
        <v>672</v>
      </c>
      <c r="R50" s="2">
        <v>744</v>
      </c>
      <c r="S50">
        <f t="shared" si="1"/>
        <v>2856</v>
      </c>
      <c r="T50" s="1" t="s">
        <v>112</v>
      </c>
      <c r="U50" s="2">
        <v>0</v>
      </c>
      <c r="V50" s="2">
        <v>0</v>
      </c>
      <c r="W50" s="2">
        <v>0</v>
      </c>
      <c r="X50" s="2">
        <v>0</v>
      </c>
      <c r="Y50" s="2">
        <v>0</v>
      </c>
      <c r="Z50" s="2">
        <v>0</v>
      </c>
      <c r="AA50">
        <f t="shared" si="2"/>
        <v>0</v>
      </c>
    </row>
    <row r="51" spans="1:27" ht="21" customHeight="1">
      <c r="A51">
        <f t="shared" si="3"/>
        <v>2027</v>
      </c>
      <c r="B51" s="1" t="s">
        <v>113</v>
      </c>
      <c r="C51" s="2">
        <v>0</v>
      </c>
      <c r="D51" s="2">
        <v>0</v>
      </c>
      <c r="E51" s="2">
        <v>0</v>
      </c>
      <c r="F51" s="2">
        <v>0</v>
      </c>
      <c r="G51" s="2">
        <v>0</v>
      </c>
      <c r="H51" s="2">
        <v>0</v>
      </c>
      <c r="I51" s="2">
        <v>0</v>
      </c>
      <c r="J51">
        <f t="shared" si="0"/>
        <v>0</v>
      </c>
      <c r="K51" s="2"/>
      <c r="L51" s="1" t="s">
        <v>113</v>
      </c>
      <c r="M51" s="2">
        <v>480</v>
      </c>
      <c r="N51" s="2">
        <v>72</v>
      </c>
      <c r="O51" s="2">
        <v>0</v>
      </c>
      <c r="P51" s="2">
        <v>0</v>
      </c>
      <c r="Q51" s="2">
        <v>24</v>
      </c>
      <c r="R51" s="2">
        <v>720</v>
      </c>
      <c r="S51">
        <f t="shared" si="1"/>
        <v>1296</v>
      </c>
      <c r="T51" s="1" t="s">
        <v>113</v>
      </c>
      <c r="U51" s="2">
        <v>0</v>
      </c>
      <c r="V51" s="2">
        <v>0</v>
      </c>
      <c r="W51" s="2">
        <v>0</v>
      </c>
      <c r="X51" s="2">
        <v>0</v>
      </c>
      <c r="Y51" s="2">
        <v>0</v>
      </c>
      <c r="Z51" s="2">
        <v>0</v>
      </c>
      <c r="AA51">
        <f t="shared" si="2"/>
        <v>0</v>
      </c>
    </row>
    <row r="52" spans="1:27" ht="21" customHeight="1">
      <c r="A52">
        <f t="shared" si="3"/>
        <v>2027</v>
      </c>
      <c r="B52" s="1" t="s">
        <v>114</v>
      </c>
      <c r="C52" s="2">
        <v>0</v>
      </c>
      <c r="D52" s="2">
        <v>0</v>
      </c>
      <c r="E52" s="2">
        <v>0</v>
      </c>
      <c r="F52" s="2">
        <v>0</v>
      </c>
      <c r="G52" s="2">
        <v>0</v>
      </c>
      <c r="H52" s="2">
        <v>0</v>
      </c>
      <c r="I52" s="2">
        <v>0</v>
      </c>
      <c r="J52">
        <f t="shared" si="0"/>
        <v>0</v>
      </c>
      <c r="K52" s="2"/>
      <c r="L52" s="1" t="s">
        <v>114</v>
      </c>
      <c r="M52" s="2">
        <v>648</v>
      </c>
      <c r="N52" s="2">
        <v>624</v>
      </c>
      <c r="O52" s="2">
        <v>0</v>
      </c>
      <c r="P52" s="2">
        <v>0</v>
      </c>
      <c r="Q52" s="2">
        <v>744</v>
      </c>
      <c r="R52" s="2">
        <v>744</v>
      </c>
      <c r="S52">
        <f t="shared" si="1"/>
        <v>2760</v>
      </c>
      <c r="T52" s="1" t="s">
        <v>114</v>
      </c>
      <c r="U52" s="2">
        <v>0</v>
      </c>
      <c r="V52" s="2">
        <v>0</v>
      </c>
      <c r="W52" s="2">
        <v>0</v>
      </c>
      <c r="X52" s="2">
        <v>0</v>
      </c>
      <c r="Y52" s="2">
        <v>0</v>
      </c>
      <c r="Z52" s="2">
        <v>0</v>
      </c>
      <c r="AA52">
        <f t="shared" si="2"/>
        <v>0</v>
      </c>
    </row>
    <row r="53" spans="1:27" ht="21" customHeight="1">
      <c r="A53">
        <f t="shared" si="3"/>
        <v>2028</v>
      </c>
      <c r="B53" s="1" t="s">
        <v>115</v>
      </c>
      <c r="C53" s="2">
        <v>0</v>
      </c>
      <c r="D53" s="2">
        <v>0</v>
      </c>
      <c r="E53" s="2">
        <v>0</v>
      </c>
      <c r="F53" s="2">
        <v>0</v>
      </c>
      <c r="G53" s="2">
        <v>0</v>
      </c>
      <c r="H53" s="2">
        <v>0</v>
      </c>
      <c r="I53" s="2">
        <v>0</v>
      </c>
      <c r="J53">
        <f t="shared" si="0"/>
        <v>0</v>
      </c>
      <c r="K53" s="2"/>
      <c r="L53" s="1" t="s">
        <v>115</v>
      </c>
      <c r="M53" s="2">
        <v>576</v>
      </c>
      <c r="N53" s="2">
        <v>576</v>
      </c>
      <c r="O53" s="2">
        <v>0</v>
      </c>
      <c r="P53" s="2">
        <v>0</v>
      </c>
      <c r="Q53" s="2">
        <v>744</v>
      </c>
      <c r="R53" s="2">
        <v>744</v>
      </c>
      <c r="S53">
        <f t="shared" si="1"/>
        <v>2640</v>
      </c>
      <c r="T53" s="1" t="s">
        <v>115</v>
      </c>
      <c r="U53" s="2">
        <v>0</v>
      </c>
      <c r="V53" s="2">
        <v>576</v>
      </c>
      <c r="W53" s="2">
        <v>0</v>
      </c>
      <c r="X53" s="2">
        <v>0</v>
      </c>
      <c r="Y53" s="2">
        <v>744</v>
      </c>
      <c r="Z53" s="2">
        <v>744</v>
      </c>
      <c r="AA53">
        <f t="shared" si="2"/>
        <v>2064</v>
      </c>
    </row>
    <row r="54" spans="1:27" ht="21" customHeight="1">
      <c r="A54">
        <f t="shared" si="3"/>
        <v>2028</v>
      </c>
      <c r="B54" s="1" t="s">
        <v>116</v>
      </c>
      <c r="C54" s="2">
        <v>0</v>
      </c>
      <c r="D54" s="2">
        <v>0</v>
      </c>
      <c r="E54" s="2">
        <v>0</v>
      </c>
      <c r="F54" s="2">
        <v>0</v>
      </c>
      <c r="G54" s="2">
        <v>0</v>
      </c>
      <c r="H54" s="2">
        <v>0</v>
      </c>
      <c r="I54" s="2">
        <v>0</v>
      </c>
      <c r="J54">
        <f t="shared" si="0"/>
        <v>0</v>
      </c>
      <c r="K54" s="2"/>
      <c r="L54" s="1" t="s">
        <v>116</v>
      </c>
      <c r="M54" s="2">
        <v>696</v>
      </c>
      <c r="N54" s="2">
        <v>696</v>
      </c>
      <c r="O54" s="2">
        <v>0</v>
      </c>
      <c r="P54" s="2">
        <v>0</v>
      </c>
      <c r="Q54" s="2">
        <v>696</v>
      </c>
      <c r="R54" s="2">
        <v>696</v>
      </c>
      <c r="S54">
        <f t="shared" si="1"/>
        <v>2784</v>
      </c>
      <c r="T54" s="1" t="s">
        <v>116</v>
      </c>
      <c r="U54" s="2">
        <v>0</v>
      </c>
      <c r="V54" s="2">
        <v>696</v>
      </c>
      <c r="W54" s="2">
        <v>0</v>
      </c>
      <c r="X54" s="2">
        <v>0</v>
      </c>
      <c r="Y54" s="2">
        <v>696</v>
      </c>
      <c r="Z54" s="2">
        <v>696</v>
      </c>
      <c r="AA54">
        <f t="shared" si="2"/>
        <v>2088</v>
      </c>
    </row>
    <row r="55" spans="1:27" ht="21" customHeight="1">
      <c r="A55">
        <f t="shared" si="3"/>
        <v>2028</v>
      </c>
      <c r="B55" s="1" t="s">
        <v>117</v>
      </c>
      <c r="C55" s="2">
        <v>0</v>
      </c>
      <c r="D55" s="2">
        <v>0</v>
      </c>
      <c r="E55" s="2">
        <v>0</v>
      </c>
      <c r="F55" s="2">
        <v>0</v>
      </c>
      <c r="G55" s="2">
        <v>0</v>
      </c>
      <c r="H55" s="2">
        <v>0</v>
      </c>
      <c r="I55" s="2">
        <v>0</v>
      </c>
      <c r="J55">
        <f t="shared" si="0"/>
        <v>0</v>
      </c>
      <c r="K55" s="2"/>
      <c r="L55" s="1" t="s">
        <v>117</v>
      </c>
      <c r="M55" s="2">
        <v>744</v>
      </c>
      <c r="N55" s="2">
        <v>576</v>
      </c>
      <c r="O55" s="2">
        <v>0</v>
      </c>
      <c r="P55" s="2">
        <v>0</v>
      </c>
      <c r="Q55" s="2">
        <v>744</v>
      </c>
      <c r="R55" s="2">
        <v>600</v>
      </c>
      <c r="S55">
        <f t="shared" si="1"/>
        <v>2664</v>
      </c>
      <c r="T55" s="1" t="s">
        <v>117</v>
      </c>
      <c r="U55" s="2">
        <v>0</v>
      </c>
      <c r="V55" s="2">
        <v>0</v>
      </c>
      <c r="W55" s="2">
        <v>0</v>
      </c>
      <c r="X55" s="2">
        <v>0</v>
      </c>
      <c r="Y55" s="2">
        <v>0</v>
      </c>
      <c r="Z55" s="2">
        <v>0</v>
      </c>
      <c r="AA55">
        <f t="shared" si="2"/>
        <v>0</v>
      </c>
    </row>
    <row r="56" spans="1:27" ht="21" customHeight="1">
      <c r="A56">
        <f t="shared" si="3"/>
        <v>2028</v>
      </c>
      <c r="B56" s="1" t="s">
        <v>118</v>
      </c>
      <c r="C56" s="2">
        <v>0</v>
      </c>
      <c r="D56" s="2">
        <v>0</v>
      </c>
      <c r="E56" s="2">
        <v>0</v>
      </c>
      <c r="F56" s="2">
        <v>0</v>
      </c>
      <c r="G56" s="2">
        <v>0</v>
      </c>
      <c r="H56" s="2">
        <v>0</v>
      </c>
      <c r="I56" s="2">
        <v>0</v>
      </c>
      <c r="J56">
        <f t="shared" si="0"/>
        <v>0</v>
      </c>
      <c r="K56" s="2"/>
      <c r="L56" s="1" t="s">
        <v>118</v>
      </c>
      <c r="M56" s="2">
        <v>720</v>
      </c>
      <c r="N56" s="2">
        <v>0</v>
      </c>
      <c r="O56" s="2">
        <v>0</v>
      </c>
      <c r="P56" s="2">
        <v>0</v>
      </c>
      <c r="Q56" s="2">
        <v>720</v>
      </c>
      <c r="R56" s="2">
        <v>72</v>
      </c>
      <c r="S56">
        <f t="shared" si="1"/>
        <v>1512</v>
      </c>
      <c r="T56" s="1" t="s">
        <v>118</v>
      </c>
      <c r="U56" s="2">
        <v>0</v>
      </c>
      <c r="V56" s="2">
        <v>0</v>
      </c>
      <c r="W56" s="2">
        <v>0</v>
      </c>
      <c r="X56" s="2">
        <v>0</v>
      </c>
      <c r="Y56" s="2">
        <v>0</v>
      </c>
      <c r="Z56" s="2">
        <v>0</v>
      </c>
      <c r="AA56">
        <f t="shared" si="2"/>
        <v>0</v>
      </c>
    </row>
    <row r="57" spans="1:27" ht="21" customHeight="1">
      <c r="A57">
        <f t="shared" si="3"/>
        <v>2028</v>
      </c>
      <c r="B57" s="1" t="s">
        <v>119</v>
      </c>
      <c r="C57" s="2">
        <v>0</v>
      </c>
      <c r="D57" s="2">
        <v>0</v>
      </c>
      <c r="E57" s="2">
        <v>0</v>
      </c>
      <c r="F57" s="2">
        <v>0</v>
      </c>
      <c r="G57" s="2">
        <v>0</v>
      </c>
      <c r="H57" s="2">
        <v>0</v>
      </c>
      <c r="I57" s="2">
        <v>0</v>
      </c>
      <c r="J57">
        <f t="shared" si="0"/>
        <v>0</v>
      </c>
      <c r="K57" s="2"/>
      <c r="L57" s="1" t="s">
        <v>119</v>
      </c>
      <c r="M57" s="2">
        <v>744</v>
      </c>
      <c r="N57" s="2">
        <v>696</v>
      </c>
      <c r="O57" s="2">
        <v>0</v>
      </c>
      <c r="P57" s="2">
        <v>0</v>
      </c>
      <c r="Q57" s="2">
        <v>744</v>
      </c>
      <c r="R57" s="2">
        <v>600</v>
      </c>
      <c r="S57">
        <f t="shared" si="1"/>
        <v>2784</v>
      </c>
      <c r="T57" s="1" t="s">
        <v>119</v>
      </c>
      <c r="U57" s="2">
        <v>0</v>
      </c>
      <c r="V57" s="2">
        <v>0</v>
      </c>
      <c r="W57" s="2">
        <v>0</v>
      </c>
      <c r="X57" s="2">
        <v>0</v>
      </c>
      <c r="Y57" s="2">
        <v>0</v>
      </c>
      <c r="Z57" s="2">
        <v>0</v>
      </c>
      <c r="AA57">
        <f t="shared" si="2"/>
        <v>0</v>
      </c>
    </row>
    <row r="58" spans="1:27" ht="21" customHeight="1">
      <c r="A58">
        <f t="shared" si="3"/>
        <v>2028</v>
      </c>
      <c r="B58" s="1" t="s">
        <v>120</v>
      </c>
      <c r="C58" s="2">
        <v>0</v>
      </c>
      <c r="D58" s="2">
        <v>0</v>
      </c>
      <c r="E58" s="2">
        <v>0</v>
      </c>
      <c r="F58" s="2">
        <v>0</v>
      </c>
      <c r="G58" s="2">
        <v>0</v>
      </c>
      <c r="H58" s="2">
        <v>0</v>
      </c>
      <c r="I58" s="2">
        <v>0</v>
      </c>
      <c r="J58">
        <f t="shared" si="0"/>
        <v>0</v>
      </c>
      <c r="K58" s="2"/>
      <c r="L58" s="1" t="s">
        <v>120</v>
      </c>
      <c r="M58" s="2">
        <v>720</v>
      </c>
      <c r="N58" s="2">
        <v>720</v>
      </c>
      <c r="O58" s="2">
        <v>0</v>
      </c>
      <c r="P58" s="2">
        <v>0</v>
      </c>
      <c r="Q58" s="2">
        <v>720</v>
      </c>
      <c r="R58" s="2">
        <v>720</v>
      </c>
      <c r="S58">
        <f t="shared" si="1"/>
        <v>2880</v>
      </c>
      <c r="T58" s="1" t="s">
        <v>120</v>
      </c>
      <c r="U58" s="2">
        <v>0</v>
      </c>
      <c r="V58" s="2">
        <v>0</v>
      </c>
      <c r="W58" s="2">
        <v>0</v>
      </c>
      <c r="X58" s="2">
        <v>0</v>
      </c>
      <c r="Y58" s="2">
        <v>0</v>
      </c>
      <c r="Z58" s="2">
        <v>0</v>
      </c>
      <c r="AA58">
        <f t="shared" si="2"/>
        <v>0</v>
      </c>
    </row>
    <row r="59" spans="1:27" ht="21" customHeight="1">
      <c r="A59">
        <f t="shared" si="3"/>
        <v>2028</v>
      </c>
      <c r="B59" s="1" t="s">
        <v>121</v>
      </c>
      <c r="C59" s="2">
        <v>0</v>
      </c>
      <c r="D59" s="2">
        <v>0</v>
      </c>
      <c r="E59" s="2">
        <v>0</v>
      </c>
      <c r="F59" s="2">
        <v>0</v>
      </c>
      <c r="G59" s="2">
        <v>0</v>
      </c>
      <c r="H59" s="2">
        <v>0</v>
      </c>
      <c r="I59" s="2">
        <v>0</v>
      </c>
      <c r="J59">
        <f t="shared" si="0"/>
        <v>0</v>
      </c>
      <c r="K59" s="2"/>
      <c r="L59" s="1" t="s">
        <v>121</v>
      </c>
      <c r="M59" s="2">
        <v>744</v>
      </c>
      <c r="N59" s="2">
        <v>744</v>
      </c>
      <c r="O59" s="2">
        <v>0</v>
      </c>
      <c r="P59" s="2">
        <v>0</v>
      </c>
      <c r="Q59" s="2">
        <v>744</v>
      </c>
      <c r="R59" s="2">
        <v>744</v>
      </c>
      <c r="S59">
        <f t="shared" si="1"/>
        <v>2976</v>
      </c>
      <c r="T59" s="1" t="s">
        <v>121</v>
      </c>
      <c r="U59" s="2">
        <v>0</v>
      </c>
      <c r="V59" s="2">
        <v>744</v>
      </c>
      <c r="W59" s="2">
        <v>0</v>
      </c>
      <c r="X59" s="2">
        <v>0</v>
      </c>
      <c r="Y59" s="2">
        <v>744</v>
      </c>
      <c r="Z59" s="2">
        <v>744</v>
      </c>
      <c r="AA59">
        <f t="shared" si="2"/>
        <v>2232</v>
      </c>
    </row>
    <row r="60" spans="1:27" ht="21" customHeight="1">
      <c r="A60">
        <f t="shared" si="3"/>
        <v>2028</v>
      </c>
      <c r="B60" s="1" t="s">
        <v>122</v>
      </c>
      <c r="C60" s="2">
        <v>0</v>
      </c>
      <c r="D60" s="2">
        <v>0</v>
      </c>
      <c r="E60" s="2">
        <v>0</v>
      </c>
      <c r="F60" s="2">
        <v>0</v>
      </c>
      <c r="G60" s="2">
        <v>0</v>
      </c>
      <c r="H60" s="2">
        <v>0</v>
      </c>
      <c r="I60" s="2">
        <v>0</v>
      </c>
      <c r="J60">
        <f t="shared" si="0"/>
        <v>0</v>
      </c>
      <c r="K60" s="2"/>
      <c r="L60" s="1" t="s">
        <v>122</v>
      </c>
      <c r="M60" s="2">
        <v>744</v>
      </c>
      <c r="N60" s="2">
        <v>744</v>
      </c>
      <c r="O60" s="2">
        <v>0</v>
      </c>
      <c r="P60" s="2">
        <v>0</v>
      </c>
      <c r="Q60" s="2">
        <v>744</v>
      </c>
      <c r="R60" s="2">
        <v>744</v>
      </c>
      <c r="S60">
        <f t="shared" si="1"/>
        <v>2976</v>
      </c>
      <c r="T60" s="1" t="s">
        <v>122</v>
      </c>
      <c r="U60" s="2">
        <v>0</v>
      </c>
      <c r="V60" s="2">
        <v>744</v>
      </c>
      <c r="W60" s="2">
        <v>0</v>
      </c>
      <c r="X60" s="2">
        <v>0</v>
      </c>
      <c r="Y60" s="2">
        <v>744</v>
      </c>
      <c r="Z60" s="2">
        <v>744</v>
      </c>
      <c r="AA60">
        <f t="shared" si="2"/>
        <v>2232</v>
      </c>
    </row>
    <row r="61" spans="1:27" ht="21" customHeight="1">
      <c r="A61">
        <f t="shared" si="3"/>
        <v>2028</v>
      </c>
      <c r="B61" s="1" t="s">
        <v>123</v>
      </c>
      <c r="C61" s="2">
        <v>0</v>
      </c>
      <c r="D61" s="2">
        <v>0</v>
      </c>
      <c r="E61" s="2">
        <v>0</v>
      </c>
      <c r="F61" s="2">
        <v>0</v>
      </c>
      <c r="G61" s="2">
        <v>0</v>
      </c>
      <c r="H61" s="2">
        <v>0</v>
      </c>
      <c r="I61" s="2">
        <v>0</v>
      </c>
      <c r="J61">
        <f t="shared" si="0"/>
        <v>0</v>
      </c>
      <c r="K61" s="2"/>
      <c r="L61" s="1" t="s">
        <v>123</v>
      </c>
      <c r="M61" s="2">
        <v>552</v>
      </c>
      <c r="N61" s="2">
        <v>720</v>
      </c>
      <c r="O61" s="2">
        <v>0</v>
      </c>
      <c r="P61" s="2">
        <v>0</v>
      </c>
      <c r="Q61" s="2">
        <v>720</v>
      </c>
      <c r="R61" s="2">
        <v>720</v>
      </c>
      <c r="S61">
        <f t="shared" si="1"/>
        <v>2712</v>
      </c>
      <c r="T61" s="1" t="s">
        <v>123</v>
      </c>
      <c r="U61" s="2">
        <v>0</v>
      </c>
      <c r="V61" s="2">
        <v>0</v>
      </c>
      <c r="W61" s="2">
        <v>0</v>
      </c>
      <c r="X61" s="2">
        <v>0</v>
      </c>
      <c r="Y61" s="2">
        <v>0</v>
      </c>
      <c r="Z61" s="2">
        <v>0</v>
      </c>
      <c r="AA61">
        <f t="shared" si="2"/>
        <v>0</v>
      </c>
    </row>
    <row r="62" spans="1:27" ht="21" customHeight="1">
      <c r="A62">
        <f t="shared" si="3"/>
        <v>2028</v>
      </c>
      <c r="B62" s="1" t="s">
        <v>124</v>
      </c>
      <c r="C62" s="2">
        <v>0</v>
      </c>
      <c r="D62" s="2">
        <v>0</v>
      </c>
      <c r="E62" s="2">
        <v>0</v>
      </c>
      <c r="F62" s="2">
        <v>0</v>
      </c>
      <c r="G62" s="2">
        <v>0</v>
      </c>
      <c r="H62" s="2">
        <v>0</v>
      </c>
      <c r="I62" s="2">
        <v>0</v>
      </c>
      <c r="J62">
        <f t="shared" si="0"/>
        <v>0</v>
      </c>
      <c r="K62" s="2"/>
      <c r="L62" s="1" t="s">
        <v>124</v>
      </c>
      <c r="M62" s="2">
        <v>72</v>
      </c>
      <c r="N62" s="2">
        <v>576</v>
      </c>
      <c r="O62" s="2">
        <v>0</v>
      </c>
      <c r="P62" s="2">
        <v>0</v>
      </c>
      <c r="Q62" s="2">
        <v>744</v>
      </c>
      <c r="R62" s="2">
        <v>576</v>
      </c>
      <c r="S62">
        <f t="shared" si="1"/>
        <v>1968</v>
      </c>
      <c r="T62" s="1" t="s">
        <v>124</v>
      </c>
      <c r="U62" s="2">
        <v>0</v>
      </c>
      <c r="V62" s="2">
        <v>0</v>
      </c>
      <c r="W62" s="2">
        <v>0</v>
      </c>
      <c r="X62" s="2">
        <v>0</v>
      </c>
      <c r="Y62" s="2">
        <v>0</v>
      </c>
      <c r="Z62" s="2">
        <v>0</v>
      </c>
      <c r="AA62">
        <f t="shared" si="2"/>
        <v>0</v>
      </c>
    </row>
    <row r="63" spans="1:27" ht="21" customHeight="1">
      <c r="A63">
        <f t="shared" si="3"/>
        <v>2028</v>
      </c>
      <c r="B63" s="1" t="s">
        <v>125</v>
      </c>
      <c r="C63" s="2">
        <v>0</v>
      </c>
      <c r="D63" s="2">
        <v>0</v>
      </c>
      <c r="E63" s="2">
        <v>0</v>
      </c>
      <c r="F63" s="2">
        <v>0</v>
      </c>
      <c r="G63" s="2">
        <v>0</v>
      </c>
      <c r="H63" s="2">
        <v>0</v>
      </c>
      <c r="I63" s="2">
        <v>0</v>
      </c>
      <c r="J63">
        <f t="shared" si="0"/>
        <v>0</v>
      </c>
      <c r="K63" s="2"/>
      <c r="L63" s="1" t="s">
        <v>125</v>
      </c>
      <c r="M63" s="2">
        <v>624</v>
      </c>
      <c r="N63" s="2">
        <v>720</v>
      </c>
      <c r="O63" s="2">
        <v>0</v>
      </c>
      <c r="P63" s="2">
        <v>0</v>
      </c>
      <c r="Q63" s="2">
        <v>0</v>
      </c>
      <c r="R63" s="2">
        <v>720</v>
      </c>
      <c r="S63">
        <f t="shared" si="1"/>
        <v>2064</v>
      </c>
      <c r="T63" s="1" t="s">
        <v>125</v>
      </c>
      <c r="U63" s="2">
        <v>0</v>
      </c>
      <c r="V63" s="2">
        <v>0</v>
      </c>
      <c r="W63" s="2">
        <v>0</v>
      </c>
      <c r="X63" s="2">
        <v>0</v>
      </c>
      <c r="Y63" s="2">
        <v>0</v>
      </c>
      <c r="Z63" s="2">
        <v>0</v>
      </c>
      <c r="AA63">
        <f t="shared" si="2"/>
        <v>0</v>
      </c>
    </row>
    <row r="64" spans="1:27" ht="21" customHeight="1">
      <c r="A64">
        <f t="shared" si="3"/>
        <v>2028</v>
      </c>
      <c r="B64" s="1" t="s">
        <v>126</v>
      </c>
      <c r="C64" s="2">
        <v>0</v>
      </c>
      <c r="D64" s="2">
        <v>0</v>
      </c>
      <c r="E64" s="2">
        <v>0</v>
      </c>
      <c r="F64" s="2">
        <v>0</v>
      </c>
      <c r="G64" s="2">
        <v>0</v>
      </c>
      <c r="H64" s="2">
        <v>0</v>
      </c>
      <c r="I64" s="2">
        <v>0</v>
      </c>
      <c r="J64">
        <f t="shared" si="0"/>
        <v>0</v>
      </c>
      <c r="K64" s="2"/>
      <c r="L64" s="1" t="s">
        <v>126</v>
      </c>
      <c r="M64" s="2">
        <v>408</v>
      </c>
      <c r="N64" s="2">
        <v>744</v>
      </c>
      <c r="O64" s="2">
        <v>0</v>
      </c>
      <c r="P64" s="2">
        <v>0</v>
      </c>
      <c r="Q64" s="2">
        <v>528</v>
      </c>
      <c r="R64" s="2">
        <v>576</v>
      </c>
      <c r="S64">
        <f t="shared" si="1"/>
        <v>2256</v>
      </c>
      <c r="T64" s="1" t="s">
        <v>126</v>
      </c>
      <c r="U64" s="2">
        <v>0</v>
      </c>
      <c r="V64" s="2">
        <v>0</v>
      </c>
      <c r="W64" s="2">
        <v>0</v>
      </c>
      <c r="X64" s="2">
        <v>0</v>
      </c>
      <c r="Y64" s="2">
        <v>0</v>
      </c>
      <c r="Z64" s="2">
        <v>0</v>
      </c>
      <c r="AA64">
        <f t="shared" si="2"/>
        <v>0</v>
      </c>
    </row>
    <row r="65" spans="1:27" ht="21" customHeight="1">
      <c r="A65">
        <f t="shared" si="3"/>
        <v>2029</v>
      </c>
      <c r="B65" s="1" t="s">
        <v>127</v>
      </c>
      <c r="C65" s="2">
        <v>0</v>
      </c>
      <c r="D65" s="2">
        <v>0</v>
      </c>
      <c r="E65" s="2">
        <v>0</v>
      </c>
      <c r="F65" s="2">
        <v>0</v>
      </c>
      <c r="G65" s="2">
        <v>0</v>
      </c>
      <c r="H65" s="2">
        <v>0</v>
      </c>
      <c r="I65" s="2">
        <v>0</v>
      </c>
      <c r="J65">
        <f t="shared" si="0"/>
        <v>0</v>
      </c>
      <c r="K65" s="2"/>
      <c r="L65" s="1" t="s">
        <v>127</v>
      </c>
      <c r="M65" s="2">
        <v>744</v>
      </c>
      <c r="N65" s="2">
        <v>744</v>
      </c>
      <c r="O65" s="2">
        <v>0</v>
      </c>
      <c r="P65" s="2">
        <v>0</v>
      </c>
      <c r="Q65" s="2">
        <v>744</v>
      </c>
      <c r="R65" s="2">
        <v>744</v>
      </c>
      <c r="S65">
        <f t="shared" si="1"/>
        <v>2976</v>
      </c>
      <c r="T65" s="1" t="s">
        <v>127</v>
      </c>
      <c r="U65" s="2">
        <v>0</v>
      </c>
      <c r="V65" s="2">
        <v>0</v>
      </c>
      <c r="W65" s="2">
        <v>0</v>
      </c>
      <c r="X65" s="2">
        <v>0</v>
      </c>
      <c r="Y65" s="2">
        <v>0</v>
      </c>
      <c r="Z65" s="2">
        <v>0</v>
      </c>
      <c r="AA65">
        <f t="shared" si="2"/>
        <v>0</v>
      </c>
    </row>
    <row r="66" spans="1:27" ht="21" customHeight="1">
      <c r="A66">
        <f t="shared" si="3"/>
        <v>2029</v>
      </c>
      <c r="B66" s="1" t="s">
        <v>128</v>
      </c>
      <c r="C66" s="2">
        <v>0</v>
      </c>
      <c r="D66" s="2">
        <v>0</v>
      </c>
      <c r="E66" s="2">
        <v>0</v>
      </c>
      <c r="F66" s="2">
        <v>0</v>
      </c>
      <c r="G66" s="2">
        <v>0</v>
      </c>
      <c r="H66" s="2">
        <v>0</v>
      </c>
      <c r="I66" s="2">
        <v>0</v>
      </c>
      <c r="J66">
        <f t="shared" si="0"/>
        <v>0</v>
      </c>
      <c r="K66" s="2"/>
      <c r="L66" s="1" t="s">
        <v>128</v>
      </c>
      <c r="M66" s="2">
        <v>672</v>
      </c>
      <c r="N66" s="2">
        <v>672</v>
      </c>
      <c r="O66" s="2">
        <v>0</v>
      </c>
      <c r="P66" s="2">
        <v>0</v>
      </c>
      <c r="Q66" s="2">
        <v>672</v>
      </c>
      <c r="R66" s="2">
        <v>504</v>
      </c>
      <c r="S66">
        <f t="shared" si="1"/>
        <v>2520</v>
      </c>
      <c r="T66" s="1" t="s">
        <v>128</v>
      </c>
      <c r="U66" s="2">
        <v>0</v>
      </c>
      <c r="V66" s="2">
        <v>0</v>
      </c>
      <c r="W66" s="2">
        <v>0</v>
      </c>
      <c r="X66" s="2">
        <v>0</v>
      </c>
      <c r="Y66" s="2">
        <v>0</v>
      </c>
      <c r="Z66" s="2">
        <v>0</v>
      </c>
      <c r="AA66">
        <f t="shared" si="2"/>
        <v>0</v>
      </c>
    </row>
    <row r="67" spans="1:27" ht="21" customHeight="1">
      <c r="A67">
        <f t="shared" si="3"/>
        <v>2029</v>
      </c>
      <c r="B67" s="1" t="s">
        <v>129</v>
      </c>
      <c r="C67" s="2">
        <v>0</v>
      </c>
      <c r="D67" s="2">
        <v>0</v>
      </c>
      <c r="E67" s="2">
        <v>0</v>
      </c>
      <c r="F67" s="2">
        <v>0</v>
      </c>
      <c r="G67" s="2">
        <v>0</v>
      </c>
      <c r="H67" s="2">
        <v>0</v>
      </c>
      <c r="I67" s="2">
        <v>0</v>
      </c>
      <c r="J67">
        <f t="shared" si="0"/>
        <v>0</v>
      </c>
      <c r="K67" s="2"/>
      <c r="L67" s="1" t="s">
        <v>129</v>
      </c>
      <c r="M67" s="2">
        <v>744</v>
      </c>
      <c r="N67" s="2">
        <v>744</v>
      </c>
      <c r="O67" s="2">
        <v>0</v>
      </c>
      <c r="P67" s="2">
        <v>0</v>
      </c>
      <c r="Q67" s="2">
        <v>744</v>
      </c>
      <c r="R67" s="2">
        <v>744</v>
      </c>
      <c r="S67">
        <f t="shared" si="1"/>
        <v>2976</v>
      </c>
      <c r="T67" s="1" t="s">
        <v>129</v>
      </c>
      <c r="U67" s="2">
        <v>0</v>
      </c>
      <c r="V67" s="2">
        <v>0</v>
      </c>
      <c r="W67" s="2">
        <v>0</v>
      </c>
      <c r="X67" s="2">
        <v>0</v>
      </c>
      <c r="Y67" s="2">
        <v>0</v>
      </c>
      <c r="Z67" s="2">
        <v>0</v>
      </c>
      <c r="AA67">
        <f t="shared" si="2"/>
        <v>0</v>
      </c>
    </row>
    <row r="68" spans="1:27" ht="21" customHeight="1">
      <c r="A68">
        <f t="shared" si="3"/>
        <v>2029</v>
      </c>
      <c r="B68" s="1" t="s">
        <v>130</v>
      </c>
      <c r="C68" s="2">
        <v>0</v>
      </c>
      <c r="D68" s="2">
        <v>0</v>
      </c>
      <c r="E68" s="2">
        <v>0</v>
      </c>
      <c r="F68" s="2">
        <v>0</v>
      </c>
      <c r="G68" s="2">
        <v>0</v>
      </c>
      <c r="H68" s="2">
        <v>0</v>
      </c>
      <c r="I68" s="2">
        <v>0</v>
      </c>
      <c r="J68">
        <f t="shared" si="0"/>
        <v>0</v>
      </c>
      <c r="K68" s="2"/>
      <c r="L68" s="1" t="s">
        <v>130</v>
      </c>
      <c r="M68" s="2">
        <v>720</v>
      </c>
      <c r="N68" s="2">
        <v>720</v>
      </c>
      <c r="O68" s="2">
        <v>0</v>
      </c>
      <c r="P68" s="2">
        <v>0</v>
      </c>
      <c r="Q68" s="2">
        <v>72</v>
      </c>
      <c r="R68" s="2">
        <v>720</v>
      </c>
      <c r="S68">
        <f t="shared" si="1"/>
        <v>2232</v>
      </c>
      <c r="T68" s="1" t="s">
        <v>130</v>
      </c>
      <c r="U68" s="2">
        <v>0</v>
      </c>
      <c r="V68" s="2">
        <v>0</v>
      </c>
      <c r="W68" s="2">
        <v>0</v>
      </c>
      <c r="X68" s="2">
        <v>0</v>
      </c>
      <c r="Y68" s="2">
        <v>0</v>
      </c>
      <c r="Z68" s="2">
        <v>0</v>
      </c>
      <c r="AA68">
        <f t="shared" si="2"/>
        <v>0</v>
      </c>
    </row>
    <row r="69" spans="1:27" ht="21" customHeight="1">
      <c r="A69">
        <f t="shared" si="3"/>
        <v>2029</v>
      </c>
      <c r="B69" s="1" t="s">
        <v>131</v>
      </c>
      <c r="C69" s="2">
        <v>0</v>
      </c>
      <c r="D69" s="2">
        <v>0</v>
      </c>
      <c r="E69" s="2">
        <v>0</v>
      </c>
      <c r="F69" s="2">
        <v>0</v>
      </c>
      <c r="G69" s="2">
        <v>0</v>
      </c>
      <c r="H69" s="2">
        <v>0</v>
      </c>
      <c r="I69" s="2">
        <v>0</v>
      </c>
      <c r="J69">
        <f t="shared" si="0"/>
        <v>0</v>
      </c>
      <c r="K69" s="2"/>
      <c r="L69" s="1" t="s">
        <v>131</v>
      </c>
      <c r="M69" s="2">
        <v>624</v>
      </c>
      <c r="N69" s="2">
        <v>744</v>
      </c>
      <c r="O69" s="2">
        <v>0</v>
      </c>
      <c r="P69" s="2">
        <v>0</v>
      </c>
      <c r="Q69" s="2">
        <v>624</v>
      </c>
      <c r="R69" s="2">
        <v>744</v>
      </c>
      <c r="S69">
        <f t="shared" si="1"/>
        <v>2736</v>
      </c>
      <c r="T69" s="1" t="s">
        <v>131</v>
      </c>
      <c r="U69" s="2">
        <v>0</v>
      </c>
      <c r="V69" s="2">
        <v>0</v>
      </c>
      <c r="W69" s="2">
        <v>0</v>
      </c>
      <c r="X69" s="2">
        <v>0</v>
      </c>
      <c r="Y69" s="2">
        <v>0</v>
      </c>
      <c r="Z69" s="2">
        <v>0</v>
      </c>
      <c r="AA69">
        <f t="shared" si="2"/>
        <v>0</v>
      </c>
    </row>
    <row r="70" spans="1:27" ht="21" customHeight="1">
      <c r="A70">
        <f t="shared" si="3"/>
        <v>2029</v>
      </c>
      <c r="B70" s="1" t="s">
        <v>132</v>
      </c>
      <c r="C70" s="2">
        <v>0</v>
      </c>
      <c r="D70" s="2">
        <v>0</v>
      </c>
      <c r="E70" s="2">
        <v>0</v>
      </c>
      <c r="F70" s="2">
        <v>0</v>
      </c>
      <c r="G70" s="2">
        <v>0</v>
      </c>
      <c r="H70" s="2">
        <v>0</v>
      </c>
      <c r="I70" s="2">
        <v>0</v>
      </c>
      <c r="J70">
        <f t="shared" ref="J70:J88" si="4">SUM(G70:I70)</f>
        <v>0</v>
      </c>
      <c r="K70" s="2"/>
      <c r="L70" s="1" t="s">
        <v>132</v>
      </c>
      <c r="M70" s="2">
        <v>672</v>
      </c>
      <c r="N70" s="2">
        <v>720</v>
      </c>
      <c r="O70" s="2">
        <v>0</v>
      </c>
      <c r="P70" s="2">
        <v>0</v>
      </c>
      <c r="Q70" s="2">
        <v>720</v>
      </c>
      <c r="R70" s="2">
        <v>720</v>
      </c>
      <c r="S70">
        <f t="shared" ref="S70:S88" si="5">SUM(M70:R70)</f>
        <v>2832</v>
      </c>
      <c r="T70" s="1" t="s">
        <v>132</v>
      </c>
      <c r="U70" s="2">
        <v>0</v>
      </c>
      <c r="V70" s="2">
        <v>0</v>
      </c>
      <c r="W70" s="2">
        <v>0</v>
      </c>
      <c r="X70" s="2">
        <v>0</v>
      </c>
      <c r="Y70" s="2">
        <v>0</v>
      </c>
      <c r="Z70" s="2">
        <v>0</v>
      </c>
      <c r="AA70">
        <f t="shared" ref="AA70:AA88" si="6">SUM(U70:Z70)</f>
        <v>0</v>
      </c>
    </row>
    <row r="71" spans="1:27" ht="21" customHeight="1">
      <c r="A71">
        <f t="shared" si="3"/>
        <v>2029</v>
      </c>
      <c r="B71" s="1" t="s">
        <v>133</v>
      </c>
      <c r="C71" s="2">
        <v>0</v>
      </c>
      <c r="D71" s="2">
        <v>0</v>
      </c>
      <c r="E71" s="2">
        <v>0</v>
      </c>
      <c r="F71" s="2">
        <v>0</v>
      </c>
      <c r="G71" s="2">
        <v>0</v>
      </c>
      <c r="H71" s="2">
        <v>0</v>
      </c>
      <c r="I71" s="2">
        <v>0</v>
      </c>
      <c r="J71">
        <f t="shared" si="4"/>
        <v>0</v>
      </c>
      <c r="K71" s="2"/>
      <c r="L71" s="1" t="s">
        <v>133</v>
      </c>
      <c r="M71" s="2">
        <v>744</v>
      </c>
      <c r="N71" s="2">
        <v>744</v>
      </c>
      <c r="O71" s="2">
        <v>0</v>
      </c>
      <c r="P71" s="2">
        <v>0</v>
      </c>
      <c r="Q71" s="2">
        <v>744</v>
      </c>
      <c r="R71" s="2">
        <v>744</v>
      </c>
      <c r="S71">
        <f t="shared" si="5"/>
        <v>2976</v>
      </c>
      <c r="T71" s="1" t="s">
        <v>133</v>
      </c>
      <c r="U71" s="2">
        <v>0</v>
      </c>
      <c r="V71" s="2">
        <v>0</v>
      </c>
      <c r="W71" s="2">
        <v>0</v>
      </c>
      <c r="X71" s="2">
        <v>0</v>
      </c>
      <c r="Y71" s="2">
        <v>0</v>
      </c>
      <c r="Z71" s="2">
        <v>0</v>
      </c>
      <c r="AA71">
        <f t="shared" si="6"/>
        <v>0</v>
      </c>
    </row>
    <row r="72" spans="1:27" ht="21" customHeight="1">
      <c r="A72">
        <f t="shared" si="3"/>
        <v>2029</v>
      </c>
      <c r="B72" s="1" t="s">
        <v>134</v>
      </c>
      <c r="C72" s="2">
        <v>0</v>
      </c>
      <c r="D72" s="2">
        <v>0</v>
      </c>
      <c r="E72" s="2">
        <v>0</v>
      </c>
      <c r="F72" s="2">
        <v>0</v>
      </c>
      <c r="G72" s="2">
        <v>0</v>
      </c>
      <c r="H72" s="2">
        <v>0</v>
      </c>
      <c r="I72" s="2">
        <v>0</v>
      </c>
      <c r="J72">
        <f t="shared" si="4"/>
        <v>0</v>
      </c>
      <c r="K72" s="2"/>
      <c r="L72" s="1" t="s">
        <v>134</v>
      </c>
      <c r="M72" s="2">
        <v>744</v>
      </c>
      <c r="N72" s="2">
        <v>744</v>
      </c>
      <c r="O72" s="2">
        <v>0</v>
      </c>
      <c r="P72" s="2">
        <v>0</v>
      </c>
      <c r="Q72" s="2">
        <v>744</v>
      </c>
      <c r="R72" s="2">
        <v>744</v>
      </c>
      <c r="S72">
        <f t="shared" si="5"/>
        <v>2976</v>
      </c>
      <c r="T72" s="1" t="s">
        <v>134</v>
      </c>
      <c r="U72" s="2">
        <v>0</v>
      </c>
      <c r="V72" s="2">
        <v>0</v>
      </c>
      <c r="W72" s="2">
        <v>0</v>
      </c>
      <c r="X72" s="2">
        <v>0</v>
      </c>
      <c r="Y72" s="2">
        <v>0</v>
      </c>
      <c r="Z72" s="2">
        <v>0</v>
      </c>
      <c r="AA72">
        <f t="shared" si="6"/>
        <v>0</v>
      </c>
    </row>
    <row r="73" spans="1:27" ht="21" customHeight="1">
      <c r="A73">
        <f t="shared" si="3"/>
        <v>2029</v>
      </c>
      <c r="B73" s="1" t="s">
        <v>135</v>
      </c>
      <c r="C73" s="2">
        <v>0</v>
      </c>
      <c r="D73" s="2">
        <v>0</v>
      </c>
      <c r="E73" s="2">
        <v>0</v>
      </c>
      <c r="F73" s="2">
        <v>0</v>
      </c>
      <c r="G73" s="2">
        <v>0</v>
      </c>
      <c r="H73" s="2">
        <v>0</v>
      </c>
      <c r="I73" s="2">
        <v>0</v>
      </c>
      <c r="J73">
        <f t="shared" si="4"/>
        <v>0</v>
      </c>
      <c r="K73" s="2"/>
      <c r="L73" s="1" t="s">
        <v>135</v>
      </c>
      <c r="M73" s="2">
        <v>720</v>
      </c>
      <c r="N73" s="2">
        <v>672</v>
      </c>
      <c r="O73" s="2">
        <v>0</v>
      </c>
      <c r="P73" s="2">
        <v>0</v>
      </c>
      <c r="Q73" s="2">
        <v>720</v>
      </c>
      <c r="R73" s="2">
        <v>720</v>
      </c>
      <c r="S73">
        <f t="shared" si="5"/>
        <v>2832</v>
      </c>
      <c r="T73" s="1" t="s">
        <v>135</v>
      </c>
      <c r="U73" s="2">
        <v>0</v>
      </c>
      <c r="V73" s="2">
        <v>0</v>
      </c>
      <c r="W73" s="2">
        <v>0</v>
      </c>
      <c r="X73" s="2">
        <v>0</v>
      </c>
      <c r="Y73" s="2">
        <v>0</v>
      </c>
      <c r="Z73" s="2">
        <v>0</v>
      </c>
      <c r="AA73">
        <f t="shared" si="6"/>
        <v>0</v>
      </c>
    </row>
    <row r="74" spans="1:27" ht="21" customHeight="1">
      <c r="A74">
        <f t="shared" si="3"/>
        <v>2029</v>
      </c>
      <c r="B74" s="1" t="s">
        <v>136</v>
      </c>
      <c r="C74" s="2">
        <v>0</v>
      </c>
      <c r="D74" s="2">
        <v>0</v>
      </c>
      <c r="E74" s="2">
        <v>0</v>
      </c>
      <c r="F74" s="2">
        <v>0</v>
      </c>
      <c r="G74" s="2">
        <v>0</v>
      </c>
      <c r="H74" s="2">
        <v>0</v>
      </c>
      <c r="I74" s="2">
        <v>0</v>
      </c>
      <c r="J74">
        <f t="shared" si="4"/>
        <v>0</v>
      </c>
      <c r="K74" s="2"/>
      <c r="L74" s="1" t="s">
        <v>136</v>
      </c>
      <c r="M74" s="2">
        <v>720</v>
      </c>
      <c r="N74" s="2">
        <v>24</v>
      </c>
      <c r="O74" s="2">
        <v>0</v>
      </c>
      <c r="P74" s="2">
        <v>0</v>
      </c>
      <c r="Q74" s="2">
        <v>744</v>
      </c>
      <c r="R74" s="2">
        <v>96</v>
      </c>
      <c r="S74">
        <f t="shared" si="5"/>
        <v>1584</v>
      </c>
      <c r="T74" s="1" t="s">
        <v>136</v>
      </c>
      <c r="U74" s="2">
        <v>0</v>
      </c>
      <c r="V74" s="2">
        <v>0</v>
      </c>
      <c r="W74" s="2">
        <v>0</v>
      </c>
      <c r="X74" s="2">
        <v>0</v>
      </c>
      <c r="Y74" s="2">
        <v>0</v>
      </c>
      <c r="Z74" s="2">
        <v>0</v>
      </c>
      <c r="AA74">
        <f t="shared" si="6"/>
        <v>0</v>
      </c>
    </row>
    <row r="75" spans="1:27" ht="21" customHeight="1">
      <c r="A75">
        <f t="shared" si="3"/>
        <v>2029</v>
      </c>
      <c r="B75" s="1" t="s">
        <v>137</v>
      </c>
      <c r="C75" s="2">
        <v>0</v>
      </c>
      <c r="D75" s="2">
        <v>0</v>
      </c>
      <c r="E75" s="2">
        <v>0</v>
      </c>
      <c r="F75" s="2">
        <v>0</v>
      </c>
      <c r="G75" s="2">
        <v>0</v>
      </c>
      <c r="H75" s="2">
        <v>0</v>
      </c>
      <c r="I75" s="2">
        <v>0</v>
      </c>
      <c r="J75">
        <f t="shared" si="4"/>
        <v>0</v>
      </c>
      <c r="K75" s="2"/>
      <c r="L75" s="1" t="s">
        <v>137</v>
      </c>
      <c r="M75" s="2">
        <v>0</v>
      </c>
      <c r="N75" s="2">
        <v>720</v>
      </c>
      <c r="O75" s="2">
        <v>0</v>
      </c>
      <c r="P75" s="2">
        <v>0</v>
      </c>
      <c r="Q75" s="2">
        <v>720</v>
      </c>
      <c r="R75" s="2">
        <v>600</v>
      </c>
      <c r="S75">
        <f t="shared" si="5"/>
        <v>2040</v>
      </c>
      <c r="T75" s="1" t="s">
        <v>137</v>
      </c>
      <c r="U75" s="2">
        <v>0</v>
      </c>
      <c r="V75" s="2">
        <v>0</v>
      </c>
      <c r="W75" s="2">
        <v>0</v>
      </c>
      <c r="X75" s="2">
        <v>0</v>
      </c>
      <c r="Y75" s="2">
        <v>0</v>
      </c>
      <c r="Z75" s="2">
        <v>0</v>
      </c>
      <c r="AA75">
        <f t="shared" si="6"/>
        <v>0</v>
      </c>
    </row>
    <row r="76" spans="1:27" ht="21" customHeight="1">
      <c r="A76">
        <f t="shared" si="3"/>
        <v>2029</v>
      </c>
      <c r="B76" s="1" t="s">
        <v>138</v>
      </c>
      <c r="C76" s="2">
        <v>0</v>
      </c>
      <c r="D76" s="2">
        <v>0</v>
      </c>
      <c r="E76" s="2">
        <v>0</v>
      </c>
      <c r="F76" s="2">
        <v>0</v>
      </c>
      <c r="G76" s="2">
        <v>0</v>
      </c>
      <c r="H76" s="2">
        <v>0</v>
      </c>
      <c r="I76" s="2">
        <v>0</v>
      </c>
      <c r="J76">
        <f t="shared" si="4"/>
        <v>0</v>
      </c>
      <c r="K76" s="2"/>
      <c r="L76" s="1" t="s">
        <v>138</v>
      </c>
      <c r="M76" s="2">
        <v>720</v>
      </c>
      <c r="N76" s="2">
        <v>744</v>
      </c>
      <c r="O76" s="2">
        <v>0</v>
      </c>
      <c r="P76" s="2">
        <v>0</v>
      </c>
      <c r="Q76" s="2">
        <v>744</v>
      </c>
      <c r="R76" s="2">
        <v>744</v>
      </c>
      <c r="S76">
        <f t="shared" si="5"/>
        <v>2952</v>
      </c>
      <c r="T76" s="1" t="s">
        <v>138</v>
      </c>
      <c r="U76" s="2">
        <v>0</v>
      </c>
      <c r="V76" s="2">
        <v>0</v>
      </c>
      <c r="W76" s="2">
        <v>0</v>
      </c>
      <c r="X76" s="2">
        <v>0</v>
      </c>
      <c r="Y76" s="2">
        <v>0</v>
      </c>
      <c r="Z76" s="2">
        <v>0</v>
      </c>
      <c r="AA76">
        <f t="shared" si="6"/>
        <v>0</v>
      </c>
    </row>
    <row r="77" spans="1:27" ht="21" customHeight="1">
      <c r="A77">
        <f t="shared" si="3"/>
        <v>2030</v>
      </c>
      <c r="B77" s="1" t="s">
        <v>139</v>
      </c>
      <c r="C77" s="2">
        <v>0</v>
      </c>
      <c r="D77" s="2">
        <v>0</v>
      </c>
      <c r="E77" s="2">
        <v>0</v>
      </c>
      <c r="F77" s="2">
        <v>0</v>
      </c>
      <c r="G77" s="2">
        <v>0</v>
      </c>
      <c r="H77" s="2">
        <v>0</v>
      </c>
      <c r="I77" s="2">
        <v>0</v>
      </c>
      <c r="J77">
        <f t="shared" si="4"/>
        <v>0</v>
      </c>
      <c r="K77" s="2"/>
      <c r="L77" s="1" t="s">
        <v>139</v>
      </c>
      <c r="M77" s="2">
        <v>744</v>
      </c>
      <c r="N77" s="2">
        <v>744</v>
      </c>
      <c r="O77" s="2">
        <v>0</v>
      </c>
      <c r="P77" s="2">
        <v>0</v>
      </c>
      <c r="Q77" s="2">
        <v>744</v>
      </c>
      <c r="R77" s="2">
        <v>744</v>
      </c>
      <c r="S77">
        <f t="shared" si="5"/>
        <v>2976</v>
      </c>
      <c r="T77" s="1" t="s">
        <v>139</v>
      </c>
      <c r="U77" s="2">
        <v>0</v>
      </c>
      <c r="V77" s="2">
        <v>0</v>
      </c>
      <c r="W77" s="2">
        <v>0</v>
      </c>
      <c r="X77" s="2">
        <v>0</v>
      </c>
      <c r="Y77" s="2">
        <v>0</v>
      </c>
      <c r="Z77" s="2">
        <v>0</v>
      </c>
      <c r="AA77">
        <f t="shared" si="6"/>
        <v>0</v>
      </c>
    </row>
    <row r="78" spans="1:27" ht="21" customHeight="1">
      <c r="A78">
        <f t="shared" si="3"/>
        <v>2030</v>
      </c>
      <c r="B78" s="1" t="s">
        <v>140</v>
      </c>
      <c r="C78" s="2">
        <v>0</v>
      </c>
      <c r="D78" s="2">
        <v>0</v>
      </c>
      <c r="E78" s="2">
        <v>0</v>
      </c>
      <c r="F78" s="2">
        <v>0</v>
      </c>
      <c r="G78" s="2">
        <v>0</v>
      </c>
      <c r="H78" s="2">
        <v>0</v>
      </c>
      <c r="I78" s="2">
        <v>0</v>
      </c>
      <c r="J78">
        <f t="shared" si="4"/>
        <v>0</v>
      </c>
      <c r="K78" s="2"/>
      <c r="L78" s="1" t="s">
        <v>140</v>
      </c>
      <c r="M78" s="2">
        <v>672</v>
      </c>
      <c r="N78" s="2">
        <v>672</v>
      </c>
      <c r="O78" s="2">
        <v>0</v>
      </c>
      <c r="P78" s="2">
        <v>0</v>
      </c>
      <c r="Q78" s="2">
        <v>672</v>
      </c>
      <c r="R78" s="2">
        <v>672</v>
      </c>
      <c r="S78">
        <f t="shared" si="5"/>
        <v>2688</v>
      </c>
      <c r="T78" s="1" t="s">
        <v>140</v>
      </c>
      <c r="U78" s="2">
        <v>0</v>
      </c>
      <c r="V78" s="2">
        <v>0</v>
      </c>
      <c r="W78" s="2">
        <v>0</v>
      </c>
      <c r="X78" s="2">
        <v>0</v>
      </c>
      <c r="Y78" s="2">
        <v>0</v>
      </c>
      <c r="Z78" s="2">
        <v>0</v>
      </c>
      <c r="AA78">
        <f t="shared" si="6"/>
        <v>0</v>
      </c>
    </row>
    <row r="79" spans="1:27" ht="21" customHeight="1">
      <c r="A79">
        <f t="shared" si="3"/>
        <v>2030</v>
      </c>
      <c r="B79" s="1" t="s">
        <v>141</v>
      </c>
      <c r="C79" s="2">
        <v>0</v>
      </c>
      <c r="D79" s="2">
        <v>0</v>
      </c>
      <c r="E79" s="2">
        <v>0</v>
      </c>
      <c r="F79" s="2">
        <v>0</v>
      </c>
      <c r="G79" s="2">
        <v>0</v>
      </c>
      <c r="H79" s="2">
        <v>0</v>
      </c>
      <c r="I79" s="2">
        <v>0</v>
      </c>
      <c r="J79">
        <f t="shared" si="4"/>
        <v>0</v>
      </c>
      <c r="K79" s="2"/>
      <c r="L79" s="1" t="s">
        <v>141</v>
      </c>
      <c r="M79" s="2">
        <v>744</v>
      </c>
      <c r="N79" s="2">
        <v>576</v>
      </c>
      <c r="O79" s="2">
        <v>0</v>
      </c>
      <c r="P79" s="2">
        <v>0</v>
      </c>
      <c r="Q79" s="2">
        <v>720</v>
      </c>
      <c r="R79" s="2">
        <v>744</v>
      </c>
      <c r="S79">
        <f t="shared" si="5"/>
        <v>2784</v>
      </c>
      <c r="T79" s="1" t="s">
        <v>141</v>
      </c>
      <c r="U79" s="2">
        <v>0</v>
      </c>
      <c r="V79" s="2">
        <v>0</v>
      </c>
      <c r="W79" s="2">
        <v>0</v>
      </c>
      <c r="X79" s="2">
        <v>0</v>
      </c>
      <c r="Y79" s="2">
        <v>0</v>
      </c>
      <c r="Z79" s="2">
        <v>0</v>
      </c>
      <c r="AA79">
        <f t="shared" si="6"/>
        <v>0</v>
      </c>
    </row>
    <row r="80" spans="1:27" ht="21" customHeight="1">
      <c r="A80">
        <f t="shared" si="3"/>
        <v>2030</v>
      </c>
      <c r="B80" s="1" t="s">
        <v>142</v>
      </c>
      <c r="C80" s="2">
        <v>0</v>
      </c>
      <c r="D80" s="2">
        <v>0</v>
      </c>
      <c r="E80" s="2">
        <v>0</v>
      </c>
      <c r="F80" s="2">
        <v>0</v>
      </c>
      <c r="G80" s="2">
        <v>0</v>
      </c>
      <c r="H80" s="2">
        <v>0</v>
      </c>
      <c r="I80" s="2">
        <v>0</v>
      </c>
      <c r="J80">
        <f t="shared" si="4"/>
        <v>0</v>
      </c>
      <c r="K80" s="2"/>
      <c r="L80" s="1" t="s">
        <v>142</v>
      </c>
      <c r="M80" s="2">
        <v>48</v>
      </c>
      <c r="N80" s="2">
        <v>552</v>
      </c>
      <c r="O80" s="2">
        <v>0</v>
      </c>
      <c r="P80" s="2">
        <v>0</v>
      </c>
      <c r="Q80" s="2">
        <v>0</v>
      </c>
      <c r="R80" s="2">
        <v>720</v>
      </c>
      <c r="S80">
        <f t="shared" si="5"/>
        <v>1320</v>
      </c>
      <c r="T80" s="1" t="s">
        <v>142</v>
      </c>
      <c r="U80" s="2">
        <v>0</v>
      </c>
      <c r="V80" s="2">
        <v>0</v>
      </c>
      <c r="W80" s="2">
        <v>0</v>
      </c>
      <c r="X80" s="2">
        <v>0</v>
      </c>
      <c r="Y80" s="2">
        <v>0</v>
      </c>
      <c r="Z80" s="2">
        <v>0</v>
      </c>
      <c r="AA80">
        <f t="shared" si="6"/>
        <v>0</v>
      </c>
    </row>
    <row r="81" spans="1:27" ht="21" customHeight="1">
      <c r="A81">
        <f t="shared" si="3"/>
        <v>2030</v>
      </c>
      <c r="B81" s="1" t="s">
        <v>143</v>
      </c>
      <c r="C81" s="2">
        <v>0</v>
      </c>
      <c r="D81" s="2">
        <v>0</v>
      </c>
      <c r="E81" s="2">
        <v>0</v>
      </c>
      <c r="F81" s="2">
        <v>0</v>
      </c>
      <c r="G81" s="2">
        <v>0</v>
      </c>
      <c r="H81" s="2">
        <v>0</v>
      </c>
      <c r="I81" s="2">
        <v>0</v>
      </c>
      <c r="J81">
        <f t="shared" si="4"/>
        <v>0</v>
      </c>
      <c r="K81" s="2"/>
      <c r="L81" s="1" t="s">
        <v>143</v>
      </c>
      <c r="M81" s="2">
        <v>648</v>
      </c>
      <c r="N81" s="2">
        <v>744</v>
      </c>
      <c r="O81" s="2">
        <v>0</v>
      </c>
      <c r="P81" s="2">
        <v>0</v>
      </c>
      <c r="Q81" s="2">
        <v>648</v>
      </c>
      <c r="R81" s="2">
        <v>744</v>
      </c>
      <c r="S81">
        <f t="shared" si="5"/>
        <v>2784</v>
      </c>
      <c r="T81" s="1" t="s">
        <v>143</v>
      </c>
      <c r="U81" s="2">
        <v>0</v>
      </c>
      <c r="V81" s="2">
        <v>0</v>
      </c>
      <c r="W81" s="2">
        <v>0</v>
      </c>
      <c r="X81" s="2">
        <v>0</v>
      </c>
      <c r="Y81" s="2">
        <v>0</v>
      </c>
      <c r="Z81" s="2">
        <v>0</v>
      </c>
      <c r="AA81">
        <f t="shared" si="6"/>
        <v>0</v>
      </c>
    </row>
    <row r="82" spans="1:27" ht="21" customHeight="1">
      <c r="A82">
        <f t="shared" ref="A82:A88" si="7">+A70+1</f>
        <v>2030</v>
      </c>
      <c r="B82" s="1" t="s">
        <v>144</v>
      </c>
      <c r="C82" s="2">
        <v>0</v>
      </c>
      <c r="D82" s="2">
        <v>0</v>
      </c>
      <c r="E82" s="2">
        <v>0</v>
      </c>
      <c r="F82" s="2">
        <v>0</v>
      </c>
      <c r="G82" s="2">
        <v>0</v>
      </c>
      <c r="H82" s="2">
        <v>0</v>
      </c>
      <c r="I82" s="2">
        <v>0</v>
      </c>
      <c r="J82">
        <f t="shared" si="4"/>
        <v>0</v>
      </c>
      <c r="K82" s="2"/>
      <c r="L82" s="1" t="s">
        <v>144</v>
      </c>
      <c r="M82" s="2">
        <v>720</v>
      </c>
      <c r="N82" s="2">
        <v>720</v>
      </c>
      <c r="O82" s="2">
        <v>0</v>
      </c>
      <c r="P82" s="2">
        <v>0</v>
      </c>
      <c r="Q82" s="2">
        <v>720</v>
      </c>
      <c r="R82" s="2">
        <v>720</v>
      </c>
      <c r="S82">
        <f t="shared" si="5"/>
        <v>2880</v>
      </c>
      <c r="T82" s="1" t="s">
        <v>144</v>
      </c>
      <c r="U82" s="2">
        <v>0</v>
      </c>
      <c r="V82" s="2">
        <v>0</v>
      </c>
      <c r="W82" s="2">
        <v>0</v>
      </c>
      <c r="X82" s="2">
        <v>0</v>
      </c>
      <c r="Y82" s="2">
        <v>0</v>
      </c>
      <c r="Z82" s="2">
        <v>0</v>
      </c>
      <c r="AA82">
        <f t="shared" si="6"/>
        <v>0</v>
      </c>
    </row>
    <row r="83" spans="1:27" ht="21" customHeight="1">
      <c r="A83">
        <f t="shared" si="7"/>
        <v>2030</v>
      </c>
      <c r="B83" s="1" t="s">
        <v>145</v>
      </c>
      <c r="C83" s="2">
        <v>0</v>
      </c>
      <c r="D83" s="2">
        <v>0</v>
      </c>
      <c r="E83" s="2">
        <v>0</v>
      </c>
      <c r="F83" s="2">
        <v>0</v>
      </c>
      <c r="G83" s="2">
        <v>0</v>
      </c>
      <c r="H83" s="2">
        <v>0</v>
      </c>
      <c r="I83" s="2">
        <v>0</v>
      </c>
      <c r="J83">
        <f t="shared" si="4"/>
        <v>0</v>
      </c>
      <c r="K83" s="2"/>
      <c r="L83" s="1" t="s">
        <v>145</v>
      </c>
      <c r="M83" s="2">
        <v>744</v>
      </c>
      <c r="N83" s="2">
        <v>744</v>
      </c>
      <c r="O83" s="2">
        <v>0</v>
      </c>
      <c r="P83" s="2">
        <v>0</v>
      </c>
      <c r="Q83" s="2">
        <v>744</v>
      </c>
      <c r="R83" s="2">
        <v>744</v>
      </c>
      <c r="S83">
        <f t="shared" si="5"/>
        <v>2976</v>
      </c>
      <c r="T83" s="1" t="s">
        <v>145</v>
      </c>
      <c r="U83" s="2">
        <v>0</v>
      </c>
      <c r="V83" s="2">
        <v>0</v>
      </c>
      <c r="W83" s="2">
        <v>0</v>
      </c>
      <c r="X83" s="2">
        <v>0</v>
      </c>
      <c r="Y83" s="2">
        <v>0</v>
      </c>
      <c r="Z83" s="2">
        <v>0</v>
      </c>
      <c r="AA83">
        <f t="shared" si="6"/>
        <v>0</v>
      </c>
    </row>
    <row r="84" spans="1:27" ht="21" customHeight="1">
      <c r="A84">
        <f t="shared" si="7"/>
        <v>2030</v>
      </c>
      <c r="B84" s="1" t="s">
        <v>146</v>
      </c>
      <c r="C84" s="2">
        <v>0</v>
      </c>
      <c r="D84" s="2">
        <v>0</v>
      </c>
      <c r="E84" s="2">
        <v>0</v>
      </c>
      <c r="F84" s="2">
        <v>0</v>
      </c>
      <c r="G84" s="2">
        <v>0</v>
      </c>
      <c r="H84" s="2">
        <v>0</v>
      </c>
      <c r="I84" s="2">
        <v>0</v>
      </c>
      <c r="J84">
        <f t="shared" si="4"/>
        <v>0</v>
      </c>
      <c r="K84" s="2"/>
      <c r="L84" s="1" t="s">
        <v>146</v>
      </c>
      <c r="M84" s="2">
        <v>576</v>
      </c>
      <c r="N84" s="2">
        <v>744</v>
      </c>
      <c r="O84" s="2">
        <v>0</v>
      </c>
      <c r="P84" s="2">
        <v>0</v>
      </c>
      <c r="Q84" s="2">
        <v>744</v>
      </c>
      <c r="R84" s="2">
        <v>744</v>
      </c>
      <c r="S84">
        <f t="shared" si="5"/>
        <v>2808</v>
      </c>
      <c r="T84" s="1" t="s">
        <v>146</v>
      </c>
      <c r="U84" s="2">
        <v>0</v>
      </c>
      <c r="V84" s="2">
        <v>0</v>
      </c>
      <c r="W84" s="2">
        <v>0</v>
      </c>
      <c r="X84" s="2">
        <v>0</v>
      </c>
      <c r="Y84" s="2">
        <v>0</v>
      </c>
      <c r="Z84" s="2">
        <v>0</v>
      </c>
      <c r="AA84">
        <f t="shared" si="6"/>
        <v>0</v>
      </c>
    </row>
    <row r="85" spans="1:27" ht="21" customHeight="1">
      <c r="A85">
        <f t="shared" si="7"/>
        <v>2030</v>
      </c>
      <c r="B85" s="1" t="s">
        <v>147</v>
      </c>
      <c r="C85" s="2">
        <v>0</v>
      </c>
      <c r="D85" s="2">
        <v>0</v>
      </c>
      <c r="E85" s="2">
        <v>0</v>
      </c>
      <c r="F85" s="2">
        <v>0</v>
      </c>
      <c r="G85" s="2">
        <v>0</v>
      </c>
      <c r="H85" s="2">
        <v>0</v>
      </c>
      <c r="I85" s="2">
        <v>0</v>
      </c>
      <c r="J85">
        <f t="shared" si="4"/>
        <v>0</v>
      </c>
      <c r="K85" s="2"/>
      <c r="L85" s="1" t="s">
        <v>147</v>
      </c>
      <c r="M85" s="2">
        <v>720</v>
      </c>
      <c r="N85" s="2">
        <v>720</v>
      </c>
      <c r="O85" s="2">
        <v>0</v>
      </c>
      <c r="P85" s="2">
        <v>0</v>
      </c>
      <c r="Q85" s="2">
        <v>720</v>
      </c>
      <c r="R85" s="2">
        <v>552</v>
      </c>
      <c r="S85">
        <f t="shared" si="5"/>
        <v>2712</v>
      </c>
      <c r="T85" s="1" t="s">
        <v>147</v>
      </c>
      <c r="U85" s="2">
        <v>0</v>
      </c>
      <c r="V85" s="2">
        <v>0</v>
      </c>
      <c r="W85" s="2">
        <v>0</v>
      </c>
      <c r="X85" s="2">
        <v>0</v>
      </c>
      <c r="Y85" s="2">
        <v>0</v>
      </c>
      <c r="Z85" s="2">
        <v>0</v>
      </c>
      <c r="AA85">
        <f t="shared" si="6"/>
        <v>0</v>
      </c>
    </row>
    <row r="86" spans="1:27" ht="21" customHeight="1">
      <c r="A86">
        <f t="shared" si="7"/>
        <v>2030</v>
      </c>
      <c r="B86" s="1" t="s">
        <v>148</v>
      </c>
      <c r="C86" s="2">
        <v>0</v>
      </c>
      <c r="D86" s="2">
        <v>0</v>
      </c>
      <c r="E86" s="2">
        <v>0</v>
      </c>
      <c r="F86" s="2">
        <v>0</v>
      </c>
      <c r="G86" s="2">
        <v>0</v>
      </c>
      <c r="H86" s="2">
        <v>0</v>
      </c>
      <c r="I86" s="2">
        <v>0</v>
      </c>
      <c r="J86">
        <f t="shared" si="4"/>
        <v>0</v>
      </c>
      <c r="K86" s="2"/>
      <c r="L86" s="1" t="s">
        <v>148</v>
      </c>
      <c r="M86" s="2">
        <v>744</v>
      </c>
      <c r="N86" s="2">
        <v>720</v>
      </c>
      <c r="O86" s="2">
        <v>0</v>
      </c>
      <c r="P86" s="2">
        <v>0</v>
      </c>
      <c r="Q86" s="2">
        <v>744</v>
      </c>
      <c r="R86" s="2">
        <v>216</v>
      </c>
      <c r="S86">
        <f t="shared" si="5"/>
        <v>2424</v>
      </c>
      <c r="T86" s="1" t="s">
        <v>148</v>
      </c>
      <c r="U86" s="2">
        <v>0</v>
      </c>
      <c r="V86" s="2">
        <v>0</v>
      </c>
      <c r="W86" s="2">
        <v>0</v>
      </c>
      <c r="X86" s="2">
        <v>0</v>
      </c>
      <c r="Y86" s="2">
        <v>0</v>
      </c>
      <c r="Z86" s="2">
        <v>0</v>
      </c>
      <c r="AA86">
        <f t="shared" si="6"/>
        <v>0</v>
      </c>
    </row>
    <row r="87" spans="1:27" ht="21" customHeight="1">
      <c r="A87">
        <f t="shared" si="7"/>
        <v>2030</v>
      </c>
      <c r="B87" s="1" t="s">
        <v>149</v>
      </c>
      <c r="C87" s="2">
        <v>0</v>
      </c>
      <c r="D87" s="2">
        <v>0</v>
      </c>
      <c r="E87" s="2">
        <v>0</v>
      </c>
      <c r="F87" s="2">
        <v>0</v>
      </c>
      <c r="G87" s="2">
        <v>0</v>
      </c>
      <c r="H87" s="2">
        <v>0</v>
      </c>
      <c r="I87" s="2">
        <v>0</v>
      </c>
      <c r="J87">
        <f t="shared" si="4"/>
        <v>0</v>
      </c>
      <c r="K87" s="2"/>
      <c r="L87" s="1" t="s">
        <v>149</v>
      </c>
      <c r="M87" s="2">
        <v>720</v>
      </c>
      <c r="N87" s="2">
        <v>0</v>
      </c>
      <c r="O87" s="2">
        <v>0</v>
      </c>
      <c r="P87" s="2">
        <v>0</v>
      </c>
      <c r="Q87" s="2">
        <v>552</v>
      </c>
      <c r="R87" s="2">
        <v>480</v>
      </c>
      <c r="S87">
        <f t="shared" si="5"/>
        <v>1752</v>
      </c>
      <c r="T87" s="1" t="s">
        <v>149</v>
      </c>
      <c r="U87" s="2">
        <v>0</v>
      </c>
      <c r="V87" s="2">
        <v>0</v>
      </c>
      <c r="W87" s="2">
        <v>0</v>
      </c>
      <c r="X87" s="2">
        <v>0</v>
      </c>
      <c r="Y87" s="2">
        <v>0</v>
      </c>
      <c r="Z87" s="2">
        <v>0</v>
      </c>
      <c r="AA87">
        <f t="shared" si="6"/>
        <v>0</v>
      </c>
    </row>
    <row r="88" spans="1:27" ht="21" customHeight="1">
      <c r="A88">
        <f t="shared" si="7"/>
        <v>2030</v>
      </c>
      <c r="B88" s="1" t="s">
        <v>150</v>
      </c>
      <c r="C88" s="2">
        <v>0</v>
      </c>
      <c r="D88" s="2">
        <v>0</v>
      </c>
      <c r="E88" s="2">
        <v>0</v>
      </c>
      <c r="F88" s="2">
        <v>0</v>
      </c>
      <c r="G88" s="2">
        <v>0</v>
      </c>
      <c r="H88" s="2">
        <v>0</v>
      </c>
      <c r="I88" s="2">
        <v>0</v>
      </c>
      <c r="J88">
        <f t="shared" si="4"/>
        <v>0</v>
      </c>
      <c r="K88" s="2"/>
      <c r="L88" s="1" t="s">
        <v>150</v>
      </c>
      <c r="M88" s="2">
        <v>744</v>
      </c>
      <c r="N88" s="2">
        <v>720</v>
      </c>
      <c r="O88" s="2">
        <v>0</v>
      </c>
      <c r="P88" s="2">
        <v>0</v>
      </c>
      <c r="Q88" s="2">
        <v>744</v>
      </c>
      <c r="R88" s="2">
        <v>576</v>
      </c>
      <c r="S88">
        <f t="shared" si="5"/>
        <v>2784</v>
      </c>
      <c r="T88" s="1" t="s">
        <v>150</v>
      </c>
      <c r="U88" s="2">
        <v>0</v>
      </c>
      <c r="V88" s="2">
        <v>0</v>
      </c>
      <c r="W88" s="2">
        <v>0</v>
      </c>
      <c r="X88" s="2">
        <v>0</v>
      </c>
      <c r="Y88" s="2">
        <v>0</v>
      </c>
      <c r="Z88" s="2">
        <v>0</v>
      </c>
      <c r="AA88">
        <f t="shared" si="6"/>
        <v>0</v>
      </c>
    </row>
    <row r="91" spans="1:27">
      <c r="T91" t="s">
        <v>4</v>
      </c>
      <c r="U91" s="263" t="s">
        <v>154</v>
      </c>
      <c r="V91" s="263"/>
      <c r="W91" s="263"/>
      <c r="X91" s="263"/>
      <c r="Y91" s="263"/>
      <c r="Z91" s="263"/>
    </row>
    <row r="92" spans="1:27" ht="15" customHeight="1">
      <c r="T92" s="247" t="str">
        <f>T2</f>
        <v>תחיש מדיניות 30% מתחדשות</v>
      </c>
      <c r="U92" s="247" t="s">
        <v>60</v>
      </c>
      <c r="V92" s="247"/>
      <c r="W92" s="247"/>
      <c r="X92" s="247"/>
      <c r="Y92" s="247"/>
      <c r="Z92" s="247"/>
    </row>
    <row r="93" spans="1:27" ht="30">
      <c r="T93" s="247"/>
      <c r="U93" s="1" t="s">
        <v>61</v>
      </c>
      <c r="V93" s="1" t="s">
        <v>62</v>
      </c>
      <c r="W93" s="1" t="s">
        <v>63</v>
      </c>
      <c r="X93" s="1" t="s">
        <v>64</v>
      </c>
      <c r="Y93" s="1" t="s">
        <v>65</v>
      </c>
      <c r="Z93" s="1" t="s">
        <v>66</v>
      </c>
    </row>
    <row r="94" spans="1:27" ht="15">
      <c r="T94" s="1">
        <v>2024</v>
      </c>
      <c r="U94" s="2">
        <v>0</v>
      </c>
      <c r="V94" s="2">
        <v>1</v>
      </c>
      <c r="W94" s="2">
        <v>3</v>
      </c>
      <c r="X94" s="2">
        <v>4</v>
      </c>
      <c r="Y94" s="2">
        <v>1</v>
      </c>
      <c r="Z94" s="2">
        <v>2</v>
      </c>
    </row>
    <row r="95" spans="1:27" ht="15">
      <c r="T95" s="1">
        <v>2025</v>
      </c>
      <c r="U95" s="2">
        <v>0</v>
      </c>
      <c r="V95" s="2">
        <v>2</v>
      </c>
      <c r="W95" s="2">
        <v>3</v>
      </c>
      <c r="X95" s="2">
        <v>3</v>
      </c>
      <c r="Y95" s="2">
        <v>3</v>
      </c>
      <c r="Z95" s="2">
        <v>2</v>
      </c>
    </row>
    <row r="96" spans="1:27" ht="15">
      <c r="C96" t="s">
        <v>160</v>
      </c>
      <c r="H96" t="s">
        <v>159</v>
      </c>
      <c r="T96" s="1">
        <v>2026</v>
      </c>
      <c r="U96" s="2">
        <v>0</v>
      </c>
      <c r="V96" s="2">
        <v>3</v>
      </c>
      <c r="W96" s="2">
        <v>0</v>
      </c>
      <c r="X96" s="2">
        <v>0</v>
      </c>
      <c r="Y96" s="2">
        <v>2</v>
      </c>
      <c r="Z96" s="2">
        <v>3</v>
      </c>
    </row>
    <row r="97" spans="3:26" ht="15">
      <c r="T97" s="1">
        <v>2027</v>
      </c>
      <c r="U97" s="2">
        <v>0</v>
      </c>
      <c r="V97" s="2">
        <v>3</v>
      </c>
      <c r="W97" s="2">
        <v>0</v>
      </c>
      <c r="X97" s="2">
        <v>0</v>
      </c>
      <c r="Y97" s="2">
        <v>2</v>
      </c>
      <c r="Z97" s="2">
        <v>3</v>
      </c>
    </row>
    <row r="98" spans="3:26" ht="15">
      <c r="D98" t="s">
        <v>55</v>
      </c>
      <c r="E98" t="s">
        <v>56</v>
      </c>
      <c r="F98" t="s">
        <v>57</v>
      </c>
      <c r="I98" t="s">
        <v>55</v>
      </c>
      <c r="J98" t="s">
        <v>56</v>
      </c>
      <c r="K98" t="s">
        <v>57</v>
      </c>
      <c r="T98" s="1">
        <v>2028</v>
      </c>
      <c r="U98" s="2">
        <v>0</v>
      </c>
      <c r="V98" s="2">
        <v>3</v>
      </c>
      <c r="W98" s="2">
        <v>0</v>
      </c>
      <c r="X98" s="2">
        <v>0</v>
      </c>
      <c r="Y98" s="2">
        <v>2</v>
      </c>
      <c r="Z98" s="2">
        <v>2</v>
      </c>
    </row>
    <row r="99" spans="3:26" ht="15">
      <c r="C99" s="1">
        <v>2024</v>
      </c>
      <c r="D99" s="6">
        <f>+SUMIFS(J5:J88,$A$5:$A$88,C99)</f>
        <v>10056</v>
      </c>
      <c r="E99" s="6">
        <f>+SUMIFS(S5:S88,$A$5:$A$88,C99)</f>
        <v>32928</v>
      </c>
      <c r="F99" s="6">
        <f>+SUMIFS(AA5:AA88,$A$5:$A$88,C99)</f>
        <v>10776</v>
      </c>
      <c r="H99" s="1">
        <v>2024</v>
      </c>
      <c r="I99" s="6">
        <f>U107+V107/2+Y107+Z107</f>
        <v>5</v>
      </c>
      <c r="J99" s="6">
        <f>SUM(U107:Z107)</f>
        <v>15</v>
      </c>
      <c r="K99" s="6">
        <f>SUM(U119:Z119)</f>
        <v>18</v>
      </c>
      <c r="T99" s="1">
        <v>2029</v>
      </c>
      <c r="U99" s="2">
        <v>0</v>
      </c>
      <c r="V99" s="2">
        <v>0</v>
      </c>
      <c r="W99" s="2">
        <v>0</v>
      </c>
      <c r="X99" s="2">
        <v>0</v>
      </c>
      <c r="Y99" s="2">
        <v>0</v>
      </c>
      <c r="Z99" s="2">
        <v>0</v>
      </c>
    </row>
    <row r="100" spans="3:26" ht="15">
      <c r="C100" s="1">
        <v>2025</v>
      </c>
      <c r="D100" s="6">
        <f t="shared" ref="D100:D105" si="8">+SUMIFS(J6:J89,$A$5:$A$88,C100)</f>
        <v>6720</v>
      </c>
      <c r="E100" s="6">
        <f t="shared" ref="E100:E105" si="9">+SUMIFS(S6:S89,$A$5:$A$88,C100)</f>
        <v>31080</v>
      </c>
      <c r="F100" s="6">
        <f t="shared" ref="F100:F105" si="10">+SUMIFS(AA6:AA89,$A$5:$A$88,C100)</f>
        <v>8544</v>
      </c>
      <c r="H100" s="1">
        <v>2025</v>
      </c>
      <c r="I100" s="6">
        <f>Z108/2+Y108</f>
        <v>6</v>
      </c>
      <c r="J100" s="6">
        <f t="shared" ref="J100:J105" si="11">SUM(U108:Z108)</f>
        <v>22</v>
      </c>
      <c r="K100" s="6">
        <f t="shared" ref="K100:K105" si="12">SUM(U120:Z120)</f>
        <v>15</v>
      </c>
      <c r="T100" s="1">
        <v>2030</v>
      </c>
      <c r="U100" s="2">
        <v>0</v>
      </c>
      <c r="V100" s="2">
        <v>0</v>
      </c>
      <c r="W100" s="2">
        <v>0</v>
      </c>
      <c r="X100" s="2">
        <v>0</v>
      </c>
      <c r="Y100" s="2">
        <v>0</v>
      </c>
      <c r="Z100" s="2">
        <v>0</v>
      </c>
    </row>
    <row r="101" spans="3:26" ht="15">
      <c r="C101" s="1">
        <v>2026</v>
      </c>
      <c r="D101" s="6">
        <f t="shared" si="8"/>
        <v>0</v>
      </c>
      <c r="E101" s="6">
        <f t="shared" si="9"/>
        <v>29688</v>
      </c>
      <c r="F101" s="6">
        <f t="shared" si="10"/>
        <v>8208</v>
      </c>
      <c r="H101" s="1">
        <v>2026</v>
      </c>
      <c r="I101" s="6">
        <v>0</v>
      </c>
      <c r="J101" s="6">
        <f t="shared" si="11"/>
        <v>20</v>
      </c>
      <c r="K101" s="6">
        <f t="shared" si="12"/>
        <v>22</v>
      </c>
    </row>
    <row r="102" spans="3:26" ht="15">
      <c r="C102" s="1">
        <v>2027</v>
      </c>
      <c r="D102" s="6">
        <f t="shared" si="8"/>
        <v>0</v>
      </c>
      <c r="E102" s="6">
        <f t="shared" si="9"/>
        <v>30120</v>
      </c>
      <c r="F102" s="6">
        <f t="shared" si="10"/>
        <v>8448</v>
      </c>
      <c r="H102" s="1">
        <v>2027</v>
      </c>
      <c r="I102" s="6">
        <v>0</v>
      </c>
      <c r="J102" s="6">
        <f t="shared" si="11"/>
        <v>25</v>
      </c>
      <c r="K102" s="6">
        <f t="shared" si="12"/>
        <v>21</v>
      </c>
    </row>
    <row r="103" spans="3:26" ht="15">
      <c r="C103" s="1">
        <v>2028</v>
      </c>
      <c r="D103" s="6">
        <f t="shared" si="8"/>
        <v>0</v>
      </c>
      <c r="E103" s="6">
        <f t="shared" si="9"/>
        <v>31320</v>
      </c>
      <c r="F103" s="6">
        <f>+SUMIFS(AA9:AA92,$A$5:$A$88,C103)</f>
        <v>4464</v>
      </c>
      <c r="H103" s="1">
        <v>2028</v>
      </c>
      <c r="I103" s="6">
        <v>0</v>
      </c>
      <c r="J103" s="6">
        <f t="shared" si="11"/>
        <v>17</v>
      </c>
      <c r="K103" s="6">
        <f t="shared" si="12"/>
        <v>22</v>
      </c>
    </row>
    <row r="104" spans="3:26" ht="15">
      <c r="C104" s="1">
        <v>2029</v>
      </c>
      <c r="D104" s="6">
        <f t="shared" si="8"/>
        <v>0</v>
      </c>
      <c r="E104" s="6">
        <f t="shared" si="9"/>
        <v>30744</v>
      </c>
      <c r="F104" s="6">
        <f t="shared" si="10"/>
        <v>0</v>
      </c>
      <c r="H104" s="1">
        <v>2029</v>
      </c>
      <c r="I104" s="6">
        <v>0</v>
      </c>
      <c r="J104" s="6">
        <f t="shared" si="11"/>
        <v>20</v>
      </c>
      <c r="K104" s="6">
        <f t="shared" si="12"/>
        <v>13</v>
      </c>
      <c r="T104" t="s">
        <v>13</v>
      </c>
    </row>
    <row r="105" spans="3:26" ht="15" customHeight="1">
      <c r="C105" s="1">
        <v>2030</v>
      </c>
      <c r="D105" s="6">
        <f t="shared" si="8"/>
        <v>0</v>
      </c>
      <c r="E105" s="6">
        <f t="shared" si="9"/>
        <v>15456</v>
      </c>
      <c r="F105" s="6">
        <f t="shared" si="10"/>
        <v>0</v>
      </c>
      <c r="H105" s="1">
        <v>2030</v>
      </c>
      <c r="I105" s="6">
        <v>0</v>
      </c>
      <c r="J105" s="6">
        <f t="shared" si="11"/>
        <v>19</v>
      </c>
      <c r="K105" s="6">
        <f t="shared" si="12"/>
        <v>19</v>
      </c>
      <c r="T105" s="247" t="s">
        <v>155</v>
      </c>
      <c r="U105" s="247" t="s">
        <v>60</v>
      </c>
      <c r="V105" s="247"/>
      <c r="W105" s="247"/>
      <c r="X105" s="247"/>
      <c r="Y105" s="247"/>
      <c r="Z105" s="247"/>
    </row>
    <row r="106" spans="3:26" ht="30">
      <c r="D106" s="5">
        <f>SUM(D99:D105)</f>
        <v>16776</v>
      </c>
      <c r="E106" s="5">
        <f>SUM(E99:E105)</f>
        <v>201336</v>
      </c>
      <c r="F106" s="5">
        <f>SUM(F99:F105)</f>
        <v>40440</v>
      </c>
      <c r="I106" s="5">
        <f>SUM(I99:I105)</f>
        <v>11</v>
      </c>
      <c r="J106" s="5">
        <f>SUM(J99:J105)</f>
        <v>138</v>
      </c>
      <c r="K106" s="5">
        <f>SUM(K99:K105)</f>
        <v>130</v>
      </c>
      <c r="T106" s="247"/>
      <c r="U106" s="1" t="s">
        <v>61</v>
      </c>
      <c r="V106" s="1" t="s">
        <v>62</v>
      </c>
      <c r="W106" s="1" t="s">
        <v>63</v>
      </c>
      <c r="X106" s="1" t="s">
        <v>64</v>
      </c>
      <c r="Y106" s="1" t="s">
        <v>65</v>
      </c>
      <c r="Z106" s="1" t="s">
        <v>66</v>
      </c>
    </row>
    <row r="107" spans="3:26" ht="15">
      <c r="T107" s="1">
        <v>2024</v>
      </c>
      <c r="U107" s="2">
        <v>1</v>
      </c>
      <c r="V107" s="2">
        <v>2</v>
      </c>
      <c r="W107" s="2">
        <v>5</v>
      </c>
      <c r="X107" s="2">
        <v>4</v>
      </c>
      <c r="Y107" s="2">
        <v>1</v>
      </c>
      <c r="Z107" s="2">
        <v>2</v>
      </c>
    </row>
    <row r="108" spans="3:26" ht="15">
      <c r="T108" s="1">
        <v>2025</v>
      </c>
      <c r="U108" s="2">
        <v>4</v>
      </c>
      <c r="V108" s="2">
        <v>5</v>
      </c>
      <c r="W108" s="2">
        <v>3</v>
      </c>
      <c r="X108" s="2">
        <v>3</v>
      </c>
      <c r="Y108" s="2">
        <v>5</v>
      </c>
      <c r="Z108" s="2">
        <v>2</v>
      </c>
    </row>
    <row r="109" spans="3:26" ht="15">
      <c r="T109" s="1">
        <v>2026</v>
      </c>
      <c r="U109" s="2">
        <v>6</v>
      </c>
      <c r="V109" s="2">
        <v>2</v>
      </c>
      <c r="W109" s="2">
        <v>4</v>
      </c>
      <c r="X109" s="2">
        <v>3</v>
      </c>
      <c r="Y109" s="2">
        <v>2</v>
      </c>
      <c r="Z109" s="2">
        <v>3</v>
      </c>
    </row>
    <row r="110" spans="3:26" ht="15">
      <c r="T110" s="1">
        <v>2027</v>
      </c>
      <c r="U110" s="2">
        <v>6</v>
      </c>
      <c r="V110" s="2">
        <v>3</v>
      </c>
      <c r="W110" s="2">
        <v>6</v>
      </c>
      <c r="X110" s="2">
        <v>3</v>
      </c>
      <c r="Y110" s="2">
        <v>3</v>
      </c>
      <c r="Z110" s="2">
        <v>4</v>
      </c>
    </row>
    <row r="111" spans="3:26" ht="15">
      <c r="T111" s="1">
        <v>2028</v>
      </c>
      <c r="U111" s="2">
        <v>3</v>
      </c>
      <c r="V111" s="2">
        <v>3</v>
      </c>
      <c r="W111" s="2">
        <v>4</v>
      </c>
      <c r="X111" s="2">
        <v>3</v>
      </c>
      <c r="Y111" s="2">
        <v>2</v>
      </c>
      <c r="Z111" s="2">
        <v>2</v>
      </c>
    </row>
    <row r="112" spans="3:26" ht="15">
      <c r="T112" s="1">
        <v>2029</v>
      </c>
      <c r="U112" s="2">
        <v>6</v>
      </c>
      <c r="V112" s="2">
        <v>4</v>
      </c>
      <c r="W112" s="2">
        <v>3</v>
      </c>
      <c r="X112" s="2">
        <v>4</v>
      </c>
      <c r="Y112" s="2">
        <v>1</v>
      </c>
      <c r="Z112" s="2">
        <v>2</v>
      </c>
    </row>
    <row r="113" spans="20:26" ht="15">
      <c r="T113" s="1">
        <v>2030</v>
      </c>
      <c r="U113" s="2">
        <v>2</v>
      </c>
      <c r="V113" s="2">
        <v>4</v>
      </c>
      <c r="W113" s="2">
        <v>5</v>
      </c>
      <c r="X113" s="2">
        <v>4</v>
      </c>
      <c r="Y113" s="2">
        <v>2</v>
      </c>
      <c r="Z113" s="2">
        <v>2</v>
      </c>
    </row>
    <row r="116" spans="20:26">
      <c r="T116" t="s">
        <v>20</v>
      </c>
    </row>
    <row r="117" spans="20:26" ht="15" customHeight="1">
      <c r="T117" s="247" t="s">
        <v>156</v>
      </c>
      <c r="U117" s="247" t="s">
        <v>60</v>
      </c>
      <c r="V117" s="247"/>
      <c r="W117" s="247"/>
      <c r="X117" s="247"/>
      <c r="Y117" s="247"/>
      <c r="Z117" s="247"/>
    </row>
    <row r="118" spans="20:26" ht="30">
      <c r="T118" s="247"/>
      <c r="U118" s="1" t="s">
        <v>61</v>
      </c>
      <c r="V118" s="1" t="s">
        <v>62</v>
      </c>
      <c r="W118" s="1" t="s">
        <v>63</v>
      </c>
      <c r="X118" s="1" t="s">
        <v>64</v>
      </c>
      <c r="Y118" s="1" t="s">
        <v>65</v>
      </c>
      <c r="Z118" s="1" t="s">
        <v>66</v>
      </c>
    </row>
    <row r="119" spans="20:26" ht="15">
      <c r="T119" s="1">
        <v>2024</v>
      </c>
      <c r="U119" s="2">
        <v>6</v>
      </c>
      <c r="V119" s="2">
        <v>2</v>
      </c>
      <c r="W119" s="2">
        <v>3</v>
      </c>
      <c r="X119" s="2">
        <v>4</v>
      </c>
      <c r="Y119" s="2">
        <v>1</v>
      </c>
      <c r="Z119" s="2">
        <v>2</v>
      </c>
    </row>
    <row r="120" spans="20:26" ht="15">
      <c r="T120" s="1">
        <v>2025</v>
      </c>
      <c r="U120" s="2">
        <v>2</v>
      </c>
      <c r="V120" s="2">
        <v>1</v>
      </c>
      <c r="W120" s="2">
        <v>3</v>
      </c>
      <c r="X120" s="2">
        <v>3</v>
      </c>
      <c r="Y120" s="2">
        <v>3</v>
      </c>
      <c r="Z120" s="2">
        <v>3</v>
      </c>
    </row>
    <row r="121" spans="20:26" ht="15">
      <c r="T121" s="1">
        <v>2026</v>
      </c>
      <c r="U121" s="2">
        <v>4</v>
      </c>
      <c r="V121" s="2">
        <v>2</v>
      </c>
      <c r="W121" s="2">
        <v>4</v>
      </c>
      <c r="X121" s="2">
        <v>4</v>
      </c>
      <c r="Y121" s="2">
        <v>4</v>
      </c>
      <c r="Z121" s="2">
        <v>4</v>
      </c>
    </row>
    <row r="122" spans="20:26" ht="15">
      <c r="T122" s="1">
        <v>2027</v>
      </c>
      <c r="U122" s="2">
        <v>5</v>
      </c>
      <c r="V122" s="2">
        <v>2</v>
      </c>
      <c r="W122" s="2">
        <v>6</v>
      </c>
      <c r="X122" s="2">
        <v>3</v>
      </c>
      <c r="Y122" s="2">
        <v>3</v>
      </c>
      <c r="Z122" s="2">
        <v>2</v>
      </c>
    </row>
    <row r="123" spans="20:26" ht="15">
      <c r="T123" s="1">
        <v>2028</v>
      </c>
      <c r="U123" s="2">
        <v>5</v>
      </c>
      <c r="V123" s="2">
        <v>4</v>
      </c>
      <c r="W123" s="2">
        <v>4</v>
      </c>
      <c r="X123" s="2">
        <v>3</v>
      </c>
      <c r="Y123" s="2">
        <v>2</v>
      </c>
      <c r="Z123" s="2">
        <v>4</v>
      </c>
    </row>
    <row r="124" spans="20:26" ht="15">
      <c r="T124" s="1">
        <v>2029</v>
      </c>
      <c r="U124" s="2">
        <v>2</v>
      </c>
      <c r="V124" s="2">
        <v>1</v>
      </c>
      <c r="W124" s="2">
        <v>3</v>
      </c>
      <c r="X124" s="2">
        <v>4</v>
      </c>
      <c r="Y124" s="2">
        <v>1</v>
      </c>
      <c r="Z124" s="2">
        <v>2</v>
      </c>
    </row>
    <row r="125" spans="20:26" ht="15">
      <c r="T125" s="1">
        <v>2030</v>
      </c>
      <c r="U125" s="2">
        <v>2</v>
      </c>
      <c r="V125" s="2">
        <v>3</v>
      </c>
      <c r="W125" s="2">
        <v>4</v>
      </c>
      <c r="X125" s="2">
        <v>5</v>
      </c>
      <c r="Y125" s="2">
        <v>2</v>
      </c>
      <c r="Z125" s="2">
        <v>3</v>
      </c>
    </row>
  </sheetData>
  <mergeCells count="20">
    <mergeCell ref="B2:B4"/>
    <mergeCell ref="C2:G2"/>
    <mergeCell ref="H2:I2"/>
    <mergeCell ref="C3:G3"/>
    <mergeCell ref="H3:I3"/>
    <mergeCell ref="U91:Z91"/>
    <mergeCell ref="L2:L4"/>
    <mergeCell ref="M2:R2"/>
    <mergeCell ref="Q3:R3"/>
    <mergeCell ref="T2:T4"/>
    <mergeCell ref="U2:Z2"/>
    <mergeCell ref="M3:P3"/>
    <mergeCell ref="U3:X3"/>
    <mergeCell ref="Y3:Z3"/>
    <mergeCell ref="T105:T106"/>
    <mergeCell ref="U105:Z105"/>
    <mergeCell ref="T117:T118"/>
    <mergeCell ref="U117:Z117"/>
    <mergeCell ref="T92:T93"/>
    <mergeCell ref="U92:Z9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21</vt:i4>
      </vt:variant>
    </vt:vector>
  </HeadingPairs>
  <TitlesOfParts>
    <vt:vector size="21" baseType="lpstr">
      <vt:lpstr>גרפים ישן</vt:lpstr>
      <vt:lpstr>סיכום תרחישים חלופה 30% מתחדש</vt:lpstr>
      <vt:lpstr>שעות הפעלה והתנעות 30% 3.5%</vt:lpstr>
      <vt:lpstr>תרחישים חלופה 30% 3.5 תמג</vt:lpstr>
      <vt:lpstr>ריכוז תוצאות</vt:lpstr>
      <vt:lpstr>עלויות חירום</vt:lpstr>
      <vt:lpstr>עלויות תפעול חם</vt:lpstr>
      <vt:lpstr>עליות הון ותפעול</vt:lpstr>
      <vt:lpstr>מספר שעות הפעלה 30% -3%</vt:lpstr>
      <vt:lpstr>מחירי דלקים </vt:lpstr>
      <vt:lpstr>חישוב עלותשימור חם</vt:lpstr>
      <vt:lpstr>נייר עבודה לשימור חם</vt:lpstr>
      <vt:lpstr> חלופה 1 20% מתחדש -תמג 3 </vt:lpstr>
      <vt:lpstr> חלופה 2 20% תמג 3</vt:lpstr>
      <vt:lpstr>תרחיש הפעלה 3% 20% ללא צמצום פח</vt:lpstr>
      <vt:lpstr>מספר התנעות</vt:lpstr>
      <vt:lpstr>פלט שנתי לאחר תיקון אגירה</vt:lpstr>
      <vt:lpstr> חלופה 1 20% מתחדש -תמג3 מס פחמ</vt:lpstr>
      <vt:lpstr>חלופה 2 עם מס פחמן</vt:lpstr>
      <vt:lpstr>גיליון2</vt:lpstr>
      <vt:lpstr>פלט חודשי</vt:lpstr>
    </vt:vector>
  </TitlesOfParts>
  <Company>Ministry Of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Huda</dc:creator>
  <cp:lastModifiedBy>Huda</cp:lastModifiedBy>
  <cp:lastPrinted>2024-02-21T12:59:01Z</cp:lastPrinted>
  <dcterms:created xsi:type="dcterms:W3CDTF">2023-06-04T10:44:18Z</dcterms:created>
  <dcterms:modified xsi:type="dcterms:W3CDTF">2025-06-12T11:47:19Z</dcterms:modified>
</cp:coreProperties>
</file>