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רשות החשמל\אגף מקרו\פחם\שימור\בחינת שימור 1-4 2025\קבצים לאחר שימוע\"/>
    </mc:Choice>
  </mc:AlternateContent>
  <bookViews>
    <workbookView xWindow="-28920" yWindow="645" windowWidth="29040" windowHeight="15720" firstSheet="2" activeTab="5"/>
  </bookViews>
  <sheets>
    <sheet name="מרכז" sheetId="1" r:id="rId1"/>
    <sheet name="הון" sheetId="2" r:id="rId2"/>
    <sheet name="תפעול" sheetId="6" r:id="rId3"/>
    <sheet name="דלקים" sheetId="7" r:id="rId4"/>
    <sheet name="צריכת דלק לבדיקות" sheetId="13" r:id="rId5"/>
    <sheet name="זיהום ופליטות" sheetId="5" r:id="rId6"/>
    <sheet name="חירום" sheetId="4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4" l="1"/>
  <c r="O14" i="5"/>
  <c r="O13" i="5"/>
  <c r="O12" i="5"/>
  <c r="O11" i="5"/>
  <c r="O25" i="5" l="1"/>
  <c r="O24" i="5"/>
  <c r="M14" i="5"/>
  <c r="M13" i="5"/>
  <c r="M12" i="5"/>
  <c r="M11" i="5"/>
  <c r="Q25" i="5" l="1"/>
  <c r="Q24" i="5"/>
  <c r="P25" i="5"/>
  <c r="P24" i="5"/>
  <c r="I31" i="5"/>
  <c r="I29" i="5"/>
  <c r="H29" i="5"/>
  <c r="I30" i="5"/>
  <c r="H30" i="5"/>
  <c r="N14" i="5"/>
  <c r="N13" i="5"/>
  <c r="N12" i="5"/>
  <c r="N11" i="5"/>
  <c r="H31" i="5"/>
  <c r="I32" i="5"/>
  <c r="H32" i="5"/>
  <c r="O28" i="5"/>
  <c r="R24" i="5" l="1"/>
  <c r="R25" i="5"/>
  <c r="P11" i="5"/>
  <c r="P12" i="5"/>
  <c r="P13" i="5"/>
  <c r="P14" i="5"/>
  <c r="H9" i="6" l="1"/>
  <c r="M15" i="5" l="1"/>
  <c r="N7" i="6" l="1"/>
  <c r="D20" i="1" l="1"/>
  <c r="E20" i="1"/>
  <c r="R10" i="7" l="1"/>
  <c r="R9" i="7"/>
  <c r="V3" i="6"/>
  <c r="Q3" i="6" s="1"/>
  <c r="N8" i="6" s="1"/>
  <c r="C3" i="2"/>
  <c r="D3" i="2" s="1"/>
  <c r="E3" i="2" s="1"/>
  <c r="D20" i="2" l="1"/>
  <c r="E20" i="2"/>
  <c r="F20" i="2"/>
  <c r="C20" i="2"/>
  <c r="G18" i="2"/>
  <c r="D5" i="2" s="1"/>
  <c r="G19" i="2"/>
  <c r="D6" i="2" s="1"/>
  <c r="C6" i="2" l="1"/>
  <c r="G20" i="2"/>
  <c r="C5" i="2"/>
  <c r="G17" i="2" l="1"/>
  <c r="C4" i="2" s="1"/>
  <c r="D4" i="2" s="1"/>
  <c r="Q3" i="4" l="1"/>
  <c r="M17" i="7"/>
  <c r="K21" i="2" l="1"/>
  <c r="D7" i="2" s="1"/>
  <c r="J21" i="2"/>
  <c r="C7" i="2" s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3" i="2"/>
  <c r="E4" i="2"/>
  <c r="C8" i="2" l="1"/>
  <c r="E7" i="2"/>
  <c r="D8" i="2"/>
  <c r="D12" i="2" s="1"/>
  <c r="L21" i="2"/>
  <c r="E6" i="2"/>
  <c r="E5" i="2"/>
  <c r="C9" i="2" l="1"/>
  <c r="C12" i="2"/>
  <c r="D9" i="2"/>
  <c r="C13" i="2" l="1"/>
  <c r="D10" i="2"/>
  <c r="D13" i="2"/>
  <c r="J4" i="5"/>
  <c r="J5" i="6"/>
  <c r="J6" i="6"/>
  <c r="J4" i="6"/>
  <c r="K4" i="6" s="1"/>
  <c r="E8" i="2" l="1"/>
  <c r="E12" i="2" s="1"/>
  <c r="E9" i="2" l="1"/>
  <c r="C10" i="2"/>
  <c r="B89" i="13"/>
  <c r="G87" i="13"/>
  <c r="G86" i="13"/>
  <c r="G85" i="13"/>
  <c r="G84" i="13"/>
  <c r="G83" i="13"/>
  <c r="G80" i="13"/>
  <c r="E80" i="13"/>
  <c r="G79" i="13"/>
  <c r="E79" i="13"/>
  <c r="G78" i="13"/>
  <c r="E78" i="13"/>
  <c r="G77" i="13"/>
  <c r="E77" i="13"/>
  <c r="G76" i="13"/>
  <c r="E76" i="13"/>
  <c r="G75" i="13"/>
  <c r="E75" i="13"/>
  <c r="G74" i="13"/>
  <c r="E74" i="13"/>
  <c r="G73" i="13"/>
  <c r="E73" i="13"/>
  <c r="G72" i="13"/>
  <c r="E72" i="13"/>
  <c r="G71" i="13"/>
  <c r="E71" i="13"/>
  <c r="G70" i="13"/>
  <c r="E70" i="13"/>
  <c r="G69" i="13"/>
  <c r="E69" i="13"/>
  <c r="G68" i="13"/>
  <c r="E68" i="13"/>
  <c r="G67" i="13"/>
  <c r="E67" i="13"/>
  <c r="G66" i="13"/>
  <c r="E66" i="13"/>
  <c r="G65" i="13"/>
  <c r="E65" i="13"/>
  <c r="G64" i="13"/>
  <c r="E64" i="13"/>
  <c r="G63" i="13"/>
  <c r="E63" i="13"/>
  <c r="G62" i="13"/>
  <c r="E62" i="13"/>
  <c r="G61" i="13"/>
  <c r="E61" i="13"/>
  <c r="G60" i="13"/>
  <c r="E60" i="13"/>
  <c r="G59" i="13"/>
  <c r="E59" i="13"/>
  <c r="G58" i="13"/>
  <c r="E58" i="13"/>
  <c r="G57" i="13"/>
  <c r="E57" i="13"/>
  <c r="G56" i="13"/>
  <c r="E56" i="13"/>
  <c r="G55" i="13"/>
  <c r="E55" i="13"/>
  <c r="G54" i="13"/>
  <c r="E54" i="13"/>
  <c r="G53" i="13"/>
  <c r="E53" i="13"/>
  <c r="G52" i="13"/>
  <c r="E52" i="13"/>
  <c r="G51" i="13"/>
  <c r="E51" i="13"/>
  <c r="G50" i="13"/>
  <c r="E50" i="13"/>
  <c r="G49" i="13"/>
  <c r="E49" i="13"/>
  <c r="G48" i="13"/>
  <c r="E48" i="13"/>
  <c r="G47" i="13"/>
  <c r="E47" i="13"/>
  <c r="G46" i="13"/>
  <c r="E46" i="13"/>
  <c r="G45" i="13"/>
  <c r="E45" i="13"/>
  <c r="E44" i="13"/>
  <c r="E43" i="13"/>
  <c r="E42" i="13"/>
  <c r="E41" i="13"/>
  <c r="D18" i="13"/>
  <c r="C18" i="13"/>
  <c r="C19" i="13" s="1"/>
  <c r="C20" i="13" s="1"/>
  <c r="C21" i="13" s="1"/>
  <c r="C22" i="13" s="1"/>
  <c r="C23" i="13" s="1"/>
  <c r="C24" i="13" s="1"/>
  <c r="C25" i="13" s="1"/>
  <c r="C26" i="13" s="1"/>
  <c r="C27" i="13" s="1"/>
  <c r="C28" i="13" s="1"/>
  <c r="C29" i="13" s="1"/>
  <c r="C30" i="13" s="1"/>
  <c r="C31" i="13" s="1"/>
  <c r="C32" i="13" s="1"/>
  <c r="C33" i="13" s="1"/>
  <c r="C34" i="13" s="1"/>
  <c r="C35" i="13" s="1"/>
  <c r="C36" i="13" s="1"/>
  <c r="C37" i="13" s="1"/>
  <c r="C38" i="13" s="1"/>
  <c r="C39" i="13" s="1"/>
  <c r="C40" i="13" s="1"/>
  <c r="C41" i="13" s="1"/>
  <c r="C42" i="13" s="1"/>
  <c r="C43" i="13" s="1"/>
  <c r="C44" i="13" s="1"/>
  <c r="C45" i="13" s="1"/>
  <c r="C46" i="13" s="1"/>
  <c r="C47" i="13" s="1"/>
  <c r="C48" i="13" s="1"/>
  <c r="C49" i="13" s="1"/>
  <c r="C50" i="13" s="1"/>
  <c r="C51" i="13" s="1"/>
  <c r="C52" i="13" s="1"/>
  <c r="C53" i="13" s="1"/>
  <c r="C54" i="13" s="1"/>
  <c r="C55" i="13" s="1"/>
  <c r="C56" i="13" s="1"/>
  <c r="C57" i="13" s="1"/>
  <c r="C58" i="13" s="1"/>
  <c r="C59" i="13" s="1"/>
  <c r="C60" i="13" s="1"/>
  <c r="C61" i="13" s="1"/>
  <c r="C62" i="13" s="1"/>
  <c r="C63" i="13" s="1"/>
  <c r="C64" i="13" s="1"/>
  <c r="C65" i="13" s="1"/>
  <c r="C66" i="13" s="1"/>
  <c r="C67" i="13" s="1"/>
  <c r="C68" i="13" s="1"/>
  <c r="C69" i="13" s="1"/>
  <c r="C70" i="13" s="1"/>
  <c r="C71" i="13" s="1"/>
  <c r="C72" i="13" s="1"/>
  <c r="C73" i="13" s="1"/>
  <c r="C74" i="13" s="1"/>
  <c r="C75" i="13" s="1"/>
  <c r="C76" i="13" s="1"/>
  <c r="C77" i="13" s="1"/>
  <c r="C78" i="13" s="1"/>
  <c r="C79" i="13" s="1"/>
  <c r="C80" i="13" s="1"/>
  <c r="C81" i="13" s="1"/>
  <c r="C82" i="13" s="1"/>
  <c r="C83" i="13" s="1"/>
  <c r="C84" i="13" s="1"/>
  <c r="C85" i="13" s="1"/>
  <c r="C86" i="13" s="1"/>
  <c r="C87" i="13" s="1"/>
  <c r="C88" i="13" s="1"/>
  <c r="D17" i="13"/>
  <c r="D81" i="13" s="1"/>
  <c r="E81" i="13" s="1"/>
  <c r="D11" i="13"/>
  <c r="C11" i="13"/>
  <c r="E10" i="13"/>
  <c r="E6" i="13"/>
  <c r="E9" i="13" s="1"/>
  <c r="K4" i="13"/>
  <c r="E10" i="2" l="1"/>
  <c r="E13" i="2"/>
  <c r="E4" i="1"/>
  <c r="G4" i="1" s="1"/>
  <c r="F4" i="1"/>
  <c r="H4" i="1" s="1"/>
  <c r="G89" i="13"/>
  <c r="D19" i="13"/>
  <c r="D82" i="13"/>
  <c r="E82" i="13" s="1"/>
  <c r="J4" i="1" l="1"/>
  <c r="G21" i="1"/>
  <c r="E8" i="13"/>
  <c r="E11" i="13" s="1"/>
  <c r="G92" i="13"/>
  <c r="K4" i="1"/>
  <c r="O10" i="1" s="1"/>
  <c r="D83" i="13"/>
  <c r="E83" i="13" s="1"/>
  <c r="D20" i="13"/>
  <c r="Q6" i="7" l="1"/>
  <c r="M11" i="7" s="1"/>
  <c r="R6" i="7"/>
  <c r="M5" i="7" s="1"/>
  <c r="D21" i="13"/>
  <c r="D84" i="13"/>
  <c r="E84" i="13" s="1"/>
  <c r="H16" i="7" l="1"/>
  <c r="I4" i="5"/>
  <c r="H17" i="7"/>
  <c r="D85" i="13"/>
  <c r="E85" i="13" s="1"/>
  <c r="D22" i="13"/>
  <c r="D23" i="13" l="1"/>
  <c r="D86" i="13"/>
  <c r="E86" i="13" s="1"/>
  <c r="D87" i="13" l="1"/>
  <c r="E87" i="13" s="1"/>
  <c r="D24" i="13"/>
  <c r="D25" i="13" l="1"/>
  <c r="D26" i="13" s="1"/>
  <c r="D27" i="13" s="1"/>
  <c r="D28" i="13" s="1"/>
  <c r="D29" i="13" s="1"/>
  <c r="D30" i="13" s="1"/>
  <c r="D31" i="13" s="1"/>
  <c r="D32" i="13" s="1"/>
  <c r="D33" i="13" s="1"/>
  <c r="D34" i="13" s="1"/>
  <c r="D35" i="13" s="1"/>
  <c r="D36" i="13" s="1"/>
  <c r="D37" i="13" s="1"/>
  <c r="D38" i="13" s="1"/>
  <c r="D39" i="13" s="1"/>
  <c r="D40" i="13" s="1"/>
  <c r="D88" i="13"/>
  <c r="E88" i="13" s="1"/>
  <c r="E89" i="13" s="1"/>
  <c r="D6" i="13" s="1"/>
  <c r="D89" i="13"/>
  <c r="D7" i="13" s="1"/>
  <c r="D9" i="13" l="1"/>
  <c r="H9" i="7"/>
  <c r="D10" i="13"/>
  <c r="H10" i="7"/>
  <c r="H3" i="7"/>
  <c r="I20" i="1" l="1"/>
  <c r="H20" i="1" l="1"/>
  <c r="G20" i="1"/>
  <c r="I10" i="7"/>
  <c r="I9" i="7"/>
  <c r="H8" i="7" l="1"/>
  <c r="I3" i="7" l="1"/>
  <c r="U4" i="4" l="1"/>
  <c r="P13" i="4" l="1"/>
  <c r="Q13" i="4" s="1"/>
  <c r="P14" i="4"/>
  <c r="Q14" i="4" s="1"/>
  <c r="P7" i="4"/>
  <c r="Q7" i="4" s="1"/>
  <c r="H4" i="5"/>
  <c r="J6" i="5" s="1"/>
  <c r="I6" i="5" l="1"/>
  <c r="L3" i="7"/>
  <c r="I4" i="7"/>
  <c r="M16" i="7"/>
  <c r="K14" i="7"/>
  <c r="L4" i="7" l="1"/>
  <c r="L5" i="7" s="1"/>
  <c r="P15" i="5" l="1"/>
  <c r="O16" i="7"/>
  <c r="O22" i="7" s="1"/>
  <c r="T22" i="7" s="1"/>
  <c r="R22" i="7"/>
  <c r="N42" i="7" s="1"/>
  <c r="R23" i="7"/>
  <c r="N43" i="7" s="1"/>
  <c r="K42" i="7" l="1"/>
  <c r="H42" i="7"/>
  <c r="O42" i="7"/>
  <c r="J42" i="7"/>
  <c r="S24" i="5" l="1"/>
  <c r="S25" i="5"/>
  <c r="J17" i="5"/>
  <c r="J18" i="5" s="1"/>
  <c r="E15" i="5" s="1"/>
  <c r="I17" i="5"/>
  <c r="H17" i="5"/>
  <c r="H10" i="5" l="1"/>
  <c r="J11" i="5"/>
  <c r="J12" i="5" s="1"/>
  <c r="E3" i="5" s="1"/>
  <c r="I11" i="5"/>
  <c r="E19" i="5"/>
  <c r="E23" i="5"/>
  <c r="E16" i="5"/>
  <c r="D11" i="1" s="1"/>
  <c r="E20" i="5"/>
  <c r="E24" i="5"/>
  <c r="E17" i="5"/>
  <c r="E21" i="5"/>
  <c r="E18" i="5"/>
  <c r="E22" i="5"/>
  <c r="H11" i="5"/>
  <c r="L9" i="7"/>
  <c r="Q12" i="4"/>
  <c r="R12" i="4" s="1"/>
  <c r="E5" i="5" l="1"/>
  <c r="E9" i="5"/>
  <c r="E6" i="5"/>
  <c r="E10" i="5"/>
  <c r="E7" i="5"/>
  <c r="E11" i="5"/>
  <c r="E4" i="5"/>
  <c r="D9" i="1" s="1"/>
  <c r="E8" i="5"/>
  <c r="E12" i="5"/>
  <c r="H16" i="5"/>
  <c r="M18" i="7" l="1"/>
  <c r="S44" i="7" l="1"/>
  <c r="S46" i="7"/>
  <c r="S48" i="7"/>
  <c r="S50" i="7"/>
  <c r="S52" i="7"/>
  <c r="S42" i="7"/>
  <c r="S45" i="7"/>
  <c r="S49" i="7"/>
  <c r="S53" i="7"/>
  <c r="S43" i="7"/>
  <c r="S47" i="7"/>
  <c r="S51" i="7"/>
  <c r="R46" i="7"/>
  <c r="R50" i="7"/>
  <c r="R42" i="7"/>
  <c r="R48" i="7"/>
  <c r="R45" i="7"/>
  <c r="R53" i="7"/>
  <c r="R43" i="7"/>
  <c r="R47" i="7"/>
  <c r="R51" i="7"/>
  <c r="R44" i="7"/>
  <c r="R52" i="7"/>
  <c r="R49" i="7"/>
  <c r="J32" i="5"/>
  <c r="J31" i="5"/>
  <c r="J30" i="5" l="1"/>
  <c r="J29" i="5"/>
  <c r="H33" i="5"/>
  <c r="I33" i="5"/>
  <c r="J33" i="5" l="1"/>
  <c r="R7" i="4"/>
  <c r="R13" i="4"/>
  <c r="O4" i="4"/>
  <c r="P4" i="4" s="1"/>
  <c r="Q4" i="4" s="1"/>
  <c r="R3" i="4"/>
  <c r="U3" i="4"/>
  <c r="O5" i="4" l="1"/>
  <c r="P5" i="4" s="1"/>
  <c r="O6" i="4" s="1"/>
  <c r="P6" i="4" s="1"/>
  <c r="Q6" i="4" s="1"/>
  <c r="R6" i="4" s="1"/>
  <c r="N4" i="4"/>
  <c r="N5" i="4" s="1"/>
  <c r="N6" i="4" s="1"/>
  <c r="N7" i="4" s="1"/>
  <c r="R4" i="4"/>
  <c r="R14" i="4"/>
  <c r="Q5" i="4" l="1"/>
  <c r="R5" i="4" s="1"/>
  <c r="R8" i="4" s="1"/>
  <c r="N14" i="4"/>
  <c r="N13" i="4"/>
  <c r="R15" i="4" l="1"/>
  <c r="K13" i="4" s="1"/>
  <c r="L7" i="4"/>
  <c r="L8" i="4" s="1"/>
  <c r="L10" i="4"/>
  <c r="L11" i="4" s="1"/>
  <c r="E12" i="4" s="1"/>
  <c r="L13" i="4"/>
  <c r="L14" i="4" s="1"/>
  <c r="K7" i="4"/>
  <c r="P22" i="7"/>
  <c r="S23" i="7"/>
  <c r="R24" i="7"/>
  <c r="R25" i="7"/>
  <c r="S25" i="7" s="1"/>
  <c r="J3" i="7" s="1"/>
  <c r="J9" i="7" s="1"/>
  <c r="R26" i="7"/>
  <c r="R27" i="7"/>
  <c r="S27" i="7" s="1"/>
  <c r="R28" i="7"/>
  <c r="S28" i="7" s="1"/>
  <c r="R29" i="7"/>
  <c r="R30" i="7"/>
  <c r="R31" i="7"/>
  <c r="R32" i="7"/>
  <c r="R33" i="7"/>
  <c r="S22" i="7"/>
  <c r="O23" i="7"/>
  <c r="T23" i="7" s="1"/>
  <c r="H43" i="7" s="1"/>
  <c r="O24" i="7"/>
  <c r="T24" i="7" s="1"/>
  <c r="O25" i="7"/>
  <c r="T25" i="7" s="1"/>
  <c r="H45" i="7" s="1"/>
  <c r="O26" i="7"/>
  <c r="T26" i="7" s="1"/>
  <c r="H46" i="7" s="1"/>
  <c r="O27" i="7"/>
  <c r="T27" i="7" s="1"/>
  <c r="H47" i="7" s="1"/>
  <c r="O28" i="7"/>
  <c r="T28" i="7" s="1"/>
  <c r="H48" i="7" s="1"/>
  <c r="O29" i="7"/>
  <c r="T29" i="7" s="1"/>
  <c r="H49" i="7" s="1"/>
  <c r="O30" i="7"/>
  <c r="T30" i="7" s="1"/>
  <c r="H50" i="7" s="1"/>
  <c r="O31" i="7"/>
  <c r="T31" i="7" s="1"/>
  <c r="H51" i="7" s="1"/>
  <c r="O32" i="7"/>
  <c r="T32" i="7" s="1"/>
  <c r="H52" i="7" s="1"/>
  <c r="O33" i="7"/>
  <c r="T33" i="7" s="1"/>
  <c r="H53" i="7" s="1"/>
  <c r="U22" i="7" l="1"/>
  <c r="I42" i="7" s="1"/>
  <c r="K10" i="4"/>
  <c r="Q45" i="7"/>
  <c r="J3" i="4"/>
  <c r="J6" i="4"/>
  <c r="J8" i="4" s="1"/>
  <c r="C11" i="4" s="1"/>
  <c r="F14" i="1" s="1"/>
  <c r="S26" i="7"/>
  <c r="K6" i="4"/>
  <c r="K8" i="4" s="1"/>
  <c r="D11" i="4" s="1"/>
  <c r="E14" i="1" s="1"/>
  <c r="E11" i="4"/>
  <c r="D14" i="1" s="1"/>
  <c r="E13" i="4"/>
  <c r="D17" i="1" s="1"/>
  <c r="K44" i="7"/>
  <c r="H44" i="7"/>
  <c r="E16" i="7" s="1"/>
  <c r="J51" i="7"/>
  <c r="K51" i="7"/>
  <c r="J47" i="7"/>
  <c r="K47" i="7"/>
  <c r="J43" i="7"/>
  <c r="K43" i="7"/>
  <c r="K50" i="7"/>
  <c r="J50" i="7"/>
  <c r="J46" i="7"/>
  <c r="K46" i="7"/>
  <c r="Q42" i="7"/>
  <c r="P42" i="7"/>
  <c r="J53" i="7"/>
  <c r="K53" i="7"/>
  <c r="J49" i="7"/>
  <c r="K49" i="7"/>
  <c r="J45" i="7"/>
  <c r="K45" i="7"/>
  <c r="J52" i="7"/>
  <c r="K52" i="7"/>
  <c r="J48" i="7"/>
  <c r="K48" i="7"/>
  <c r="J44" i="7"/>
  <c r="E20" i="7"/>
  <c r="E23" i="7"/>
  <c r="E22" i="7"/>
  <c r="E18" i="7"/>
  <c r="E24" i="7"/>
  <c r="E19" i="7"/>
  <c r="E25" i="7"/>
  <c r="E21" i="7"/>
  <c r="E17" i="7"/>
  <c r="S24" i="7"/>
  <c r="K3" i="4" s="1"/>
  <c r="E6" i="4"/>
  <c r="P27" i="7"/>
  <c r="U27" i="7" s="1"/>
  <c r="I47" i="7" s="1"/>
  <c r="P23" i="7"/>
  <c r="U23" i="7" s="1"/>
  <c r="I43" i="7" s="1"/>
  <c r="P26" i="7"/>
  <c r="U26" i="7" s="1"/>
  <c r="I46" i="7" s="1"/>
  <c r="P25" i="7"/>
  <c r="U25" i="7" s="1"/>
  <c r="P28" i="7"/>
  <c r="U28" i="7" s="1"/>
  <c r="I48" i="7" s="1"/>
  <c r="P24" i="7"/>
  <c r="U24" i="7" s="1"/>
  <c r="I44" i="7" s="1"/>
  <c r="E4" i="7" s="1"/>
  <c r="Q29" i="7"/>
  <c r="N29" i="7"/>
  <c r="P29" i="7" s="1"/>
  <c r="U29" i="7" s="1"/>
  <c r="I49" i="7" s="1"/>
  <c r="L42" i="7" l="1"/>
  <c r="M42" i="7"/>
  <c r="H14" i="1"/>
  <c r="K14" i="1" s="1"/>
  <c r="O12" i="1" s="1"/>
  <c r="I45" i="7"/>
  <c r="E7" i="4"/>
  <c r="L49" i="7"/>
  <c r="M49" i="7"/>
  <c r="L47" i="7"/>
  <c r="M47" i="7"/>
  <c r="L45" i="7"/>
  <c r="M45" i="7"/>
  <c r="L46" i="7"/>
  <c r="M46" i="7"/>
  <c r="L48" i="7"/>
  <c r="M48" i="7"/>
  <c r="L44" i="7"/>
  <c r="M44" i="7"/>
  <c r="L43" i="7"/>
  <c r="M43" i="7"/>
  <c r="D15" i="1"/>
  <c r="D19" i="1" s="1"/>
  <c r="E5" i="7"/>
  <c r="D7" i="1" s="1"/>
  <c r="E6" i="7"/>
  <c r="E9" i="7"/>
  <c r="E8" i="7"/>
  <c r="E7" i="7"/>
  <c r="J5" i="4"/>
  <c r="C5" i="4" s="1"/>
  <c r="N30" i="7"/>
  <c r="Q30" i="7"/>
  <c r="S29" i="7"/>
  <c r="G14" i="1" l="1"/>
  <c r="J14" i="1" s="1"/>
  <c r="O19" i="1" s="1"/>
  <c r="I14" i="1"/>
  <c r="L14" i="1" s="1"/>
  <c r="O5" i="1" s="1"/>
  <c r="D16" i="1"/>
  <c r="D18" i="1" s="1"/>
  <c r="N31" i="7"/>
  <c r="P30" i="7"/>
  <c r="Q31" i="7"/>
  <c r="S30" i="7"/>
  <c r="Q13" i="5" l="1"/>
  <c r="U30" i="7"/>
  <c r="I50" i="7" s="1"/>
  <c r="Q11" i="5"/>
  <c r="Q12" i="5"/>
  <c r="Q14" i="5"/>
  <c r="Q32" i="7"/>
  <c r="S31" i="7"/>
  <c r="N32" i="7"/>
  <c r="P31" i="7"/>
  <c r="N15" i="5"/>
  <c r="O15" i="5"/>
  <c r="Q15" i="5" l="1"/>
  <c r="R15" i="5" s="1"/>
  <c r="I15" i="5"/>
  <c r="I18" i="5" s="1"/>
  <c r="H15" i="5"/>
  <c r="H18" i="5" s="1"/>
  <c r="K12" i="4"/>
  <c r="K14" i="4" s="1"/>
  <c r="D13" i="4" s="1"/>
  <c r="J12" i="4"/>
  <c r="J14" i="4" s="1"/>
  <c r="C13" i="4" s="1"/>
  <c r="C7" i="4" s="1"/>
  <c r="U31" i="7"/>
  <c r="I51" i="7" s="1"/>
  <c r="L50" i="7"/>
  <c r="M50" i="7"/>
  <c r="E10" i="7"/>
  <c r="Q33" i="7"/>
  <c r="S33" i="7" s="1"/>
  <c r="S32" i="7"/>
  <c r="N33" i="7"/>
  <c r="P33" i="7" s="1"/>
  <c r="P32" i="7"/>
  <c r="C17" i="5" l="1"/>
  <c r="C21" i="5"/>
  <c r="C22" i="5"/>
  <c r="C24" i="5"/>
  <c r="C19" i="5"/>
  <c r="C23" i="5"/>
  <c r="C18" i="5"/>
  <c r="C16" i="5"/>
  <c r="F11" i="1" s="1"/>
  <c r="H11" i="1" s="1"/>
  <c r="K11" i="1" s="1"/>
  <c r="C20" i="5"/>
  <c r="C15" i="5"/>
  <c r="I9" i="5"/>
  <c r="I12" i="5" s="1"/>
  <c r="D3" i="5" s="1"/>
  <c r="H9" i="5"/>
  <c r="H12" i="5" s="1"/>
  <c r="C4" i="5" s="1"/>
  <c r="D22" i="5"/>
  <c r="D23" i="5"/>
  <c r="D21" i="5"/>
  <c r="D16" i="5"/>
  <c r="E11" i="1" s="1"/>
  <c r="G11" i="1" s="1"/>
  <c r="J11" i="1" s="1"/>
  <c r="D15" i="5"/>
  <c r="D17" i="5"/>
  <c r="D24" i="5"/>
  <c r="D20" i="5"/>
  <c r="D18" i="5"/>
  <c r="D19" i="5"/>
  <c r="F17" i="1"/>
  <c r="K9" i="4"/>
  <c r="K11" i="4" s="1"/>
  <c r="D12" i="4" s="1"/>
  <c r="J9" i="4"/>
  <c r="J11" i="4" s="1"/>
  <c r="E17" i="1"/>
  <c r="D7" i="4"/>
  <c r="U32" i="7"/>
  <c r="I52" i="7" s="1"/>
  <c r="U33" i="7"/>
  <c r="I53" i="7" s="1"/>
  <c r="L51" i="7"/>
  <c r="M51" i="7"/>
  <c r="E11" i="7"/>
  <c r="S10" i="7"/>
  <c r="J4" i="7" s="1"/>
  <c r="S9" i="7"/>
  <c r="C12" i="4" l="1"/>
  <c r="F15" i="1" s="1"/>
  <c r="F19" i="1" s="1"/>
  <c r="C6" i="4"/>
  <c r="F9" i="1"/>
  <c r="H9" i="1" s="1"/>
  <c r="K9" i="1" s="1"/>
  <c r="P11" i="1" s="1"/>
  <c r="C8" i="5"/>
  <c r="C3" i="5"/>
  <c r="C5" i="5"/>
  <c r="C9" i="5"/>
  <c r="C6" i="5"/>
  <c r="C10" i="5"/>
  <c r="C12" i="5"/>
  <c r="C7" i="5"/>
  <c r="C11" i="5"/>
  <c r="H17" i="1"/>
  <c r="K17" i="1" s="1"/>
  <c r="D7" i="5"/>
  <c r="D12" i="5"/>
  <c r="D11" i="5"/>
  <c r="D9" i="5"/>
  <c r="D4" i="5"/>
  <c r="E9" i="1" s="1"/>
  <c r="G9" i="1" s="1"/>
  <c r="J9" i="1" s="1"/>
  <c r="P18" i="1" s="1"/>
  <c r="D6" i="5"/>
  <c r="D8" i="5"/>
  <c r="D10" i="5"/>
  <c r="D5" i="5"/>
  <c r="G17" i="1"/>
  <c r="J17" i="1" s="1"/>
  <c r="I17" i="1"/>
  <c r="L17" i="1" s="1"/>
  <c r="L53" i="7"/>
  <c r="M53" i="7"/>
  <c r="K9" i="7"/>
  <c r="E13" i="7"/>
  <c r="U42" i="7"/>
  <c r="U44" i="7"/>
  <c r="U46" i="7"/>
  <c r="U48" i="7"/>
  <c r="U50" i="7"/>
  <c r="U52" i="7"/>
  <c r="U45" i="7"/>
  <c r="D5" i="7" s="1"/>
  <c r="E7" i="1" s="1"/>
  <c r="U49" i="7"/>
  <c r="U53" i="7"/>
  <c r="U43" i="7"/>
  <c r="U47" i="7"/>
  <c r="U51" i="7"/>
  <c r="T42" i="7"/>
  <c r="T45" i="7"/>
  <c r="T49" i="7"/>
  <c r="T53" i="7"/>
  <c r="T50" i="7"/>
  <c r="T43" i="7"/>
  <c r="T51" i="7"/>
  <c r="T48" i="7"/>
  <c r="T46" i="7"/>
  <c r="T47" i="7"/>
  <c r="T44" i="7"/>
  <c r="T52" i="7"/>
  <c r="L52" i="7"/>
  <c r="M52" i="7"/>
  <c r="E12" i="7"/>
  <c r="D6" i="4"/>
  <c r="K6" i="6"/>
  <c r="K5" i="6"/>
  <c r="K4" i="4" l="1"/>
  <c r="K5" i="4" s="1"/>
  <c r="D5" i="4" s="1"/>
  <c r="D8" i="4" s="1"/>
  <c r="L4" i="4"/>
  <c r="L5" i="4" s="1"/>
  <c r="E5" i="4" s="1"/>
  <c r="G7" i="1"/>
  <c r="H15" i="1"/>
  <c r="I9" i="1"/>
  <c r="L9" i="1" s="1"/>
  <c r="F16" i="1"/>
  <c r="C14" i="4"/>
  <c r="K3" i="7"/>
  <c r="K4" i="7"/>
  <c r="I11" i="1"/>
  <c r="E15" i="1"/>
  <c r="D14" i="4"/>
  <c r="C8" i="4"/>
  <c r="N44" i="7"/>
  <c r="C16" i="7" s="1"/>
  <c r="N46" i="7"/>
  <c r="C18" i="7" s="1"/>
  <c r="N45" i="7"/>
  <c r="P44" i="7"/>
  <c r="C4" i="7" s="1"/>
  <c r="J10" i="7"/>
  <c r="K10" i="7" s="1"/>
  <c r="L10" i="7"/>
  <c r="Q46" i="7"/>
  <c r="D6" i="7" s="1"/>
  <c r="Q50" i="7"/>
  <c r="D10" i="7" s="1"/>
  <c r="O46" i="7"/>
  <c r="D18" i="7" s="1"/>
  <c r="O50" i="7"/>
  <c r="D22" i="7" s="1"/>
  <c r="O45" i="7"/>
  <c r="D17" i="7" s="1"/>
  <c r="Q43" i="7"/>
  <c r="Q47" i="7"/>
  <c r="D7" i="7" s="1"/>
  <c r="Q51" i="7"/>
  <c r="D11" i="7" s="1"/>
  <c r="O43" i="7"/>
  <c r="O47" i="7"/>
  <c r="D19" i="7" s="1"/>
  <c r="O51" i="7"/>
  <c r="D23" i="7" s="1"/>
  <c r="Q53" i="7"/>
  <c r="D13" i="7" s="1"/>
  <c r="O49" i="7"/>
  <c r="D21" i="7" s="1"/>
  <c r="Q44" i="7"/>
  <c r="D4" i="7" s="1"/>
  <c r="Q48" i="7"/>
  <c r="D8" i="7" s="1"/>
  <c r="Q52" i="7"/>
  <c r="D12" i="7" s="1"/>
  <c r="O44" i="7"/>
  <c r="D16" i="7" s="1"/>
  <c r="O48" i="7"/>
  <c r="D20" i="7" s="1"/>
  <c r="O52" i="7"/>
  <c r="D24" i="7" s="1"/>
  <c r="Q49" i="7"/>
  <c r="D9" i="7" s="1"/>
  <c r="O53" i="7"/>
  <c r="D25" i="7" s="1"/>
  <c r="P46" i="7"/>
  <c r="C6" i="7" s="1"/>
  <c r="P50" i="7"/>
  <c r="C10" i="7" s="1"/>
  <c r="N50" i="7"/>
  <c r="C22" i="7" s="1"/>
  <c r="N49" i="7"/>
  <c r="C21" i="7" s="1"/>
  <c r="P43" i="7"/>
  <c r="P47" i="7"/>
  <c r="C7" i="7" s="1"/>
  <c r="P51" i="7"/>
  <c r="C11" i="7" s="1"/>
  <c r="N47" i="7"/>
  <c r="C19" i="7" s="1"/>
  <c r="N51" i="7"/>
  <c r="C23" i="7" s="1"/>
  <c r="P49" i="7"/>
  <c r="C9" i="7" s="1"/>
  <c r="P48" i="7"/>
  <c r="C8" i="7" s="1"/>
  <c r="P52" i="7"/>
  <c r="C12" i="7" s="1"/>
  <c r="N48" i="7"/>
  <c r="C20" i="7" s="1"/>
  <c r="N52" i="7"/>
  <c r="C24" i="7" s="1"/>
  <c r="P45" i="7"/>
  <c r="C5" i="7" s="1"/>
  <c r="P53" i="7"/>
  <c r="C13" i="7" s="1"/>
  <c r="N53" i="7"/>
  <c r="C25" i="7" s="1"/>
  <c r="K15" i="1" l="1"/>
  <c r="K16" i="1" s="1"/>
  <c r="K18" i="1" s="1"/>
  <c r="H19" i="1"/>
  <c r="G15" i="1"/>
  <c r="E19" i="1"/>
  <c r="C17" i="7"/>
  <c r="F18" i="1"/>
  <c r="H18" i="1" s="1"/>
  <c r="H16" i="1"/>
  <c r="K5" i="7"/>
  <c r="F7" i="1"/>
  <c r="H7" i="1" s="1"/>
  <c r="K7" i="1" s="1"/>
  <c r="L11" i="1"/>
  <c r="P4" i="1" s="1"/>
  <c r="E16" i="1"/>
  <c r="G16" i="1" s="1"/>
  <c r="I15" i="1"/>
  <c r="L11" i="7"/>
  <c r="K11" i="7"/>
  <c r="P12" i="1" l="1"/>
  <c r="Q12" i="1" s="1"/>
  <c r="J15" i="1"/>
  <c r="G19" i="1"/>
  <c r="L15" i="1"/>
  <c r="L16" i="1" s="1"/>
  <c r="L18" i="1" s="1"/>
  <c r="I19" i="1"/>
  <c r="P13" i="1"/>
  <c r="E18" i="1"/>
  <c r="I16" i="1"/>
  <c r="P5" i="1" l="1"/>
  <c r="P6" i="1" s="1"/>
  <c r="P19" i="1"/>
  <c r="Q19" i="1" s="1"/>
  <c r="J16" i="1"/>
  <c r="J18" i="1" s="1"/>
  <c r="I18" i="1"/>
  <c r="G18" i="1"/>
  <c r="I4" i="1"/>
  <c r="O17" i="1"/>
  <c r="Q17" i="1" s="1"/>
  <c r="J7" i="1"/>
  <c r="I7" i="1"/>
  <c r="L7" i="1" s="1"/>
  <c r="Q5" i="1" l="1"/>
  <c r="L4" i="1"/>
  <c r="O3" i="1" s="1"/>
  <c r="P20" i="1"/>
  <c r="Q3" i="1"/>
  <c r="Q10" i="1" l="1"/>
  <c r="N4" i="6"/>
  <c r="J10" i="6"/>
  <c r="K3" i="6" l="1"/>
  <c r="K10" i="6" s="1"/>
  <c r="J11" i="6" s="1"/>
  <c r="J13" i="6" s="1"/>
  <c r="H3" i="6"/>
  <c r="I3" i="6"/>
  <c r="J12" i="6" s="1"/>
  <c r="K12" i="6"/>
  <c r="H10" i="6"/>
  <c r="D3" i="6" l="1"/>
  <c r="E6" i="1" s="1"/>
  <c r="D5" i="6"/>
  <c r="D4" i="6"/>
  <c r="D6" i="6"/>
  <c r="D7" i="6"/>
  <c r="D11" i="6"/>
  <c r="D12" i="6"/>
  <c r="D10" i="6"/>
  <c r="D9" i="6"/>
  <c r="D8" i="6"/>
  <c r="H12" i="6"/>
  <c r="H11" i="6"/>
  <c r="H13" i="6" s="1"/>
  <c r="E8" i="1"/>
  <c r="E5" i="6"/>
  <c r="E11" i="6"/>
  <c r="E12" i="6"/>
  <c r="E3" i="6"/>
  <c r="E4" i="6"/>
  <c r="E7" i="6"/>
  <c r="D6" i="1" s="1"/>
  <c r="D8" i="1" s="1"/>
  <c r="D10" i="1" s="1"/>
  <c r="D12" i="1" s="1"/>
  <c r="E6" i="6"/>
  <c r="E10" i="6"/>
  <c r="E9" i="6"/>
  <c r="E8" i="6"/>
  <c r="C8" i="6" l="1"/>
  <c r="C4" i="6"/>
  <c r="C3" i="6"/>
  <c r="F6" i="1" s="1"/>
  <c r="C10" i="6"/>
  <c r="C7" i="6"/>
  <c r="C9" i="6"/>
  <c r="C6" i="6"/>
  <c r="C11" i="6"/>
  <c r="C12" i="6"/>
  <c r="C5" i="6"/>
  <c r="E10" i="1"/>
  <c r="G8" i="1"/>
  <c r="J8" i="1" s="1"/>
  <c r="G6" i="1"/>
  <c r="J6" i="1" s="1"/>
  <c r="O18" i="1" l="1"/>
  <c r="J21" i="1"/>
  <c r="O20" i="1"/>
  <c r="Q20" i="1" s="1"/>
  <c r="Q18" i="1"/>
  <c r="G10" i="1"/>
  <c r="J10" i="1" s="1"/>
  <c r="E12" i="1"/>
  <c r="H6" i="1"/>
  <c r="K6" i="1" s="1"/>
  <c r="F8" i="1"/>
  <c r="I6" i="1"/>
  <c r="L6" i="1" s="1"/>
  <c r="G12" i="1" l="1"/>
  <c r="J12" i="1" s="1"/>
  <c r="F10" i="1"/>
  <c r="H8" i="1"/>
  <c r="I8" i="1"/>
  <c r="L8" i="1" l="1"/>
  <c r="L21" i="1" s="1"/>
  <c r="I21" i="1"/>
  <c r="K8" i="1"/>
  <c r="O11" i="1" s="1"/>
  <c r="H21" i="1"/>
  <c r="O4" i="1"/>
  <c r="Q4" i="1" s="1"/>
  <c r="O6" i="1"/>
  <c r="Q6" i="1" s="1"/>
  <c r="H10" i="1"/>
  <c r="K10" i="1" s="1"/>
  <c r="F12" i="1"/>
  <c r="I10" i="1"/>
  <c r="L10" i="1" s="1"/>
  <c r="K21" i="1" l="1"/>
  <c r="O13" i="1"/>
  <c r="Q13" i="1" s="1"/>
  <c r="Q11" i="1"/>
  <c r="H12" i="1"/>
  <c r="K12" i="1" s="1"/>
  <c r="I12" i="1"/>
  <c r="L12" i="1" s="1"/>
</calcChain>
</file>

<file path=xl/comments1.xml><?xml version="1.0" encoding="utf-8"?>
<comments xmlns="http://schemas.openxmlformats.org/spreadsheetml/2006/main">
  <authors>
    <author>אדיר לוי</author>
  </authors>
  <commentList>
    <comment ref="T16" authorId="0" shapeId="0">
      <text>
        <r>
          <rPr>
            <b/>
            <sz val="9"/>
            <color indexed="81"/>
            <rFont val="Tahoma"/>
            <family val="2"/>
          </rPr>
          <t>אדיר לוי:</t>
        </r>
        <r>
          <rPr>
            <sz val="9"/>
            <color indexed="81"/>
            <rFont val="Tahoma"/>
            <family val="2"/>
          </rPr>
          <t xml:space="preserve">
יש עוד 0.1 שלא נסכם בעבודה קודמת</t>
        </r>
      </text>
    </comment>
  </commentList>
</comments>
</file>

<file path=xl/sharedStrings.xml><?xml version="1.0" encoding="utf-8"?>
<sst xmlns="http://schemas.openxmlformats.org/spreadsheetml/2006/main" count="511" uniqueCount="292">
  <si>
    <t>שימור</t>
  </si>
  <si>
    <t>סגירה</t>
  </si>
  <si>
    <t>ארנונה</t>
  </si>
  <si>
    <t>יחידה 1</t>
  </si>
  <si>
    <t>יחידה 2</t>
  </si>
  <si>
    <t>יחידה 3</t>
  </si>
  <si>
    <t>יחידה 4</t>
  </si>
  <si>
    <t>co2</t>
  </si>
  <si>
    <t>נתוני פליטות סגוליות 2023, גרם לקוט"ש מיוצר</t>
  </si>
  <si>
    <t>NOX</t>
  </si>
  <si>
    <t>SO2</t>
  </si>
  <si>
    <t>חלקיקים</t>
  </si>
  <si>
    <t>מספר משרות</t>
  </si>
  <si>
    <t>שכר</t>
  </si>
  <si>
    <t>שמירה</t>
  </si>
  <si>
    <t>ביטוח</t>
  </si>
  <si>
    <t>קבלנים וחומרים</t>
  </si>
  <si>
    <t>סה"כ לשנה</t>
  </si>
  <si>
    <t>הפעלת משאבת מי קרור</t>
  </si>
  <si>
    <t>סה"כ</t>
  </si>
  <si>
    <t>2 יחידות מאותו חפ"ק (1-2 או 3-4)</t>
  </si>
  <si>
    <t>יחידה ראשונה - תוך 3 ימים</t>
  </si>
  <si>
    <t>יחידה שניה – תוך 4 ימים</t>
  </si>
  <si>
    <t>סה"כ 4 ימים ל-2 יחידות</t>
  </si>
  <si>
    <t>2 יחידות משני חדרי פיקוד שונים (1-2 ו 3-4)</t>
  </si>
  <si>
    <t>יחידה שניה - תוך 3.5 ימים</t>
  </si>
  <si>
    <t>סה"כ 3.5 ימים ל-2 יחידות</t>
  </si>
  <si>
    <t>3 יחידות (2 מאותו חדר פיקוד + אחת מחדר פיקוד שני)</t>
  </si>
  <si>
    <t>יחידה שניה תוך 3.5 ימים</t>
  </si>
  <si>
    <t>יחידה שלישית – תוך 5 ימים</t>
  </si>
  <si>
    <t>סה"כ 5 ימים ל-3 יחידות</t>
  </si>
  <si>
    <t>4 יחידות</t>
  </si>
  <si>
    <t>יחידה שניה – תוך 3.5 ימים</t>
  </si>
  <si>
    <t>יחידה שלישית – תוך 6 ימים</t>
  </si>
  <si>
    <t>יחידה רביעית – 6.5 ימים</t>
  </si>
  <si>
    <t>סה"כ 6.5 ימים ל-4 יחידות</t>
  </si>
  <si>
    <t>טון סולר</t>
  </si>
  <si>
    <t>טון פחם</t>
  </si>
  <si>
    <t>שנתי</t>
  </si>
  <si>
    <t>כמות יחידות</t>
  </si>
  <si>
    <t>זמן התראה נדרש</t>
  </si>
  <si>
    <t>סיכוי הצלחה</t>
  </si>
  <si>
    <t>שבועיים</t>
  </si>
  <si>
    <t>ייצור חלופי בגז</t>
  </si>
  <si>
    <t>שכר עובד</t>
  </si>
  <si>
    <t>מחיר לטון</t>
  </si>
  <si>
    <t>סה"כ עלות</t>
  </si>
  <si>
    <t>הספק</t>
  </si>
  <si>
    <t>שעות הפעלה</t>
  </si>
  <si>
    <t>פעמים בשנה</t>
  </si>
  <si>
    <t>הפעלה</t>
  </si>
  <si>
    <t>מוטש מיוצר</t>
  </si>
  <si>
    <t>כמות</t>
  </si>
  <si>
    <t>עלות</t>
  </si>
  <si>
    <t>פחם</t>
  </si>
  <si>
    <t>גז</t>
  </si>
  <si>
    <t>ממוצע</t>
  </si>
  <si>
    <t>עלות גז למגו"ש</t>
  </si>
  <si>
    <t>חגית מחז"ם 19</t>
  </si>
  <si>
    <t>F</t>
  </si>
  <si>
    <t>גז טבעי</t>
  </si>
  <si>
    <t>סולר</t>
  </si>
  <si>
    <t>מזהם</t>
  </si>
  <si>
    <t>ערך נמוך</t>
  </si>
  <si>
    <t>ערך אמצעי</t>
  </si>
  <si>
    <t>ערך גבוה</t>
  </si>
  <si>
    <t>PM2.5</t>
  </si>
  <si>
    <t>PMCoarse</t>
  </si>
  <si>
    <t>PM10</t>
  </si>
  <si>
    <t>NMVOC</t>
  </si>
  <si>
    <t>NH3</t>
  </si>
  <si>
    <t>פחמן דו-חמצני</t>
  </si>
  <si>
    <t>חמצן דו-חנקני</t>
  </si>
  <si>
    <t>מתאן</t>
  </si>
  <si>
    <t>גופרית 6 פלואורידית</t>
  </si>
  <si>
    <t>מוט"ש מיוצר</t>
  </si>
  <si>
    <t>עלות חיצונית, ש"ח לקוט"ש מיוצר</t>
  </si>
  <si>
    <t>עלות ללא בלו</t>
  </si>
  <si>
    <t>בלו גז</t>
  </si>
  <si>
    <t>ללא בלו</t>
  </si>
  <si>
    <t>בלו פחם</t>
  </si>
  <si>
    <t>עלות טון פחם</t>
  </si>
  <si>
    <t>עלות טון גז</t>
  </si>
  <si>
    <t>MMBTU/TON</t>
  </si>
  <si>
    <t>מחיר ל MMBTU</t>
  </si>
  <si>
    <t>סה"כ עלות טון פחם</t>
  </si>
  <si>
    <t>סה"כ עלות טון גז</t>
  </si>
  <si>
    <t>כולל בלו</t>
  </si>
  <si>
    <t>https://www.gov.il/he/pages/natural_gas_conecting?chapterIndex=4</t>
  </si>
  <si>
    <t>עלות שנתית פחם ללא בלו</t>
  </si>
  <si>
    <t>עלות שנתית פחם כולל בלו</t>
  </si>
  <si>
    <t>עלות שנתית סולר ללא בלו</t>
  </si>
  <si>
    <t xml:space="preserve">עלות שנתית סולר כולל בלו </t>
  </si>
  <si>
    <t>הספק כל יחידה</t>
  </si>
  <si>
    <t>שעות</t>
  </si>
  <si>
    <t>ימים</t>
  </si>
  <si>
    <t>תחילה</t>
  </si>
  <si>
    <t>עד</t>
  </si>
  <si>
    <t>עומס הפעלה מקסימלי בשימור</t>
  </si>
  <si>
    <t>שיעור מקדם</t>
  </si>
  <si>
    <t xml:space="preserve">שנת בסיס </t>
  </si>
  <si>
    <t>מקדם עלות פליטות וזיהום משנה לשנה</t>
  </si>
  <si>
    <t>משך תרחיש החירום בימים</t>
  </si>
  <si>
    <t>הספק אפקטיבי</t>
  </si>
  <si>
    <t>דלקים</t>
  </si>
  <si>
    <t>Sox</t>
  </si>
  <si>
    <t>Nox</t>
  </si>
  <si>
    <t xml:space="preserve">PM2.5 </t>
  </si>
  <si>
    <t>הנעה קרה</t>
  </si>
  <si>
    <t>הפסקת יחידה</t>
  </si>
  <si>
    <t>פליטה ומזהמים</t>
  </si>
  <si>
    <t>מזהמים ופליטות בהנעה והפסקה (טון)</t>
  </si>
  <si>
    <t>נצילות</t>
  </si>
  <si>
    <t>מגה ואט לטון</t>
  </si>
  <si>
    <t>טון נדרש לייצור מגו"ש</t>
  </si>
  <si>
    <t>עלויות</t>
  </si>
  <si>
    <t>פרמטרים לשינוי</t>
  </si>
  <si>
    <t>יחס PM10 מסך החלקיקים</t>
  </si>
  <si>
    <t>יחס PM2.5 מסך החלקיקים</t>
  </si>
  <si>
    <t>רק משק החשמל</t>
  </si>
  <si>
    <t>ראיה משקית</t>
  </si>
  <si>
    <t>סה"כ עלות לפי תרחיש חירום</t>
  </si>
  <si>
    <t>חסכון בסגירה בארנונה/ ביטוח ושמירה</t>
  </si>
  <si>
    <t>מול סגירה</t>
  </si>
  <si>
    <t>האם הראיה משקית כללית או רק משק החשמל (בלו בשגרה ועלות אלטרנטיבית בגז)</t>
  </si>
  <si>
    <t>עלות שנתית ייצור משלים בגז ללא בלו</t>
  </si>
  <si>
    <t>עלות שנתית ייצור משלים בגז כולל בלו</t>
  </si>
  <si>
    <t>עלות גז חלופי בסגירה</t>
  </si>
  <si>
    <t xml:space="preserve">עלות </t>
  </si>
  <si>
    <t>צריכת סולר ממצועת בהספק 70% - 72 טון /שעה (120*0.6)</t>
  </si>
  <si>
    <t>יחידות 1-4 - ספיקה ליחידת ייצור</t>
  </si>
  <si>
    <t xml:space="preserve">מקדם עומס </t>
  </si>
  <si>
    <t xml:space="preserve">צריכת פחם שנתית לשימור </t>
  </si>
  <si>
    <t>מ. עומס באחוזים</t>
  </si>
  <si>
    <t xml:space="preserve">משך הפעלה </t>
  </si>
  <si>
    <t>הפעלה 3- ימים (72 שעות)</t>
  </si>
  <si>
    <t xml:space="preserve">צריכת טון /שעה  פחם </t>
  </si>
  <si>
    <t>פרוט/טון</t>
  </si>
  <si>
    <t>כמות בטונות</t>
  </si>
  <si>
    <t>ייצור מגואט/ש</t>
  </si>
  <si>
    <t xml:space="preserve">ליחידת ייצור אחת </t>
  </si>
  <si>
    <t xml:space="preserve">פחם </t>
  </si>
  <si>
    <t xml:space="preserve">סולר </t>
  </si>
  <si>
    <t>ייצור במגווט/ש</t>
  </si>
  <si>
    <t>ל- 4 יחידות ייצור</t>
  </si>
  <si>
    <t>תרחיש הנעת יחידה  ל- 72 שעות ( 3 ימים)</t>
  </si>
  <si>
    <t xml:space="preserve">הערות </t>
  </si>
  <si>
    <t>ייצור במגואט/ש</t>
  </si>
  <si>
    <t xml:space="preserve">הנעה חשמלית של מניפות + חימום טורבינה בסולר 24 שעות </t>
  </si>
  <si>
    <r>
      <t>הפעלת היחידה בפחם לאחר 24 שעות ( סנכרון )  .</t>
    </r>
    <r>
      <rPr>
        <b/>
        <sz val="11"/>
        <color rgb="FFFF0000"/>
        <rFont val="Arial"/>
        <family val="2"/>
        <scheme val="minor"/>
      </rPr>
      <t xml:space="preserve">סולר המשך הפעלה בסולר עד לשעה 35+ 8 שעות הפעלה בסולר  עם סיום הפעלת היחידה </t>
    </r>
  </si>
  <si>
    <t>עלויות משתנות</t>
  </si>
  <si>
    <t>אגורות לקוט"ש</t>
  </si>
  <si>
    <t xml:space="preserve">גז </t>
  </si>
  <si>
    <t>עלות חיצונית מזהמים</t>
  </si>
  <si>
    <t>עלות פליטות</t>
  </si>
  <si>
    <t>סה"כ מזהמים</t>
  </si>
  <si>
    <t>סה"כ פליטות</t>
  </si>
  <si>
    <t>עלות מזהמים</t>
  </si>
  <si>
    <t xml:space="preserve">זיהום </t>
  </si>
  <si>
    <t>פליטות</t>
  </si>
  <si>
    <t>מזהמים לפי תרחיש חירום</t>
  </si>
  <si>
    <t>פליטות לפי תרחיש חירום</t>
  </si>
  <si>
    <t>שגרה</t>
  </si>
  <si>
    <t>סה"כ כולל מזהמים (ללא פליטות)</t>
  </si>
  <si>
    <t>זיהום</t>
  </si>
  <si>
    <t>מזהמים מקומיים</t>
  </si>
  <si>
    <t>פליטות פד"ח</t>
  </si>
  <si>
    <t xml:space="preserve">עלויות הון </t>
  </si>
  <si>
    <t>הון</t>
  </si>
  <si>
    <t>עלות דלקים ללא זיהום ופליטות</t>
  </si>
  <si>
    <t>סה"כ עלויות שנתיות</t>
  </si>
  <si>
    <t>עלויות ללא זיהום ופליטות</t>
  </si>
  <si>
    <t>אירוע חירום</t>
  </si>
  <si>
    <t>קטגוריה</t>
  </si>
  <si>
    <t>עלות שנתית ממוצעת תפעול</t>
  </si>
  <si>
    <t xml:space="preserve">עלות שנתית ממוצעת דלקים </t>
  </si>
  <si>
    <t>SOX</t>
  </si>
  <si>
    <t>35-40%</t>
  </si>
  <si>
    <t>פחם מיטבי אינדונזי</t>
  </si>
  <si>
    <t>25-30%</t>
  </si>
  <si>
    <t>הפחתת זיהום פחם מיטבי</t>
  </si>
  <si>
    <t>עלויות ישירות</t>
  </si>
  <si>
    <t>עלויות זיהום ופליטות</t>
  </si>
  <si>
    <t>סה"כ עלות משקית לתקופה</t>
  </si>
  <si>
    <t>טון למחזור בדיקה ליחידה</t>
  </si>
  <si>
    <t>טון שנתי</t>
  </si>
  <si>
    <t>שעות אי אספקה</t>
  </si>
  <si>
    <t>שימור קר</t>
  </si>
  <si>
    <t>שימור חם</t>
  </si>
  <si>
    <t>שימור קר מול סגירה</t>
  </si>
  <si>
    <t>העמסה במקסימום</t>
  </si>
  <si>
    <t>לפי גיליון מצורף</t>
  </si>
  <si>
    <t>יכולת הפעלה במקביל ל 70 80</t>
  </si>
  <si>
    <t>שיקום קונסטרוקטיבי משקעי אפר</t>
  </si>
  <si>
    <t xml:space="preserve">שימור חם </t>
  </si>
  <si>
    <t>זמן כניסה לפעולה בהפעלה במצב ביניים (שימור חם)</t>
  </si>
  <si>
    <t>זמן כניסה לפעולה במתווה של שימור קר</t>
  </si>
  <si>
    <t>מוט"ש אפקטיבי לתרחיש שימור חם</t>
  </si>
  <si>
    <t>מוט"ש אפקטיבי לתרחיש שימור קר</t>
  </si>
  <si>
    <t xml:space="preserve">סה"כ מצטבר </t>
  </si>
  <si>
    <t>החלפת מערכת בקרה יח' 3</t>
  </si>
  <si>
    <t>שרותי ייעוץ</t>
  </si>
  <si>
    <t>שיפוץ יח' 4</t>
  </si>
  <si>
    <t>ציוד תחזוקה</t>
  </si>
  <si>
    <t>מעליות</t>
  </si>
  <si>
    <t>קונ ובטונים</t>
  </si>
  <si>
    <t>צ. חשמלי</t>
  </si>
  <si>
    <t>צ.בקרה</t>
  </si>
  <si>
    <t>אתר פחם</t>
  </si>
  <si>
    <t>שיפוץ יח' 2</t>
  </si>
  <si>
    <t>סימולטור</t>
  </si>
  <si>
    <t>שדרוג מסדר 161</t>
  </si>
  <si>
    <t>מערכת בקרה יח'2</t>
  </si>
  <si>
    <t>3 שנים</t>
  </si>
  <si>
    <t>הפרש מצטבר שימור קר לעומת סגירה</t>
  </si>
  <si>
    <t>הפרש מצטבר שימור קר לעומת שימור חם</t>
  </si>
  <si>
    <t>עלות עודפת לשימור קר על פני שימור חם</t>
  </si>
  <si>
    <t>עלות עודפת לשימור קר על פני סגירה</t>
  </si>
  <si>
    <t>שנה מחושבת</t>
  </si>
  <si>
    <t>עלות עודפת לשימור חם על פני סגירה</t>
  </si>
  <si>
    <t xml:space="preserve"> שימור קר מול שימור חם </t>
  </si>
  <si>
    <t xml:space="preserve"> שימור חם מול סגירה</t>
  </si>
  <si>
    <t>תקופת השימור (שנים)</t>
  </si>
  <si>
    <t>כולל יכולת הפעלה במקביל</t>
  </si>
  <si>
    <t>מול תרחיש סגירה</t>
  </si>
  <si>
    <t>שיפוץ תפעולי במועד הכניסה לשימור</t>
  </si>
  <si>
    <t>שיפוץ השקעתי יחידות 2,3</t>
  </si>
  <si>
    <t>שדרוג בריכות שיקוע יח' 1-2</t>
  </si>
  <si>
    <t>טיפול במנועים</t>
  </si>
  <si>
    <t>החלפת צנרת 18" של משאבות הגברת מי ים למסנני מקררי מק"מ כללי יח' 1-4</t>
  </si>
  <si>
    <t>החלפת צנרת 20" של משאבות הגברת מי ים למסנני מק"מ כללי יח' 1-4</t>
  </si>
  <si>
    <t>שדרוג ציוד חשמלי</t>
  </si>
  <si>
    <t>שדרוג ציוד מכאני</t>
  </si>
  <si>
    <t xml:space="preserve">שדרוג מערכת בקרה עגורן 2 </t>
  </si>
  <si>
    <t>השעות נוספות פרטניות ונלוות</t>
  </si>
  <si>
    <t>שימור ארוך (10 שנים)</t>
  </si>
  <si>
    <t>שימור קצר (3 שנים)</t>
  </si>
  <si>
    <t>הפרש</t>
  </si>
  <si>
    <t>בנ"מ 50%</t>
  </si>
  <si>
    <t>סה"כ כולל בנ"מ</t>
  </si>
  <si>
    <t xml:space="preserve">בדיקות הערכת/הארכת אורך חיים בדוד ומערכותיו </t>
  </si>
  <si>
    <t xml:space="preserve">שדרוג מדחסי נישוף פיח </t>
  </si>
  <si>
    <t xml:space="preserve">ביצוע אימפרגנציה ל- 27 מנועי מניפות </t>
  </si>
  <si>
    <t xml:space="preserve">שדרוג מערכת בקרה  PCMS יח 10 </t>
  </si>
  <si>
    <t xml:space="preserve">שדרוג מערכת בקרת טורבינה </t>
  </si>
  <si>
    <t xml:space="preserve">שדרוג מערכות השגחה  CSI  </t>
  </si>
  <si>
    <t xml:space="preserve">שיקום בסיסי מתקנים משאבות, מנועים ומניפות וציוד </t>
  </si>
  <si>
    <t>זיהום (2023)</t>
  </si>
  <si>
    <t>פליטות (2023)</t>
  </si>
  <si>
    <t>מחיר פחם ינואר 2025</t>
  </si>
  <si>
    <t xml:space="preserve">סה"כ השקעה לפרויקט שימור עד סוף 2024 </t>
  </si>
  <si>
    <t>פירוט השקעות ייחודיות ונלוות שנותרו לביצוע בשנים הבאות</t>
  </si>
  <si>
    <t>השקעות שיפוץ השקעתי ותפעולי</t>
  </si>
  <si>
    <t>פרוט השקעות שבוצעו עד כה בפרויקט שימור יח' 1-4 </t>
  </si>
  <si>
    <t>שיפוץ טורבינת משאבת מי הזנה</t>
  </si>
  <si>
    <t>החלפת מערכת בקרה יחידה 2</t>
  </si>
  <si>
    <t>סה"כ עלות הפרויקט (כולל עלות שקועה כולל בנ"מ)</t>
  </si>
  <si>
    <t>סה"כ עלות הפרויקט (כולל עלות שקועה ללא בנ"מ)</t>
  </si>
  <si>
    <t>עלות שהושקעה בפרויקט עד עכשיו</t>
  </si>
  <si>
    <t>סה"כ  (ללא עלויות שקועות)</t>
  </si>
  <si>
    <t xml:space="preserve">יכולת עבודה במקביל של 2 מחזמים עם 4 יחדות פחמיות </t>
  </si>
  <si>
    <t xml:space="preserve">נגה מבקשים שחחי יעמידו רק יכולת לעבודה עם שתי פחמיות </t>
  </si>
  <si>
    <t>פחמיות</t>
  </si>
  <si>
    <t>מחזמים</t>
  </si>
  <si>
    <t>עובדים</t>
  </si>
  <si>
    <t>בלו (2027)</t>
  </si>
  <si>
    <t xml:space="preserve">הנעת  יחידות 1-4 בשימור  </t>
  </si>
  <si>
    <t xml:space="preserve">משך ימי תרחיש חירום: </t>
  </si>
  <si>
    <t>4 שבועות</t>
  </si>
  <si>
    <t>עלות ממוצעת בפחם 1-4</t>
  </si>
  <si>
    <t>עלות בסולר</t>
  </si>
  <si>
    <t>עלות אג' לקוט"ש תחנה אלטרנטיבית בגז (הסתכלות על משק החשמל בלבד)</t>
  </si>
  <si>
    <t>עלות פחם</t>
  </si>
  <si>
    <t>עלות גז</t>
  </si>
  <si>
    <t>עלות עודפת אי אספקה (ביחס לשימור חם)</t>
  </si>
  <si>
    <t xml:space="preserve">משך ימי תרחיש חירום </t>
  </si>
  <si>
    <t xml:space="preserve">סיכוי להתממשות התרחיש </t>
  </si>
  <si>
    <t>מחיר סולר ינואר 2025</t>
  </si>
  <si>
    <t>שע"ח ינואר 2025</t>
  </si>
  <si>
    <t>טבלאות 3 ו-18 - טווח ערכים למזהמי אוויר ממקור נייח – פליטה מתחת ל- 100 מ' (שקלים לטון 2024)</t>
  </si>
  <si>
    <t>טבלאות 4 ו-19  - טווח ערכים למזהמי אוויר ממקור נייח – ארובות מעל 100 מ' (שקלים לטון 2024)</t>
  </si>
  <si>
    <t>שיעור היוון</t>
  </si>
  <si>
    <r>
      <t>CO</t>
    </r>
    <r>
      <rPr>
        <b/>
        <vertAlign val="subscript"/>
        <sz val="12"/>
        <color rgb="FF000000"/>
        <rFont val="Calibri"/>
        <family val="2"/>
      </rPr>
      <t>2</t>
    </r>
  </si>
  <si>
    <r>
      <t>N</t>
    </r>
    <r>
      <rPr>
        <vertAlign val="sub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>O</t>
    </r>
  </si>
  <si>
    <r>
      <t>CH</t>
    </r>
    <r>
      <rPr>
        <vertAlign val="subscript"/>
        <sz val="11"/>
        <color rgb="FF000000"/>
        <rFont val="Calibri"/>
        <family val="2"/>
      </rPr>
      <t>4</t>
    </r>
  </si>
  <si>
    <r>
      <t>SF</t>
    </r>
    <r>
      <rPr>
        <vertAlign val="subscript"/>
        <sz val="11"/>
        <color rgb="FF000000"/>
        <rFont val="Calibri"/>
        <family val="2"/>
      </rPr>
      <t>6</t>
    </r>
  </si>
  <si>
    <t xml:space="preserve">קונ' ובטונים יחידות 1-4 </t>
  </si>
  <si>
    <t>היחס עודכן</t>
  </si>
  <si>
    <t xml:space="preserve">שדרוג כרטיסי I/O במערכת ( END OF LIFE)  DPMS </t>
  </si>
  <si>
    <t>סה"כ עלות מזהמים באירוע חירום</t>
  </si>
  <si>
    <t xml:space="preserve">שדרוג מסננים נעים (גירים, סלים, שרשראות) </t>
  </si>
  <si>
    <t>גזי חממה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</si>
</sst>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 * #,##0.0_ ;_ * \-#,##0.0_ ;_ * &quot;-&quot;??_ ;_ @_ "/>
    <numFmt numFmtId="165" formatCode="_ * #,##0_ ;_ * \-#,##0_ ;_ * &quot;-&quot;??_ ;_ @_ "/>
    <numFmt numFmtId="166" formatCode="0.000"/>
    <numFmt numFmtId="167" formatCode="_ * #,##0.0000_ ;_ * \-#,##0.0000_ ;_ * &quot;-&quot;??_ ;_ @_ "/>
    <numFmt numFmtId="168" formatCode="0.00000"/>
  </numFmts>
  <fonts count="3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u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1"/>
      <name val="Arial"/>
      <family val="2"/>
      <charset val="177"/>
      <scheme val="minor"/>
    </font>
    <font>
      <u/>
      <sz val="11"/>
      <color theme="1"/>
      <name val="Arial"/>
      <family val="2"/>
      <charset val="177"/>
      <scheme val="minor"/>
    </font>
    <font>
      <u val="singleAccounting"/>
      <sz val="11"/>
      <color theme="1"/>
      <name val="Arial"/>
      <family val="2"/>
      <charset val="177"/>
      <scheme val="minor"/>
    </font>
    <font>
      <sz val="11"/>
      <color theme="5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2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u val="singleAccounting"/>
      <sz val="11"/>
      <name val="Arial"/>
      <family val="2"/>
      <charset val="177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b/>
      <sz val="11"/>
      <color rgb="FF0070C0"/>
      <name val="Arial"/>
      <family val="2"/>
      <scheme val="minor"/>
    </font>
    <font>
      <b/>
      <sz val="11"/>
      <color rgb="FF002060"/>
      <name val="Arial"/>
      <family val="2"/>
      <scheme val="minor"/>
    </font>
    <font>
      <sz val="11"/>
      <color rgb="FF002060"/>
      <name val="Arial"/>
      <family val="2"/>
      <scheme val="minor"/>
    </font>
    <font>
      <b/>
      <sz val="11"/>
      <color rgb="FF7030A0"/>
      <name val="Arial"/>
      <family val="2"/>
      <scheme val="minor"/>
    </font>
    <font>
      <sz val="11"/>
      <color rgb="FF7030A0"/>
      <name val="Arial"/>
      <family val="2"/>
      <scheme val="minor"/>
    </font>
    <font>
      <sz val="11"/>
      <color rgb="FF0070C0"/>
      <name val="Arial"/>
      <family val="2"/>
      <scheme val="minor"/>
    </font>
    <font>
      <u/>
      <sz val="11"/>
      <name val="Arial"/>
      <family val="2"/>
      <charset val="177"/>
      <scheme val="minor"/>
    </font>
    <font>
      <b/>
      <sz val="11"/>
      <color theme="1"/>
      <name val="David"/>
      <family val="2"/>
    </font>
    <font>
      <sz val="11"/>
      <color theme="1"/>
      <name val="David"/>
      <family val="2"/>
    </font>
    <font>
      <b/>
      <u/>
      <sz val="11"/>
      <color theme="1"/>
      <name val="David"/>
      <family val="2"/>
    </font>
    <font>
      <sz val="11"/>
      <color theme="0"/>
      <name val="Arial"/>
      <family val="2"/>
      <charset val="177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823B"/>
      <name val="Calibri"/>
      <family val="2"/>
    </font>
    <font>
      <b/>
      <vertAlign val="subscript"/>
      <sz val="12"/>
      <color rgb="FF000000"/>
      <name val="Calibri"/>
      <family val="2"/>
    </font>
    <font>
      <vertAlign val="subscript"/>
      <sz val="11"/>
      <color rgb="FF000000"/>
      <name val="Calibri"/>
      <family val="2"/>
    </font>
    <font>
      <i/>
      <sz val="11"/>
      <color theme="1"/>
      <name val="Arial"/>
      <family val="2"/>
      <scheme val="minor"/>
    </font>
    <font>
      <b/>
      <sz val="11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6">
    <xf numFmtId="0" fontId="0" fillId="0" borderId="0" xfId="0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2" fillId="0" borderId="0" xfId="0" applyFont="1"/>
    <xf numFmtId="0" fontId="0" fillId="0" borderId="1" xfId="0" applyFill="1" applyBorder="1"/>
    <xf numFmtId="165" fontId="0" fillId="0" borderId="0" xfId="1" applyNumberFormat="1" applyFont="1"/>
    <xf numFmtId="0" fontId="7" fillId="0" borderId="1" xfId="0" applyFont="1" applyBorder="1" applyAlignment="1">
      <alignment horizontal="right" vertical="center" wrapText="1" readingOrder="2"/>
    </xf>
    <xf numFmtId="0" fontId="3" fillId="0" borderId="0" xfId="0" applyFont="1"/>
    <xf numFmtId="0" fontId="7" fillId="0" borderId="1" xfId="0" applyFont="1" applyFill="1" applyBorder="1" applyAlignment="1">
      <alignment horizontal="right" vertical="center" wrapText="1" readingOrder="2"/>
    </xf>
    <xf numFmtId="9" fontId="0" fillId="0" borderId="1" xfId="0" applyNumberFormat="1" applyBorder="1"/>
    <xf numFmtId="43" fontId="0" fillId="0" borderId="0" xfId="0" applyNumberFormat="1"/>
    <xf numFmtId="9" fontId="0" fillId="0" borderId="0" xfId="0" applyNumberFormat="1"/>
    <xf numFmtId="165" fontId="0" fillId="0" borderId="0" xfId="0" applyNumberFormat="1"/>
    <xf numFmtId="0" fontId="0" fillId="2" borderId="1" xfId="0" applyFill="1" applyBorder="1"/>
    <xf numFmtId="0" fontId="4" fillId="0" borderId="0" xfId="0" applyFont="1"/>
    <xf numFmtId="0" fontId="9" fillId="0" borderId="0" xfId="0" applyFont="1"/>
    <xf numFmtId="43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/>
    <xf numFmtId="165" fontId="2" fillId="0" borderId="0" xfId="1" applyNumberFormat="1" applyFont="1"/>
    <xf numFmtId="165" fontId="0" fillId="0" borderId="3" xfId="1" applyNumberFormat="1" applyFont="1" applyBorder="1"/>
    <xf numFmtId="0" fontId="0" fillId="0" borderId="6" xfId="0" applyBorder="1"/>
    <xf numFmtId="0" fontId="0" fillId="0" borderId="7" xfId="0" applyBorder="1"/>
    <xf numFmtId="1" fontId="0" fillId="0" borderId="6" xfId="0" applyNumberFormat="1" applyBorder="1"/>
    <xf numFmtId="165" fontId="0" fillId="0" borderId="6" xfId="1" applyNumberFormat="1" applyFont="1" applyBorder="1"/>
    <xf numFmtId="165" fontId="0" fillId="0" borderId="7" xfId="0" applyNumberFormat="1" applyBorder="1"/>
    <xf numFmtId="165" fontId="0" fillId="0" borderId="8" xfId="1" applyNumberFormat="1" applyFont="1" applyBorder="1"/>
    <xf numFmtId="165" fontId="0" fillId="0" borderId="7" xfId="1" applyNumberFormat="1" applyFont="1" applyBorder="1"/>
    <xf numFmtId="165" fontId="0" fillId="0" borderId="9" xfId="1" applyNumberFormat="1" applyFont="1" applyBorder="1"/>
    <xf numFmtId="165" fontId="0" fillId="0" borderId="10" xfId="1" applyNumberFormat="1" applyFont="1" applyBorder="1"/>
    <xf numFmtId="165" fontId="0" fillId="0" borderId="11" xfId="1" applyNumberFormat="1" applyFont="1" applyBorder="1"/>
    <xf numFmtId="165" fontId="0" fillId="0" borderId="6" xfId="0" applyNumberFormat="1" applyBorder="1"/>
    <xf numFmtId="165" fontId="0" fillId="0" borderId="14" xfId="1" applyNumberFormat="1" applyFont="1" applyBorder="1"/>
    <xf numFmtId="165" fontId="10" fillId="0" borderId="0" xfId="1" applyNumberFormat="1" applyFont="1"/>
    <xf numFmtId="165" fontId="0" fillId="0" borderId="1" xfId="1" applyNumberFormat="1" applyFont="1" applyBorder="1"/>
    <xf numFmtId="0" fontId="0" fillId="0" borderId="16" xfId="0" applyBorder="1"/>
    <xf numFmtId="0" fontId="0" fillId="0" borderId="17" xfId="0" applyBorder="1"/>
    <xf numFmtId="165" fontId="0" fillId="0" borderId="0" xfId="0" applyNumberFormat="1" applyBorder="1"/>
    <xf numFmtId="165" fontId="0" fillId="0" borderId="0" xfId="1" applyNumberFormat="1" applyFont="1" applyBorder="1"/>
    <xf numFmtId="165" fontId="0" fillId="0" borderId="22" xfId="1" applyNumberFormat="1" applyFont="1" applyBorder="1"/>
    <xf numFmtId="165" fontId="0" fillId="0" borderId="22" xfId="0" applyNumberFormat="1" applyBorder="1"/>
    <xf numFmtId="165" fontId="9" fillId="0" borderId="24" xfId="1" applyNumberFormat="1" applyFont="1" applyBorder="1"/>
    <xf numFmtId="165" fontId="9" fillId="0" borderId="25" xfId="1" applyNumberFormat="1" applyFont="1" applyBorder="1"/>
    <xf numFmtId="0" fontId="0" fillId="0" borderId="26" xfId="0" applyBorder="1"/>
    <xf numFmtId="165" fontId="0" fillId="0" borderId="19" xfId="0" applyNumberFormat="1" applyBorder="1"/>
    <xf numFmtId="165" fontId="0" fillId="0" borderId="19" xfId="1" applyNumberFormat="1" applyFont="1" applyBorder="1"/>
    <xf numFmtId="165" fontId="0" fillId="0" borderId="20" xfId="1" applyNumberFormat="1" applyFont="1" applyBorder="1"/>
    <xf numFmtId="165" fontId="9" fillId="0" borderId="24" xfId="0" applyNumberFormat="1" applyFont="1" applyBorder="1"/>
    <xf numFmtId="165" fontId="9" fillId="0" borderId="25" xfId="0" applyNumberFormat="1" applyFont="1" applyBorder="1"/>
    <xf numFmtId="0" fontId="0" fillId="0" borderId="15" xfId="0" applyBorder="1"/>
    <xf numFmtId="0" fontId="0" fillId="0" borderId="27" xfId="0" applyBorder="1"/>
    <xf numFmtId="0" fontId="0" fillId="0" borderId="28" xfId="0" applyBorder="1"/>
    <xf numFmtId="0" fontId="9" fillId="0" borderId="29" xfId="0" applyFont="1" applyBorder="1"/>
    <xf numFmtId="0" fontId="3" fillId="4" borderId="0" xfId="0" applyFont="1" applyFill="1"/>
    <xf numFmtId="165" fontId="0" fillId="0" borderId="1" xfId="0" applyNumberFormat="1" applyBorder="1"/>
    <xf numFmtId="0" fontId="0" fillId="4" borderId="1" xfId="0" applyFill="1" applyBorder="1"/>
    <xf numFmtId="9" fontId="0" fillId="4" borderId="1" xfId="0" applyNumberFormat="1" applyFill="1" applyBorder="1"/>
    <xf numFmtId="0" fontId="0" fillId="3" borderId="1" xfId="0" applyFill="1" applyBorder="1"/>
    <xf numFmtId="165" fontId="10" fillId="0" borderId="1" xfId="1" applyNumberFormat="1" applyFont="1" applyBorder="1"/>
    <xf numFmtId="2" fontId="0" fillId="0" borderId="1" xfId="0" applyNumberFormat="1" applyBorder="1"/>
    <xf numFmtId="9" fontId="0" fillId="0" borderId="1" xfId="1" applyNumberFormat="1" applyFont="1" applyBorder="1"/>
    <xf numFmtId="1" fontId="0" fillId="0" borderId="1" xfId="0" applyNumberFormat="1" applyBorder="1"/>
    <xf numFmtId="0" fontId="0" fillId="0" borderId="4" xfId="0" applyBorder="1"/>
    <xf numFmtId="0" fontId="0" fillId="0" borderId="31" xfId="0" applyBorder="1"/>
    <xf numFmtId="0" fontId="0" fillId="0" borderId="5" xfId="0" applyBorder="1"/>
    <xf numFmtId="1" fontId="0" fillId="0" borderId="7" xfId="0" applyNumberFormat="1" applyBorder="1"/>
    <xf numFmtId="0" fontId="0" fillId="0" borderId="8" xfId="0" applyBorder="1"/>
    <xf numFmtId="0" fontId="0" fillId="0" borderId="32" xfId="0" applyBorder="1"/>
    <xf numFmtId="1" fontId="0" fillId="0" borderId="32" xfId="0" applyNumberFormat="1" applyBorder="1"/>
    <xf numFmtId="1" fontId="0" fillId="0" borderId="9" xfId="0" applyNumberFormat="1" applyBorder="1"/>
    <xf numFmtId="0" fontId="11" fillId="0" borderId="0" xfId="0" applyFont="1"/>
    <xf numFmtId="166" fontId="11" fillId="0" borderId="0" xfId="0" applyNumberFormat="1" applyFont="1"/>
    <xf numFmtId="9" fontId="11" fillId="0" borderId="0" xfId="2" applyFont="1"/>
    <xf numFmtId="165" fontId="8" fillId="0" borderId="0" xfId="1" applyNumberFormat="1" applyFont="1"/>
    <xf numFmtId="165" fontId="0" fillId="0" borderId="3" xfId="1" applyNumberFormat="1" applyFont="1" applyFill="1" applyBorder="1"/>
    <xf numFmtId="0" fontId="0" fillId="0" borderId="21" xfId="0" applyBorder="1"/>
    <xf numFmtId="0" fontId="0" fillId="0" borderId="22" xfId="0" applyBorder="1"/>
    <xf numFmtId="164" fontId="0" fillId="0" borderId="7" xfId="0" applyNumberFormat="1" applyBorder="1"/>
    <xf numFmtId="164" fontId="0" fillId="0" borderId="9" xfId="0" applyNumberFormat="1" applyBorder="1"/>
    <xf numFmtId="0" fontId="0" fillId="8" borderId="0" xfId="0" applyFill="1"/>
    <xf numFmtId="0" fontId="12" fillId="8" borderId="0" xfId="0" applyFont="1" applyFill="1"/>
    <xf numFmtId="0" fontId="13" fillId="8" borderId="0" xfId="0" applyFont="1" applyFill="1"/>
    <xf numFmtId="0" fontId="4" fillId="8" borderId="12" xfId="0" applyFont="1" applyFill="1" applyBorder="1" applyAlignment="1">
      <alignment wrapText="1"/>
    </xf>
    <xf numFmtId="0" fontId="0" fillId="8" borderId="6" xfId="0" applyFill="1" applyBorder="1" applyAlignment="1">
      <alignment horizontal="center"/>
    </xf>
    <xf numFmtId="9" fontId="0" fillId="8" borderId="33" xfId="0" applyNumberFormat="1" applyFill="1" applyBorder="1" applyAlignment="1">
      <alignment horizontal="center"/>
    </xf>
    <xf numFmtId="9" fontId="0" fillId="8" borderId="34" xfId="0" applyNumberFormat="1" applyFill="1" applyBorder="1" applyAlignment="1">
      <alignment horizontal="center"/>
    </xf>
    <xf numFmtId="0" fontId="14" fillId="8" borderId="18" xfId="0" applyFont="1" applyFill="1" applyBorder="1"/>
    <xf numFmtId="0" fontId="14" fillId="8" borderId="4" xfId="0" applyFont="1" applyFill="1" applyBorder="1" applyAlignment="1">
      <alignment wrapText="1"/>
    </xf>
    <xf numFmtId="0" fontId="14" fillId="8" borderId="35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 wrapText="1"/>
    </xf>
    <xf numFmtId="0" fontId="4" fillId="2" borderId="3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4" fillId="8" borderId="21" xfId="0" applyFont="1" applyFill="1" applyBorder="1"/>
    <xf numFmtId="0" fontId="14" fillId="8" borderId="16" xfId="0" applyFont="1" applyFill="1" applyBorder="1"/>
    <xf numFmtId="0" fontId="14" fillId="8" borderId="0" xfId="0" applyFont="1" applyFill="1"/>
    <xf numFmtId="0" fontId="14" fillId="9" borderId="4" xfId="0" applyFont="1" applyFill="1" applyBorder="1" applyAlignment="1">
      <alignment wrapText="1"/>
    </xf>
    <xf numFmtId="165" fontId="14" fillId="9" borderId="31" xfId="0" applyNumberFormat="1" applyFont="1" applyFill="1" applyBorder="1" applyAlignment="1">
      <alignment wrapText="1"/>
    </xf>
    <xf numFmtId="0" fontId="14" fillId="9" borderId="8" xfId="0" applyFont="1" applyFill="1" applyBorder="1" applyAlignment="1">
      <alignment wrapText="1"/>
    </xf>
    <xf numFmtId="0" fontId="14" fillId="9" borderId="32" xfId="0" applyFont="1" applyFill="1" applyBorder="1" applyAlignment="1">
      <alignment wrapText="1"/>
    </xf>
    <xf numFmtId="165" fontId="14" fillId="8" borderId="0" xfId="0" applyNumberFormat="1" applyFont="1" applyFill="1" applyAlignment="1">
      <alignment wrapText="1"/>
    </xf>
    <xf numFmtId="0" fontId="15" fillId="9" borderId="37" xfId="0" applyFont="1" applyFill="1" applyBorder="1"/>
    <xf numFmtId="0" fontId="15" fillId="9" borderId="2" xfId="0" applyFont="1" applyFill="1" applyBorder="1" applyAlignment="1">
      <alignment wrapText="1"/>
    </xf>
    <xf numFmtId="165" fontId="15" fillId="9" borderId="2" xfId="0" applyNumberFormat="1" applyFont="1" applyFill="1" applyBorder="1" applyAlignment="1">
      <alignment wrapText="1"/>
    </xf>
    <xf numFmtId="0" fontId="14" fillId="10" borderId="4" xfId="0" applyFont="1" applyFill="1" applyBorder="1"/>
    <xf numFmtId="165" fontId="14" fillId="10" borderId="31" xfId="0" applyNumberFormat="1" applyFont="1" applyFill="1" applyBorder="1" applyAlignment="1">
      <alignment wrapText="1"/>
    </xf>
    <xf numFmtId="0" fontId="14" fillId="10" borderId="8" xfId="0" applyFont="1" applyFill="1" applyBorder="1"/>
    <xf numFmtId="165" fontId="14" fillId="10" borderId="32" xfId="1" applyNumberFormat="1" applyFont="1" applyFill="1" applyBorder="1" applyAlignment="1">
      <alignment wrapText="1"/>
    </xf>
    <xf numFmtId="0" fontId="15" fillId="10" borderId="8" xfId="0" applyFont="1" applyFill="1" applyBorder="1"/>
    <xf numFmtId="165" fontId="15" fillId="10" borderId="32" xfId="1" applyNumberFormat="1" applyFont="1" applyFill="1" applyBorder="1" applyAlignment="1">
      <alignment wrapText="1"/>
    </xf>
    <xf numFmtId="0" fontId="0" fillId="8" borderId="0" xfId="0" applyFill="1" applyAlignment="1">
      <alignment wrapText="1"/>
    </xf>
    <xf numFmtId="165" fontId="14" fillId="8" borderId="0" xfId="1" applyNumberFormat="1" applyFont="1" applyFill="1" applyBorder="1" applyAlignment="1">
      <alignment wrapText="1"/>
    </xf>
    <xf numFmtId="0" fontId="0" fillId="11" borderId="33" xfId="0" applyFill="1" applyBorder="1"/>
    <xf numFmtId="0" fontId="0" fillId="11" borderId="39" xfId="0" applyFill="1" applyBorder="1"/>
    <xf numFmtId="0" fontId="0" fillId="8" borderId="1" xfId="0" applyFill="1" applyBorder="1"/>
    <xf numFmtId="0" fontId="0" fillId="5" borderId="1" xfId="0" applyFill="1" applyBorder="1"/>
    <xf numFmtId="0" fontId="0" fillId="8" borderId="10" xfId="0" applyFill="1" applyBorder="1"/>
    <xf numFmtId="0" fontId="0" fillId="12" borderId="10" xfId="0" applyFill="1" applyBorder="1"/>
    <xf numFmtId="0" fontId="0" fillId="8" borderId="27" xfId="0" applyFill="1" applyBorder="1" applyAlignment="1">
      <alignment wrapText="1"/>
    </xf>
    <xf numFmtId="0" fontId="0" fillId="8" borderId="28" xfId="0" applyFill="1" applyBorder="1" applyAlignment="1">
      <alignment wrapText="1"/>
    </xf>
    <xf numFmtId="0" fontId="0" fillId="8" borderId="30" xfId="0" applyFill="1" applyBorder="1"/>
    <xf numFmtId="0" fontId="0" fillId="5" borderId="30" xfId="0" applyFill="1" applyBorder="1"/>
    <xf numFmtId="0" fontId="0" fillId="12" borderId="40" xfId="0" applyFill="1" applyBorder="1"/>
    <xf numFmtId="0" fontId="4" fillId="2" borderId="41" xfId="0" applyFont="1" applyFill="1" applyBorder="1"/>
    <xf numFmtId="0" fontId="4" fillId="2" borderId="42" xfId="0" applyFont="1" applyFill="1" applyBorder="1"/>
    <xf numFmtId="165" fontId="4" fillId="2" borderId="42" xfId="1" applyNumberFormat="1" applyFont="1" applyFill="1" applyBorder="1"/>
    <xf numFmtId="165" fontId="4" fillId="2" borderId="43" xfId="1" applyNumberFormat="1" applyFont="1" applyFill="1" applyBorder="1"/>
    <xf numFmtId="165" fontId="8" fillId="0" borderId="1" xfId="1" applyNumberFormat="1" applyFont="1" applyBorder="1"/>
    <xf numFmtId="165" fontId="2" fillId="0" borderId="0" xfId="0" applyNumberFormat="1" applyFont="1"/>
    <xf numFmtId="1" fontId="0" fillId="0" borderId="8" xfId="0" applyNumberFormat="1" applyBorder="1"/>
    <xf numFmtId="0" fontId="0" fillId="0" borderId="44" xfId="0" applyBorder="1"/>
    <xf numFmtId="0" fontId="0" fillId="0" borderId="34" xfId="0" applyBorder="1"/>
    <xf numFmtId="0" fontId="0" fillId="0" borderId="45" xfId="0" applyBorder="1"/>
    <xf numFmtId="0" fontId="0" fillId="0" borderId="46" xfId="0" applyBorder="1"/>
    <xf numFmtId="0" fontId="3" fillId="0" borderId="39" xfId="0" applyFont="1" applyFill="1" applyBorder="1"/>
    <xf numFmtId="0" fontId="0" fillId="0" borderId="0" xfId="0" applyFill="1" applyBorder="1"/>
    <xf numFmtId="0" fontId="8" fillId="0" borderId="0" xfId="0" applyFont="1" applyBorder="1"/>
    <xf numFmtId="0" fontId="8" fillId="0" borderId="0" xfId="0" applyFont="1"/>
    <xf numFmtId="0" fontId="8" fillId="0" borderId="13" xfId="0" applyFont="1" applyBorder="1"/>
    <xf numFmtId="0" fontId="8" fillId="0" borderId="3" xfId="0" applyFont="1" applyBorder="1"/>
    <xf numFmtId="0" fontId="18" fillId="0" borderId="50" xfId="0" applyFont="1" applyBorder="1"/>
    <xf numFmtId="165" fontId="18" fillId="0" borderId="30" xfId="1" applyNumberFormat="1" applyFon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5" xfId="0" applyBorder="1" applyAlignment="1">
      <alignment vertical="center"/>
    </xf>
    <xf numFmtId="0" fontId="8" fillId="0" borderId="47" xfId="0" applyFont="1" applyBorder="1"/>
    <xf numFmtId="0" fontId="0" fillId="0" borderId="0" xfId="0" applyBorder="1" applyAlignment="1">
      <alignment vertical="center"/>
    </xf>
    <xf numFmtId="0" fontId="2" fillId="0" borderId="0" xfId="0" applyFont="1" applyBorder="1"/>
    <xf numFmtId="0" fontId="17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8" fillId="0" borderId="0" xfId="0" applyFont="1" applyFill="1" applyBorder="1"/>
    <xf numFmtId="165" fontId="18" fillId="0" borderId="0" xfId="0" applyNumberFormat="1" applyFont="1" applyFill="1" applyBorder="1"/>
    <xf numFmtId="0" fontId="0" fillId="0" borderId="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165" fontId="8" fillId="0" borderId="31" xfId="1" applyNumberFormat="1" applyFont="1" applyBorder="1"/>
    <xf numFmtId="0" fontId="18" fillId="13" borderId="3" xfId="0" applyFont="1" applyFill="1" applyBorder="1"/>
    <xf numFmtId="0" fontId="18" fillId="13" borderId="14" xfId="0" applyFont="1" applyFill="1" applyBorder="1"/>
    <xf numFmtId="0" fontId="8" fillId="13" borderId="13" xfId="0" applyFont="1" applyFill="1" applyBorder="1"/>
    <xf numFmtId="165" fontId="8" fillId="13" borderId="31" xfId="1" applyNumberFormat="1" applyFont="1" applyFill="1" applyBorder="1"/>
    <xf numFmtId="0" fontId="0" fillId="6" borderId="1" xfId="0" applyFill="1" applyBorder="1" applyAlignment="1">
      <alignment wrapText="1"/>
    </xf>
    <xf numFmtId="0" fontId="0" fillId="0" borderId="0" xfId="0" applyFill="1" applyBorder="1" applyAlignment="1">
      <alignment vertical="center" wrapText="1"/>
    </xf>
    <xf numFmtId="165" fontId="8" fillId="0" borderId="0" xfId="0" applyNumberFormat="1" applyFont="1" applyFill="1"/>
    <xf numFmtId="0" fontId="0" fillId="14" borderId="1" xfId="0" applyFill="1" applyBorder="1" applyAlignment="1">
      <alignment wrapText="1"/>
    </xf>
    <xf numFmtId="0" fontId="14" fillId="8" borderId="0" xfId="0" applyFont="1" applyFill="1" applyAlignment="1">
      <alignment horizontal="center"/>
    </xf>
    <xf numFmtId="0" fontId="14" fillId="8" borderId="0" xfId="0" applyFont="1" applyFill="1" applyAlignment="1">
      <alignment wrapText="1"/>
    </xf>
    <xf numFmtId="0" fontId="14" fillId="0" borderId="36" xfId="0" applyFont="1" applyFill="1" applyBorder="1" applyAlignment="1">
      <alignment wrapText="1"/>
    </xf>
    <xf numFmtId="0" fontId="14" fillId="0" borderId="16" xfId="0" applyFont="1" applyFill="1" applyBorder="1"/>
    <xf numFmtId="0" fontId="14" fillId="0" borderId="15" xfId="0" applyFont="1" applyFill="1" applyBorder="1"/>
    <xf numFmtId="165" fontId="14" fillId="0" borderId="5" xfId="0" applyNumberFormat="1" applyFont="1" applyFill="1" applyBorder="1" applyAlignment="1">
      <alignment wrapText="1"/>
    </xf>
    <xf numFmtId="0" fontId="14" fillId="0" borderId="9" xfId="0" applyFont="1" applyFill="1" applyBorder="1" applyAlignment="1">
      <alignment wrapText="1"/>
    </xf>
    <xf numFmtId="0" fontId="15" fillId="0" borderId="38" xfId="0" applyFont="1" applyFill="1" applyBorder="1" applyAlignment="1">
      <alignment wrapText="1"/>
    </xf>
    <xf numFmtId="165" fontId="15" fillId="0" borderId="38" xfId="0" applyNumberFormat="1" applyFont="1" applyFill="1" applyBorder="1" applyAlignment="1">
      <alignment wrapText="1"/>
    </xf>
    <xf numFmtId="165" fontId="14" fillId="0" borderId="9" xfId="1" applyNumberFormat="1" applyFont="1" applyFill="1" applyBorder="1" applyAlignment="1">
      <alignment wrapText="1"/>
    </xf>
    <xf numFmtId="165" fontId="15" fillId="0" borderId="9" xfId="1" applyNumberFormat="1" applyFont="1" applyFill="1" applyBorder="1" applyAlignment="1">
      <alignment wrapText="1"/>
    </xf>
    <xf numFmtId="1" fontId="0" fillId="8" borderId="28" xfId="0" applyNumberFormat="1" applyFill="1" applyBorder="1" applyAlignment="1">
      <alignment wrapText="1"/>
    </xf>
    <xf numFmtId="165" fontId="0" fillId="8" borderId="0" xfId="0" applyNumberFormat="1" applyFill="1"/>
    <xf numFmtId="0" fontId="8" fillId="0" borderId="1" xfId="0" applyFont="1" applyBorder="1"/>
    <xf numFmtId="9" fontId="0" fillId="0" borderId="0" xfId="2" applyFont="1" applyFill="1"/>
    <xf numFmtId="165" fontId="2" fillId="0" borderId="0" xfId="0" applyNumberFormat="1" applyFont="1" applyBorder="1"/>
    <xf numFmtId="165" fontId="2" fillId="0" borderId="0" xfId="1" applyNumberFormat="1" applyFont="1" applyBorder="1"/>
    <xf numFmtId="165" fontId="0" fillId="0" borderId="0" xfId="1" applyNumberFormat="1" applyFont="1" applyFill="1"/>
    <xf numFmtId="0" fontId="0" fillId="0" borderId="1" xfId="0" applyBorder="1" applyAlignment="1">
      <alignment wrapText="1"/>
    </xf>
    <xf numFmtId="164" fontId="0" fillId="0" borderId="0" xfId="0" applyNumberFormat="1" applyBorder="1"/>
    <xf numFmtId="0" fontId="0" fillId="0" borderId="52" xfId="0" applyBorder="1"/>
    <xf numFmtId="164" fontId="0" fillId="0" borderId="6" xfId="0" applyNumberFormat="1" applyBorder="1"/>
    <xf numFmtId="0" fontId="3" fillId="0" borderId="27" xfId="0" applyFont="1" applyBorder="1"/>
    <xf numFmtId="0" fontId="0" fillId="0" borderId="53" xfId="0" applyBorder="1"/>
    <xf numFmtId="0" fontId="0" fillId="0" borderId="18" xfId="0" applyBorder="1"/>
    <xf numFmtId="0" fontId="0" fillId="0" borderId="9" xfId="0" applyBorder="1"/>
    <xf numFmtId="0" fontId="0" fillId="0" borderId="54" xfId="0" applyBorder="1"/>
    <xf numFmtId="0" fontId="0" fillId="0" borderId="12" xfId="0" applyBorder="1"/>
    <xf numFmtId="0" fontId="0" fillId="0" borderId="51" xfId="0" applyBorder="1"/>
    <xf numFmtId="0" fontId="0" fillId="0" borderId="20" xfId="0" applyBorder="1"/>
    <xf numFmtId="165" fontId="0" fillId="0" borderId="21" xfId="1" applyNumberFormat="1" applyFont="1" applyFill="1" applyBorder="1"/>
    <xf numFmtId="165" fontId="0" fillId="0" borderId="22" xfId="1" applyNumberFormat="1" applyFont="1" applyFill="1" applyBorder="1"/>
    <xf numFmtId="0" fontId="0" fillId="0" borderId="21" xfId="0" applyFill="1" applyBorder="1"/>
    <xf numFmtId="0" fontId="0" fillId="0" borderId="22" xfId="0" applyFill="1" applyBorder="1"/>
    <xf numFmtId="165" fontId="0" fillId="0" borderId="21" xfId="1" applyNumberFormat="1" applyFont="1" applyBorder="1"/>
    <xf numFmtId="43" fontId="0" fillId="0" borderId="21" xfId="0" applyNumberFormat="1" applyBorder="1"/>
    <xf numFmtId="43" fontId="0" fillId="0" borderId="22" xfId="0" applyNumberFormat="1" applyBorder="1"/>
    <xf numFmtId="165" fontId="0" fillId="0" borderId="21" xfId="0" applyNumberFormat="1" applyBorder="1"/>
    <xf numFmtId="165" fontId="9" fillId="0" borderId="23" xfId="0" applyNumberFormat="1" applyFont="1" applyBorder="1"/>
    <xf numFmtId="165" fontId="0" fillId="0" borderId="23" xfId="0" applyNumberFormat="1" applyFill="1" applyBorder="1"/>
    <xf numFmtId="165" fontId="0" fillId="0" borderId="25" xfId="0" applyNumberFormat="1" applyFill="1" applyBorder="1"/>
    <xf numFmtId="0" fontId="0" fillId="0" borderId="29" xfId="0" applyBorder="1"/>
    <xf numFmtId="0" fontId="0" fillId="0" borderId="17" xfId="0" applyBorder="1" applyAlignment="1">
      <alignment horizontal="center"/>
    </xf>
    <xf numFmtId="0" fontId="9" fillId="0" borderId="0" xfId="0" applyFont="1" applyAlignment="1">
      <alignment wrapText="1"/>
    </xf>
    <xf numFmtId="43" fontId="2" fillId="0" borderId="0" xfId="0" applyNumberFormat="1" applyFont="1"/>
    <xf numFmtId="165" fontId="8" fillId="0" borderId="42" xfId="1" applyNumberFormat="1" applyFont="1" applyFill="1" applyBorder="1"/>
    <xf numFmtId="0" fontId="0" fillId="3" borderId="1" xfId="0" applyFill="1" applyBorder="1" applyAlignment="1">
      <alignment wrapText="1"/>
    </xf>
    <xf numFmtId="0" fontId="20" fillId="0" borderId="4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165" fontId="21" fillId="0" borderId="5" xfId="1" applyNumberFormat="1" applyFont="1" applyBorder="1"/>
    <xf numFmtId="165" fontId="21" fillId="13" borderId="5" xfId="1" applyNumberFormat="1" applyFont="1" applyFill="1" applyBorder="1"/>
    <xf numFmtId="165" fontId="21" fillId="0" borderId="7" xfId="1" applyNumberFormat="1" applyFont="1" applyBorder="1"/>
    <xf numFmtId="165" fontId="21" fillId="0" borderId="49" xfId="1" applyNumberFormat="1" applyFont="1" applyBorder="1"/>
    <xf numFmtId="0" fontId="22" fillId="0" borderId="4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165" fontId="23" fillId="0" borderId="43" xfId="1" applyNumberFormat="1" applyFont="1" applyBorder="1"/>
    <xf numFmtId="165" fontId="23" fillId="0" borderId="5" xfId="1" applyNumberFormat="1" applyFont="1" applyBorder="1"/>
    <xf numFmtId="165" fontId="23" fillId="13" borderId="5" xfId="1" applyNumberFormat="1" applyFont="1" applyFill="1" applyBorder="1"/>
    <xf numFmtId="165" fontId="23" fillId="0" borderId="7" xfId="1" applyNumberFormat="1" applyFont="1" applyBorder="1"/>
    <xf numFmtId="165" fontId="23" fillId="0" borderId="49" xfId="1" applyNumberFormat="1" applyFont="1" applyBorder="1"/>
    <xf numFmtId="0" fontId="19" fillId="0" borderId="43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165" fontId="24" fillId="0" borderId="43" xfId="1" applyNumberFormat="1" applyFont="1" applyBorder="1"/>
    <xf numFmtId="165" fontId="24" fillId="0" borderId="5" xfId="1" applyNumberFormat="1" applyFont="1" applyBorder="1"/>
    <xf numFmtId="165" fontId="24" fillId="13" borderId="5" xfId="1" applyNumberFormat="1" applyFont="1" applyFill="1" applyBorder="1"/>
    <xf numFmtId="165" fontId="24" fillId="0" borderId="7" xfId="1" applyNumberFormat="1" applyFont="1" applyBorder="1"/>
    <xf numFmtId="165" fontId="24" fillId="0" borderId="49" xfId="1" applyNumberFormat="1" applyFont="1" applyBorder="1"/>
    <xf numFmtId="165" fontId="8" fillId="0" borderId="55" xfId="1" applyNumberFormat="1" applyFont="1" applyBorder="1"/>
    <xf numFmtId="165" fontId="21" fillId="0" borderId="56" xfId="1" applyNumberFormat="1" applyFont="1" applyBorder="1"/>
    <xf numFmtId="0" fontId="17" fillId="0" borderId="48" xfId="0" applyFont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165" fontId="8" fillId="0" borderId="48" xfId="1" applyNumberFormat="1" applyFont="1" applyBorder="1" applyAlignment="1">
      <alignment horizontal="right"/>
    </xf>
    <xf numFmtId="165" fontId="8" fillId="13" borderId="55" xfId="1" applyNumberFormat="1" applyFont="1" applyFill="1" applyBorder="1"/>
    <xf numFmtId="165" fontId="8" fillId="0" borderId="10" xfId="1" applyNumberFormat="1" applyFont="1" applyBorder="1"/>
    <xf numFmtId="165" fontId="18" fillId="0" borderId="40" xfId="1" applyNumberFormat="1" applyFont="1" applyBorder="1"/>
    <xf numFmtId="165" fontId="21" fillId="13" borderId="56" xfId="1" applyNumberFormat="1" applyFont="1" applyFill="1" applyBorder="1"/>
    <xf numFmtId="165" fontId="21" fillId="0" borderId="53" xfId="1" applyNumberFormat="1" applyFont="1" applyBorder="1"/>
    <xf numFmtId="165" fontId="21" fillId="0" borderId="58" xfId="1" applyNumberFormat="1" applyFont="1" applyBorder="1"/>
    <xf numFmtId="165" fontId="9" fillId="0" borderId="0" xfId="0" applyNumberFormat="1" applyFont="1"/>
    <xf numFmtId="165" fontId="0" fillId="0" borderId="0" xfId="0" applyNumberFormat="1" applyFill="1"/>
    <xf numFmtId="3" fontId="9" fillId="0" borderId="0" xfId="0" applyNumberFormat="1" applyFont="1" applyBorder="1"/>
    <xf numFmtId="3" fontId="0" fillId="0" borderId="0" xfId="0" applyNumberFormat="1" applyFont="1" applyBorder="1"/>
    <xf numFmtId="0" fontId="0" fillId="0" borderId="1" xfId="0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7" fontId="0" fillId="0" borderId="0" xfId="1" applyNumberFormat="1" applyFont="1"/>
    <xf numFmtId="168" fontId="0" fillId="0" borderId="0" xfId="0" applyNumberFormat="1"/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4" xfId="0" applyFont="1" applyBorder="1"/>
    <xf numFmtId="165" fontId="2" fillId="0" borderId="7" xfId="1" applyNumberFormat="1" applyFont="1" applyBorder="1"/>
    <xf numFmtId="165" fontId="0" fillId="0" borderId="32" xfId="0" applyNumberFormat="1" applyBorder="1"/>
    <xf numFmtId="165" fontId="0" fillId="0" borderId="9" xfId="0" applyNumberFormat="1" applyBorder="1"/>
    <xf numFmtId="165" fontId="2" fillId="0" borderId="7" xfId="0" applyNumberFormat="1" applyFont="1" applyBorder="1"/>
    <xf numFmtId="165" fontId="8" fillId="0" borderId="9" xfId="0" applyNumberFormat="1" applyFont="1" applyBorder="1"/>
    <xf numFmtId="0" fontId="4" fillId="0" borderId="28" xfId="0" applyFont="1" applyBorder="1"/>
    <xf numFmtId="0" fontId="4" fillId="0" borderId="37" xfId="0" applyFont="1" applyBorder="1"/>
    <xf numFmtId="0" fontId="4" fillId="0" borderId="38" xfId="0" applyFont="1" applyBorder="1"/>
    <xf numFmtId="0" fontId="0" fillId="0" borderId="56" xfId="0" applyBorder="1"/>
    <xf numFmtId="164" fontId="0" fillId="0" borderId="5" xfId="0" applyNumberFormat="1" applyBorder="1"/>
    <xf numFmtId="0" fontId="0" fillId="0" borderId="57" xfId="0" applyBorder="1"/>
    <xf numFmtId="164" fontId="0" fillId="0" borderId="12" xfId="0" applyNumberFormat="1" applyBorder="1"/>
    <xf numFmtId="164" fontId="0" fillId="0" borderId="52" xfId="0" applyNumberFormat="1" applyBorder="1"/>
    <xf numFmtId="164" fontId="0" fillId="0" borderId="54" xfId="0" applyNumberFormat="1" applyBorder="1"/>
    <xf numFmtId="164" fontId="0" fillId="0" borderId="56" xfId="0" applyNumberFormat="1" applyBorder="1"/>
    <xf numFmtId="164" fontId="0" fillId="0" borderId="53" xfId="0" applyNumberFormat="1" applyBorder="1"/>
    <xf numFmtId="164" fontId="0" fillId="0" borderId="57" xfId="0" applyNumberFormat="1" applyBorder="1"/>
    <xf numFmtId="43" fontId="0" fillId="0" borderId="0" xfId="0" applyNumberFormat="1" applyBorder="1"/>
    <xf numFmtId="0" fontId="0" fillId="0" borderId="33" xfId="0" applyFill="1" applyBorder="1"/>
    <xf numFmtId="0" fontId="0" fillId="0" borderId="33" xfId="0" applyBorder="1"/>
    <xf numFmtId="165" fontId="16" fillId="0" borderId="1" xfId="1" applyNumberFormat="1" applyFont="1" applyBorder="1"/>
    <xf numFmtId="0" fontId="0" fillId="0" borderId="18" xfId="0" applyBorder="1" applyAlignment="1"/>
    <xf numFmtId="0" fontId="0" fillId="0" borderId="27" xfId="0" applyBorder="1" applyAlignment="1"/>
    <xf numFmtId="165" fontId="0" fillId="0" borderId="28" xfId="1" applyNumberFormat="1" applyFont="1" applyFill="1" applyBorder="1"/>
    <xf numFmtId="0" fontId="0" fillId="0" borderId="28" xfId="0" applyFill="1" applyBorder="1"/>
    <xf numFmtId="165" fontId="0" fillId="0" borderId="29" xfId="0" applyNumberFormat="1" applyFill="1" applyBorder="1"/>
    <xf numFmtId="165" fontId="0" fillId="0" borderId="28" xfId="1" applyNumberFormat="1" applyFont="1" applyBorder="1"/>
    <xf numFmtId="43" fontId="0" fillId="0" borderId="28" xfId="0" applyNumberFormat="1" applyBorder="1"/>
    <xf numFmtId="165" fontId="0" fillId="0" borderId="28" xfId="0" applyNumberFormat="1" applyBorder="1"/>
    <xf numFmtId="165" fontId="9" fillId="0" borderId="29" xfId="0" applyNumberFormat="1" applyFont="1" applyBorder="1"/>
    <xf numFmtId="165" fontId="9" fillId="0" borderId="0" xfId="1" applyNumberFormat="1" applyFont="1"/>
    <xf numFmtId="165" fontId="25" fillId="0" borderId="0" xfId="1" applyNumberFormat="1" applyFont="1"/>
    <xf numFmtId="3" fontId="3" fillId="0" borderId="0" xfId="0" applyNumberFormat="1" applyFont="1" applyBorder="1"/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9" fillId="0" borderId="22" xfId="0" applyNumberFormat="1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3" fontId="0" fillId="0" borderId="0" xfId="0" applyNumberFormat="1" applyFont="1" applyBorder="1" applyAlignment="1">
      <alignment horizontal="center" vertical="center"/>
    </xf>
    <xf numFmtId="3" fontId="0" fillId="0" borderId="22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26" fillId="0" borderId="0" xfId="0" applyFont="1" applyBorder="1" applyAlignment="1">
      <alignment horizontal="justify" vertical="center"/>
    </xf>
    <xf numFmtId="0" fontId="27" fillId="0" borderId="0" xfId="0" applyFont="1" applyBorder="1" applyAlignment="1">
      <alignment horizontal="justify" vertical="center"/>
    </xf>
    <xf numFmtId="0" fontId="27" fillId="15" borderId="1" xfId="0" applyFont="1" applyFill="1" applyBorder="1" applyAlignment="1">
      <alignment horizontal="justify" vertical="center"/>
    </xf>
    <xf numFmtId="0" fontId="28" fillId="15" borderId="1" xfId="0" applyFont="1" applyFill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15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9" fontId="0" fillId="0" borderId="1" xfId="0" applyNumberFormat="1" applyFill="1" applyBorder="1"/>
    <xf numFmtId="165" fontId="0" fillId="0" borderId="1" xfId="1" applyNumberFormat="1" applyFont="1" applyFill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0" xfId="0" applyFill="1" applyBorder="1" applyAlignment="1">
      <alignment horizontal="center" vertical="center"/>
    </xf>
    <xf numFmtId="3" fontId="0" fillId="0" borderId="60" xfId="0" applyNumberFormat="1" applyBorder="1"/>
    <xf numFmtId="3" fontId="0" fillId="0" borderId="50" xfId="0" applyNumberFormat="1" applyBorder="1"/>
    <xf numFmtId="0" fontId="0" fillId="0" borderId="46" xfId="0" applyFill="1" applyBorder="1" applyAlignment="1">
      <alignment horizontal="center" vertical="center"/>
    </xf>
    <xf numFmtId="3" fontId="0" fillId="0" borderId="59" xfId="0" applyNumberFormat="1" applyBorder="1"/>
    <xf numFmtId="3" fontId="0" fillId="0" borderId="45" xfId="0" applyNumberFormat="1" applyBorder="1"/>
    <xf numFmtId="43" fontId="2" fillId="0" borderId="0" xfId="1" applyFont="1" applyBorder="1"/>
    <xf numFmtId="0" fontId="0" fillId="0" borderId="13" xfId="0" applyBorder="1"/>
    <xf numFmtId="1" fontId="0" fillId="0" borderId="3" xfId="0" applyNumberFormat="1" applyBorder="1"/>
    <xf numFmtId="0" fontId="0" fillId="0" borderId="3" xfId="0" applyBorder="1"/>
    <xf numFmtId="0" fontId="0" fillId="0" borderId="14" xfId="0" applyBorder="1"/>
    <xf numFmtId="164" fontId="0" fillId="0" borderId="62" xfId="0" applyNumberFormat="1" applyBorder="1"/>
    <xf numFmtId="164" fontId="0" fillId="0" borderId="49" xfId="0" applyNumberFormat="1" applyBorder="1"/>
    <xf numFmtId="164" fontId="0" fillId="0" borderId="8" xfId="0" applyNumberFormat="1" applyBorder="1"/>
    <xf numFmtId="165" fontId="0" fillId="0" borderId="0" xfId="1" applyNumberFormat="1" applyFont="1" applyAlignment="1">
      <alignment wrapText="1"/>
    </xf>
    <xf numFmtId="165" fontId="7" fillId="0" borderId="15" xfId="1" applyNumberFormat="1" applyFont="1" applyBorder="1" applyAlignment="1">
      <alignment horizontal="justify" vertical="center" wrapText="1"/>
    </xf>
    <xf numFmtId="165" fontId="7" fillId="0" borderId="29" xfId="1" applyNumberFormat="1" applyFont="1" applyBorder="1" applyAlignment="1">
      <alignment horizontal="justify" vertical="center" wrapText="1"/>
    </xf>
    <xf numFmtId="165" fontId="7" fillId="0" borderId="23" xfId="1" applyNumberFormat="1" applyFont="1" applyBorder="1" applyAlignment="1">
      <alignment horizontal="justify" vertical="center" wrapText="1"/>
    </xf>
    <xf numFmtId="165" fontId="0" fillId="0" borderId="0" xfId="1" applyNumberFormat="1" applyFont="1" applyAlignment="1"/>
    <xf numFmtId="165" fontId="8" fillId="0" borderId="42" xfId="1" applyNumberFormat="1" applyFont="1" applyBorder="1"/>
    <xf numFmtId="165" fontId="21" fillId="0" borderId="15" xfId="1" applyNumberFormat="1" applyFont="1" applyBorder="1"/>
    <xf numFmtId="165" fontId="2" fillId="0" borderId="0" xfId="1" applyNumberFormat="1" applyFont="1" applyBorder="1" applyAlignment="1">
      <alignment horizontal="right"/>
    </xf>
    <xf numFmtId="165" fontId="21" fillId="0" borderId="0" xfId="1" applyNumberFormat="1" applyFont="1" applyBorder="1"/>
    <xf numFmtId="165" fontId="23" fillId="0" borderId="0" xfId="1" applyNumberFormat="1" applyFont="1" applyBorder="1"/>
    <xf numFmtId="165" fontId="24" fillId="0" borderId="0" xfId="1" applyNumberFormat="1" applyFont="1" applyBorder="1"/>
    <xf numFmtId="165" fontId="18" fillId="13" borderId="1" xfId="1" applyNumberFormat="1" applyFont="1" applyFill="1" applyBorder="1"/>
    <xf numFmtId="165" fontId="18" fillId="13" borderId="10" xfId="1" applyNumberFormat="1" applyFont="1" applyFill="1" applyBorder="1"/>
    <xf numFmtId="165" fontId="21" fillId="13" borderId="53" xfId="1" applyNumberFormat="1" applyFont="1" applyFill="1" applyBorder="1"/>
    <xf numFmtId="165" fontId="23" fillId="13" borderId="7" xfId="1" applyNumberFormat="1" applyFont="1" applyFill="1" applyBorder="1"/>
    <xf numFmtId="165" fontId="24" fillId="13" borderId="7" xfId="1" applyNumberFormat="1" applyFont="1" applyFill="1" applyBorder="1"/>
    <xf numFmtId="165" fontId="21" fillId="13" borderId="7" xfId="1" applyNumberFormat="1" applyFont="1" applyFill="1" applyBorder="1"/>
    <xf numFmtId="165" fontId="18" fillId="13" borderId="32" xfId="1" applyNumberFormat="1" applyFont="1" applyFill="1" applyBorder="1"/>
    <xf numFmtId="165" fontId="18" fillId="13" borderId="11" xfId="1" applyNumberFormat="1" applyFont="1" applyFill="1" applyBorder="1"/>
    <xf numFmtId="165" fontId="21" fillId="13" borderId="57" xfId="1" applyNumberFormat="1" applyFont="1" applyFill="1" applyBorder="1"/>
    <xf numFmtId="165" fontId="23" fillId="13" borderId="9" xfId="1" applyNumberFormat="1" applyFont="1" applyFill="1" applyBorder="1"/>
    <xf numFmtId="165" fontId="24" fillId="13" borderId="9" xfId="1" applyNumberFormat="1" applyFont="1" applyFill="1" applyBorder="1"/>
    <xf numFmtId="165" fontId="21" fillId="13" borderId="9" xfId="1" applyNumberFormat="1" applyFont="1" applyFill="1" applyBorder="1"/>
    <xf numFmtId="165" fontId="18" fillId="0" borderId="0" xfId="1" applyNumberFormat="1" applyFont="1" applyFill="1" applyBorder="1"/>
    <xf numFmtId="165" fontId="21" fillId="0" borderId="0" xfId="1" applyNumberFormat="1" applyFont="1" applyFill="1" applyBorder="1"/>
    <xf numFmtId="165" fontId="23" fillId="0" borderId="0" xfId="1" applyNumberFormat="1" applyFont="1" applyFill="1" applyBorder="1"/>
    <xf numFmtId="165" fontId="24" fillId="0" borderId="0" xfId="1" applyNumberFormat="1" applyFont="1" applyFill="1" applyBorder="1"/>
    <xf numFmtId="165" fontId="9" fillId="0" borderId="0" xfId="1" applyNumberFormat="1" applyFont="1" applyAlignment="1">
      <alignment horizontal="right" wrapText="1"/>
    </xf>
    <xf numFmtId="9" fontId="29" fillId="0" borderId="0" xfId="0" applyNumberFormat="1" applyFont="1"/>
    <xf numFmtId="0" fontId="30" fillId="0" borderId="1" xfId="0" applyFont="1" applyFill="1" applyBorder="1" applyAlignment="1">
      <alignment horizontal="center" wrapText="1"/>
    </xf>
    <xf numFmtId="3" fontId="31" fillId="0" borderId="1" xfId="0" applyNumberFormat="1" applyFont="1" applyFill="1" applyBorder="1" applyAlignment="1">
      <alignment horizontal="center"/>
    </xf>
    <xf numFmtId="0" fontId="30" fillId="0" borderId="33" xfId="0" applyFont="1" applyFill="1" applyBorder="1" applyAlignment="1">
      <alignment horizontal="center" wrapText="1"/>
    </xf>
    <xf numFmtId="0" fontId="30" fillId="0" borderId="44" xfId="0" applyFont="1" applyFill="1" applyBorder="1" applyAlignment="1">
      <alignment horizontal="center" wrapText="1"/>
    </xf>
    <xf numFmtId="0" fontId="30" fillId="0" borderId="34" xfId="0" applyFont="1" applyFill="1" applyBorder="1" applyAlignment="1">
      <alignment horizontal="center" wrapText="1"/>
    </xf>
    <xf numFmtId="0" fontId="31" fillId="0" borderId="6" xfId="0" applyFont="1" applyFill="1" applyBorder="1" applyAlignment="1">
      <alignment horizontal="center" vertical="center" wrapText="1"/>
    </xf>
    <xf numFmtId="3" fontId="31" fillId="0" borderId="7" xfId="0" applyNumberFormat="1" applyFont="1" applyFill="1" applyBorder="1" applyAlignment="1">
      <alignment horizontal="center"/>
    </xf>
    <xf numFmtId="0" fontId="31" fillId="0" borderId="62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wrapText="1"/>
    </xf>
    <xf numFmtId="0" fontId="30" fillId="0" borderId="7" xfId="0" applyFont="1" applyFill="1" applyBorder="1" applyAlignment="1">
      <alignment horizontal="center" wrapText="1"/>
    </xf>
    <xf numFmtId="0" fontId="31" fillId="0" borderId="8" xfId="0" applyFont="1" applyFill="1" applyBorder="1" applyAlignment="1">
      <alignment horizontal="center" vertical="center" wrapText="1"/>
    </xf>
    <xf numFmtId="3" fontId="31" fillId="0" borderId="32" xfId="0" applyNumberFormat="1" applyFont="1" applyFill="1" applyBorder="1" applyAlignment="1">
      <alignment horizontal="center"/>
    </xf>
    <xf numFmtId="3" fontId="31" fillId="0" borderId="9" xfId="0" applyNumberFormat="1" applyFont="1" applyFill="1" applyBorder="1" applyAlignment="1">
      <alignment horizontal="center"/>
    </xf>
    <xf numFmtId="9" fontId="30" fillId="0" borderId="23" xfId="0" applyNumberFormat="1" applyFont="1" applyBorder="1" applyAlignment="1">
      <alignment horizontal="center" vertical="center" readingOrder="1"/>
    </xf>
    <xf numFmtId="0" fontId="31" fillId="0" borderId="29" xfId="0" applyFont="1" applyBorder="1" applyAlignment="1">
      <alignment horizontal="center" vertical="center" readingOrder="1"/>
    </xf>
    <xf numFmtId="0" fontId="31" fillId="0" borderId="23" xfId="0" applyFont="1" applyBorder="1" applyAlignment="1">
      <alignment horizontal="center" vertical="center" readingOrder="2"/>
    </xf>
    <xf numFmtId="0" fontId="31" fillId="0" borderId="23" xfId="0" applyFont="1" applyBorder="1" applyAlignment="1">
      <alignment horizontal="center" vertical="center" readingOrder="1"/>
    </xf>
    <xf numFmtId="0" fontId="31" fillId="0" borderId="29" xfId="0" applyFont="1" applyBorder="1" applyAlignment="1">
      <alignment horizontal="center" vertical="center" readingOrder="2"/>
    </xf>
    <xf numFmtId="3" fontId="31" fillId="0" borderId="23" xfId="0" applyNumberFormat="1" applyFont="1" applyBorder="1" applyAlignment="1">
      <alignment horizontal="center" vertical="center" readingOrder="1"/>
    </xf>
    <xf numFmtId="0" fontId="31" fillId="0" borderId="23" xfId="0" applyFont="1" applyBorder="1" applyAlignment="1">
      <alignment horizontal="center" vertical="center" wrapText="1" readingOrder="2"/>
    </xf>
    <xf numFmtId="165" fontId="35" fillId="0" borderId="0" xfId="1" applyNumberFormat="1" applyFont="1"/>
    <xf numFmtId="0" fontId="0" fillId="0" borderId="27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7" borderId="17" xfId="0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5" fillId="9" borderId="27" xfId="0" applyFont="1" applyFill="1" applyBorder="1" applyAlignment="1">
      <alignment horizontal="center"/>
    </xf>
    <xf numFmtId="0" fontId="15" fillId="9" borderId="28" xfId="0" applyFont="1" applyFill="1" applyBorder="1" applyAlignment="1">
      <alignment horizontal="center"/>
    </xf>
    <xf numFmtId="0" fontId="15" fillId="9" borderId="29" xfId="0" applyFont="1" applyFill="1" applyBorder="1" applyAlignment="1">
      <alignment horizontal="center"/>
    </xf>
    <xf numFmtId="0" fontId="14" fillId="8" borderId="0" xfId="0" applyFont="1" applyFill="1" applyAlignment="1">
      <alignment horizontal="center"/>
    </xf>
    <xf numFmtId="0" fontId="15" fillId="10" borderId="27" xfId="0" applyFont="1" applyFill="1" applyBorder="1" applyAlignment="1">
      <alignment horizontal="center" wrapText="1"/>
    </xf>
    <xf numFmtId="0" fontId="15" fillId="10" borderId="28" xfId="0" applyFont="1" applyFill="1" applyBorder="1" applyAlignment="1">
      <alignment horizontal="center" wrapText="1"/>
    </xf>
    <xf numFmtId="0" fontId="15" fillId="10" borderId="29" xfId="0" applyFont="1" applyFill="1" applyBorder="1" applyAlignment="1">
      <alignment horizontal="center" wrapText="1"/>
    </xf>
    <xf numFmtId="0" fontId="14" fillId="8" borderId="0" xfId="0" applyFont="1" applyFill="1" applyAlignment="1">
      <alignment wrapText="1"/>
    </xf>
    <xf numFmtId="0" fontId="15" fillId="8" borderId="16" xfId="0" applyFont="1" applyFill="1" applyBorder="1" applyAlignment="1">
      <alignment horizontal="center"/>
    </xf>
    <xf numFmtId="0" fontId="15" fillId="8" borderId="26" xfId="0" applyFont="1" applyFill="1" applyBorder="1" applyAlignment="1">
      <alignment horizontal="center"/>
    </xf>
    <xf numFmtId="0" fontId="15" fillId="8" borderId="17" xfId="0" applyFont="1" applyFill="1" applyBorder="1" applyAlignment="1">
      <alignment horizontal="center"/>
    </xf>
    <xf numFmtId="0" fontId="0" fillId="8" borderId="27" xfId="0" applyFill="1" applyBorder="1" applyAlignment="1">
      <alignment horizontal="center" wrapText="1"/>
    </xf>
    <xf numFmtId="0" fontId="0" fillId="8" borderId="28" xfId="0" applyFill="1" applyBorder="1" applyAlignment="1">
      <alignment horizontal="center" wrapText="1"/>
    </xf>
    <xf numFmtId="0" fontId="0" fillId="8" borderId="29" xfId="0" applyFill="1" applyBorder="1" applyAlignment="1">
      <alignment horizontal="center" wrapText="1"/>
    </xf>
    <xf numFmtId="0" fontId="4" fillId="8" borderId="16" xfId="0" applyFont="1" applyFill="1" applyBorder="1" applyAlignment="1">
      <alignment horizontal="center"/>
    </xf>
    <xf numFmtId="0" fontId="4" fillId="8" borderId="17" xfId="0" applyFont="1" applyFill="1" applyBorder="1" applyAlignment="1">
      <alignment horizontal="center"/>
    </xf>
    <xf numFmtId="0" fontId="32" fillId="0" borderId="21" xfId="0" applyFont="1" applyBorder="1" applyAlignment="1">
      <alignment horizontal="center" wrapText="1"/>
    </xf>
    <xf numFmtId="0" fontId="32" fillId="0" borderId="0" xfId="0" applyFont="1" applyBorder="1" applyAlignment="1">
      <alignment horizontal="center" wrapText="1"/>
    </xf>
    <xf numFmtId="0" fontId="32" fillId="0" borderId="22" xfId="0" applyFont="1" applyBorder="1" applyAlignment="1">
      <alignment horizontal="center" wrapText="1"/>
    </xf>
    <xf numFmtId="0" fontId="32" fillId="0" borderId="18" xfId="0" applyFont="1" applyBorder="1" applyAlignment="1">
      <alignment horizontal="center" wrapText="1"/>
    </xf>
    <xf numFmtId="0" fontId="32" fillId="0" borderId="19" xfId="0" applyFont="1" applyBorder="1" applyAlignment="1">
      <alignment horizontal="center" wrapText="1"/>
    </xf>
    <xf numFmtId="0" fontId="32" fillId="0" borderId="20" xfId="0" applyFont="1" applyBorder="1" applyAlignment="1">
      <alignment horizontal="center" wrapText="1"/>
    </xf>
    <xf numFmtId="0" fontId="3" fillId="0" borderId="59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 readingOrder="2"/>
    </xf>
    <xf numFmtId="0" fontId="0" fillId="0" borderId="18" xfId="0" applyBorder="1" applyAlignment="1">
      <alignment horizontal="center" vertical="center"/>
    </xf>
    <xf numFmtId="9" fontId="30" fillId="0" borderId="29" xfId="0" applyNumberFormat="1" applyFont="1" applyBorder="1" applyAlignment="1">
      <alignment horizontal="center" vertical="center" readingOrder="1"/>
    </xf>
    <xf numFmtId="0" fontId="30" fillId="0" borderId="26" xfId="0" applyFont="1" applyBorder="1" applyAlignment="1">
      <alignment horizontal="center" vertical="center" readingOrder="1"/>
    </xf>
    <xf numFmtId="0" fontId="30" fillId="0" borderId="16" xfId="0" applyFont="1" applyBorder="1" applyAlignment="1">
      <alignment horizontal="center" vertical="center" readingOrder="1"/>
    </xf>
    <xf numFmtId="0" fontId="30" fillId="0" borderId="17" xfId="0" applyFont="1" applyBorder="1" applyAlignment="1">
      <alignment horizontal="center" vertical="center" readingOrder="1"/>
    </xf>
    <xf numFmtId="0" fontId="36" fillId="0" borderId="18" xfId="0" applyFont="1" applyBorder="1" applyAlignment="1">
      <alignment horizontal="center"/>
    </xf>
    <xf numFmtId="0" fontId="36" fillId="0" borderId="20" xfId="0" applyFont="1" applyBorder="1" applyAlignment="1">
      <alignment horizontal="center"/>
    </xf>
    <xf numFmtId="0" fontId="36" fillId="0" borderId="23" xfId="0" applyFont="1" applyBorder="1" applyAlignment="1">
      <alignment horizontal="center"/>
    </xf>
    <xf numFmtId="0" fontId="36" fillId="0" borderId="25" xfId="0" applyFont="1" applyBorder="1" applyAlignment="1">
      <alignment horizontal="center"/>
    </xf>
    <xf numFmtId="10" fontId="30" fillId="0" borderId="29" xfId="0" applyNumberFormat="1" applyFont="1" applyBorder="1" applyAlignment="1">
      <alignment horizontal="center" vertical="center" readingOrder="1"/>
    </xf>
    <xf numFmtId="3" fontId="31" fillId="0" borderId="29" xfId="0" applyNumberFormat="1" applyFont="1" applyBorder="1" applyAlignment="1">
      <alignment horizontal="center" vertical="center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1"/>
  <sheetViews>
    <sheetView rightToLeft="1" zoomScale="115" zoomScaleNormal="115" workbookViewId="0">
      <selection activeCell="C11" sqref="C11"/>
    </sheetView>
  </sheetViews>
  <sheetFormatPr defaultRowHeight="14.25" x14ac:dyDescent="0.2"/>
  <cols>
    <col min="1" max="1" width="2" customWidth="1"/>
    <col min="2" max="2" width="5" bestFit="1" customWidth="1"/>
    <col min="3" max="3" width="32.375" customWidth="1"/>
    <col min="4" max="4" width="7.625" customWidth="1"/>
    <col min="5" max="5" width="7.375" bestFit="1" customWidth="1"/>
    <col min="6" max="7" width="8.125" customWidth="1"/>
    <col min="8" max="8" width="9.125" bestFit="1" customWidth="1"/>
    <col min="9" max="9" width="8.875" customWidth="1"/>
    <col min="10" max="10" width="8.5" customWidth="1"/>
    <col min="11" max="12" width="9.125" bestFit="1" customWidth="1"/>
    <col min="13" max="13" width="3.75" customWidth="1"/>
    <col min="14" max="14" width="26.625" style="144" customWidth="1"/>
    <col min="15" max="15" width="11.75" bestFit="1" customWidth="1"/>
    <col min="16" max="16" width="18.25" style="144" bestFit="1" customWidth="1"/>
    <col min="17" max="17" width="8.25" customWidth="1"/>
  </cols>
  <sheetData>
    <row r="1" spans="2:17" ht="15" thickBot="1" x14ac:dyDescent="0.25">
      <c r="N1" s="209" t="s">
        <v>220</v>
      </c>
    </row>
    <row r="2" spans="2:17" s="143" customFormat="1" ht="74.25" customHeight="1" thickBot="1" x14ac:dyDescent="0.25">
      <c r="B2" s="154"/>
      <c r="C2" s="155" t="s">
        <v>173</v>
      </c>
      <c r="D2" s="156" t="s">
        <v>1</v>
      </c>
      <c r="E2" s="156" t="s">
        <v>187</v>
      </c>
      <c r="F2" s="235" t="s">
        <v>188</v>
      </c>
      <c r="G2" s="236" t="s">
        <v>217</v>
      </c>
      <c r="H2" s="219" t="s">
        <v>219</v>
      </c>
      <c r="I2" s="226" t="s">
        <v>216</v>
      </c>
      <c r="J2" s="213" t="s">
        <v>214</v>
      </c>
      <c r="K2" s="219" t="s">
        <v>215</v>
      </c>
      <c r="L2" s="226" t="s">
        <v>215</v>
      </c>
      <c r="N2" s="342"/>
      <c r="O2" s="156" t="s">
        <v>181</v>
      </c>
      <c r="P2" s="156" t="s">
        <v>182</v>
      </c>
      <c r="Q2" s="156" t="s">
        <v>19</v>
      </c>
    </row>
    <row r="3" spans="2:17" s="153" customFormat="1" ht="15.75" thickBot="1" x14ac:dyDescent="0.25">
      <c r="C3" s="149"/>
      <c r="D3" s="149"/>
      <c r="E3" s="149"/>
      <c r="F3" s="149"/>
      <c r="G3" s="214"/>
      <c r="H3" s="220"/>
      <c r="I3" s="227"/>
      <c r="J3" s="214"/>
      <c r="K3" s="220"/>
      <c r="L3" s="227"/>
      <c r="N3" s="343" t="s">
        <v>168</v>
      </c>
      <c r="O3" s="344">
        <f>+L4</f>
        <v>0</v>
      </c>
      <c r="P3" s="344"/>
      <c r="Q3" s="343">
        <f>O3+P3</f>
        <v>0</v>
      </c>
    </row>
    <row r="4" spans="2:17" ht="15" thickBot="1" x14ac:dyDescent="0.25">
      <c r="B4" s="145" t="s">
        <v>168</v>
      </c>
      <c r="C4" s="146" t="s">
        <v>167</v>
      </c>
      <c r="D4" s="346">
        <v>0</v>
      </c>
      <c r="E4" s="211">
        <f>IF(D27&lt;5,הון!$D$10,הון!$C$10)</f>
        <v>159.75</v>
      </c>
      <c r="F4" s="237">
        <f>IF(D27&lt;5,הון!$D$10,הון!$C$10)</f>
        <v>159.75</v>
      </c>
      <c r="G4" s="347">
        <f>E4-D4</f>
        <v>159.75</v>
      </c>
      <c r="H4" s="221">
        <f>+F4-D4</f>
        <v>159.75</v>
      </c>
      <c r="I4" s="228">
        <f>+E4-F4</f>
        <v>0</v>
      </c>
      <c r="J4" s="347">
        <f>+G4</f>
        <v>159.75</v>
      </c>
      <c r="K4" s="221">
        <f>+H4</f>
        <v>159.75</v>
      </c>
      <c r="L4" s="228">
        <f>+I4</f>
        <v>0</v>
      </c>
      <c r="N4" s="343" t="s">
        <v>162</v>
      </c>
      <c r="O4" s="344">
        <f>+L8</f>
        <v>-144.08769784800222</v>
      </c>
      <c r="P4" s="344">
        <f>L9+L11</f>
        <v>-227.76525328289432</v>
      </c>
      <c r="Q4" s="343">
        <f>O4+P4</f>
        <v>-371.85295113089654</v>
      </c>
    </row>
    <row r="5" spans="2:17" s="19" customFormat="1" ht="15" thickBot="1" x14ac:dyDescent="0.25">
      <c r="B5" s="147"/>
      <c r="C5" s="137"/>
      <c r="D5" s="182"/>
      <c r="E5" s="182"/>
      <c r="F5" s="348"/>
      <c r="G5" s="349"/>
      <c r="H5" s="350"/>
      <c r="I5" s="351"/>
      <c r="J5" s="349"/>
      <c r="K5" s="350"/>
      <c r="L5" s="351"/>
      <c r="N5" s="343" t="s">
        <v>172</v>
      </c>
      <c r="O5" s="344">
        <f>L14+I20</f>
        <v>3814.2381306256784</v>
      </c>
      <c r="P5" s="344">
        <f>L17+L15</f>
        <v>223.63390984240129</v>
      </c>
      <c r="Q5" s="343">
        <f>O5+P5</f>
        <v>4037.8720404680798</v>
      </c>
    </row>
    <row r="6" spans="2:17" ht="15.75" customHeight="1" thickBot="1" x14ac:dyDescent="0.25">
      <c r="B6" s="394" t="s">
        <v>162</v>
      </c>
      <c r="C6" s="139" t="s">
        <v>174</v>
      </c>
      <c r="D6" s="157">
        <f>תפעול!E7</f>
        <v>68.828358208955223</v>
      </c>
      <c r="E6" s="157">
        <f>תפעול!D3</f>
        <v>179.56716417910448</v>
      </c>
      <c r="F6" s="233">
        <f>תפעול!C3</f>
        <v>204.55223880597015</v>
      </c>
      <c r="G6" s="234">
        <f t="shared" ref="G6:G12" si="0">E6-D6</f>
        <v>110.73880597014926</v>
      </c>
      <c r="H6" s="222">
        <f t="shared" ref="H6:H12" si="1">F6-D6</f>
        <v>135.72388059701493</v>
      </c>
      <c r="I6" s="229">
        <f t="shared" ref="I6:I12" si="2">E6-F6</f>
        <v>-24.985074626865668</v>
      </c>
      <c r="J6" s="215">
        <f>+G6*D$27</f>
        <v>332.21641791044777</v>
      </c>
      <c r="K6" s="222">
        <f t="shared" ref="K6:K12" si="3">+H6*D$27</f>
        <v>407.17164179104475</v>
      </c>
      <c r="L6" s="229">
        <f t="shared" ref="L6:L12" si="4">+I6*D$27</f>
        <v>-74.955223880597003</v>
      </c>
      <c r="N6" s="343" t="s">
        <v>183</v>
      </c>
      <c r="O6" s="344">
        <f>O3+O4+O5</f>
        <v>3670.1504327776761</v>
      </c>
      <c r="P6" s="344">
        <f>P3+P4+P5</f>
        <v>-4.1313434404930263</v>
      </c>
      <c r="Q6" s="343">
        <f>O6+P6</f>
        <v>3666.0190893371832</v>
      </c>
    </row>
    <row r="7" spans="2:17" x14ac:dyDescent="0.2">
      <c r="B7" s="395"/>
      <c r="C7" s="140" t="s">
        <v>175</v>
      </c>
      <c r="D7" s="128">
        <f>IF($D$25=$C$50,דלקים!E17,דלקים!E5)</f>
        <v>23.542626826133368</v>
      </c>
      <c r="E7" s="128">
        <f>IF($D$25=$C$50,דלקים!D17,דלקים!D5)</f>
        <v>46.586784815268473</v>
      </c>
      <c r="F7" s="239">
        <f>IF($D$25=$C$50,דלקים!C17,דלקים!C5)</f>
        <v>69.630942804403574</v>
      </c>
      <c r="G7" s="242">
        <f t="shared" si="0"/>
        <v>23.044157989135105</v>
      </c>
      <c r="H7" s="224">
        <f t="shared" si="1"/>
        <v>46.088315978270202</v>
      </c>
      <c r="I7" s="231">
        <f t="shared" si="2"/>
        <v>-23.044157989135101</v>
      </c>
      <c r="J7" s="217">
        <f t="shared" ref="J7:J11" si="5">+G7*D$27</f>
        <v>69.132473967405318</v>
      </c>
      <c r="K7" s="224">
        <f t="shared" si="3"/>
        <v>138.26494793481061</v>
      </c>
      <c r="L7" s="231">
        <f t="shared" si="4"/>
        <v>-69.132473967405303</v>
      </c>
      <c r="N7" s="341"/>
      <c r="O7" s="345"/>
      <c r="P7" s="341"/>
      <c r="Q7" s="345"/>
    </row>
    <row r="8" spans="2:17" ht="15" thickBot="1" x14ac:dyDescent="0.25">
      <c r="B8" s="395"/>
      <c r="C8" s="158" t="s">
        <v>171</v>
      </c>
      <c r="D8" s="352">
        <f>D7+D6</f>
        <v>92.370985035088594</v>
      </c>
      <c r="E8" s="352">
        <f>E7+E6</f>
        <v>226.15394899437297</v>
      </c>
      <c r="F8" s="353">
        <f>F7+F6</f>
        <v>274.18318161037371</v>
      </c>
      <c r="G8" s="354">
        <f>E8-D8</f>
        <v>133.78296395928436</v>
      </c>
      <c r="H8" s="355">
        <f t="shared" si="1"/>
        <v>181.8121965752851</v>
      </c>
      <c r="I8" s="356">
        <f t="shared" si="2"/>
        <v>-48.029232616000741</v>
      </c>
      <c r="J8" s="357">
        <f t="shared" si="5"/>
        <v>401.34889187785308</v>
      </c>
      <c r="K8" s="355">
        <f t="shared" si="3"/>
        <v>545.43658972585536</v>
      </c>
      <c r="L8" s="356">
        <f t="shared" si="4"/>
        <v>-144.08769784800222</v>
      </c>
      <c r="N8" s="368" t="s">
        <v>221</v>
      </c>
      <c r="O8" s="345"/>
      <c r="P8" s="341"/>
      <c r="Q8" s="345"/>
    </row>
    <row r="9" spans="2:17" ht="15.75" customHeight="1" thickBot="1" x14ac:dyDescent="0.25">
      <c r="B9" s="395"/>
      <c r="C9" s="140" t="s">
        <v>165</v>
      </c>
      <c r="D9" s="128">
        <f>'זיהום ופליטות'!E4</f>
        <v>3.4088012152718159</v>
      </c>
      <c r="E9" s="128">
        <f>'זיהום ופליטות'!D4</f>
        <v>56.141520824176908</v>
      </c>
      <c r="F9" s="239">
        <f>'זיהום ופליטות'!C4</f>
        <v>108.87424043308201</v>
      </c>
      <c r="G9" s="242">
        <f t="shared" si="0"/>
        <v>52.732719608905093</v>
      </c>
      <c r="H9" s="224">
        <f t="shared" si="1"/>
        <v>105.46543921781019</v>
      </c>
      <c r="I9" s="231">
        <f t="shared" si="2"/>
        <v>-52.7327196089051</v>
      </c>
      <c r="J9" s="217">
        <f t="shared" si="5"/>
        <v>158.19815882671529</v>
      </c>
      <c r="K9" s="224">
        <f t="shared" si="3"/>
        <v>316.39631765343057</v>
      </c>
      <c r="L9" s="231">
        <f t="shared" si="4"/>
        <v>-158.19815882671531</v>
      </c>
      <c r="N9" s="342"/>
      <c r="O9" s="156" t="s">
        <v>181</v>
      </c>
      <c r="P9" s="156" t="s">
        <v>182</v>
      </c>
      <c r="Q9" s="156" t="s">
        <v>19</v>
      </c>
    </row>
    <row r="10" spans="2:17" ht="15" thickBot="1" x14ac:dyDescent="0.25">
      <c r="B10" s="395"/>
      <c r="C10" s="158" t="s">
        <v>163</v>
      </c>
      <c r="D10" s="352">
        <f>D8+D9</f>
        <v>95.779786250360416</v>
      </c>
      <c r="E10" s="352">
        <f>E8+E9</f>
        <v>282.29546981854986</v>
      </c>
      <c r="F10" s="353">
        <f>F8+F9</f>
        <v>383.05742204345574</v>
      </c>
      <c r="G10" s="354">
        <f t="shared" si="0"/>
        <v>186.51568356818944</v>
      </c>
      <c r="H10" s="355">
        <f t="shared" si="1"/>
        <v>287.27763579309533</v>
      </c>
      <c r="I10" s="356">
        <f t="shared" si="2"/>
        <v>-100.76195222490588</v>
      </c>
      <c r="J10" s="357">
        <f t="shared" si="5"/>
        <v>559.54705070456839</v>
      </c>
      <c r="K10" s="355">
        <f t="shared" si="3"/>
        <v>861.83290737928598</v>
      </c>
      <c r="L10" s="356">
        <f t="shared" si="4"/>
        <v>-302.28585667471765</v>
      </c>
      <c r="N10" s="343" t="s">
        <v>168</v>
      </c>
      <c r="O10" s="344">
        <f>K4</f>
        <v>159.75</v>
      </c>
      <c r="P10" s="344"/>
      <c r="Q10" s="343">
        <f>O10+P10</f>
        <v>159.75</v>
      </c>
    </row>
    <row r="11" spans="2:17" ht="15" thickBot="1" x14ac:dyDescent="0.25">
      <c r="B11" s="395"/>
      <c r="C11" s="140" t="s">
        <v>166</v>
      </c>
      <c r="D11" s="128">
        <f>'זיהום ופליטות'!E16</f>
        <v>13.50083766140928</v>
      </c>
      <c r="E11" s="128">
        <f>'זיהום ופליטות'!D16</f>
        <v>36.689869146802295</v>
      </c>
      <c r="F11" s="239">
        <f>'זיהום ופליטות'!C16</f>
        <v>59.878900632195297</v>
      </c>
      <c r="G11" s="242">
        <f t="shared" si="0"/>
        <v>23.189031485393016</v>
      </c>
      <c r="H11" s="224">
        <f t="shared" si="1"/>
        <v>46.378062970786019</v>
      </c>
      <c r="I11" s="231">
        <f t="shared" si="2"/>
        <v>-23.189031485393002</v>
      </c>
      <c r="J11" s="217">
        <f t="shared" si="5"/>
        <v>69.567094456179049</v>
      </c>
      <c r="K11" s="224">
        <f t="shared" si="3"/>
        <v>139.13418891235807</v>
      </c>
      <c r="L11" s="231">
        <f t="shared" si="4"/>
        <v>-69.567094456179007</v>
      </c>
      <c r="N11" s="343" t="s">
        <v>162</v>
      </c>
      <c r="O11" s="344">
        <f>K8</f>
        <v>545.43658972585536</v>
      </c>
      <c r="P11" s="344">
        <f>K9+K11</f>
        <v>455.53050656578864</v>
      </c>
      <c r="Q11" s="343">
        <f>O11+P11</f>
        <v>1000.967096291644</v>
      </c>
    </row>
    <row r="12" spans="2:17" ht="15" thickBot="1" x14ac:dyDescent="0.25">
      <c r="B12" s="396"/>
      <c r="C12" s="159" t="s">
        <v>170</v>
      </c>
      <c r="D12" s="358">
        <f>D10+D11</f>
        <v>109.28062391176969</v>
      </c>
      <c r="E12" s="358">
        <f>E10+E11</f>
        <v>318.98533896535218</v>
      </c>
      <c r="F12" s="359">
        <f>F10+F11</f>
        <v>442.93632267565101</v>
      </c>
      <c r="G12" s="360">
        <f t="shared" si="0"/>
        <v>209.7047150535825</v>
      </c>
      <c r="H12" s="361">
        <f t="shared" si="1"/>
        <v>333.65569876388133</v>
      </c>
      <c r="I12" s="362">
        <f t="shared" si="2"/>
        <v>-123.95098371029883</v>
      </c>
      <c r="J12" s="363">
        <f>+G12*D$27</f>
        <v>629.11414516074751</v>
      </c>
      <c r="K12" s="361">
        <f t="shared" si="3"/>
        <v>1000.967096291644</v>
      </c>
      <c r="L12" s="362">
        <f t="shared" si="4"/>
        <v>-371.85295113089649</v>
      </c>
      <c r="N12" s="343" t="s">
        <v>172</v>
      </c>
      <c r="O12" s="344">
        <f>K14+H20</f>
        <v>-4110.9602807533411</v>
      </c>
      <c r="P12" s="344">
        <f>K17+K15</f>
        <v>319.56876770580715</v>
      </c>
      <c r="Q12" s="343">
        <f>O12+P12</f>
        <v>-3791.3915130475339</v>
      </c>
    </row>
    <row r="13" spans="2:17" s="136" customFormat="1" ht="15" customHeight="1" thickBot="1" x14ac:dyDescent="0.25">
      <c r="B13" s="150"/>
      <c r="C13" s="151"/>
      <c r="D13" s="364"/>
      <c r="E13" s="364"/>
      <c r="F13" s="364"/>
      <c r="G13" s="365"/>
      <c r="H13" s="366"/>
      <c r="I13" s="367"/>
      <c r="J13" s="365"/>
      <c r="K13" s="366"/>
      <c r="L13" s="367"/>
      <c r="N13" s="343" t="s">
        <v>183</v>
      </c>
      <c r="O13" s="344">
        <f>O10+O11+O12</f>
        <v>-3405.7736910274857</v>
      </c>
      <c r="P13" s="344">
        <f>P10+P11+P12</f>
        <v>775.09927427159573</v>
      </c>
      <c r="Q13" s="343">
        <f>O13+P13</f>
        <v>-2630.67441675589</v>
      </c>
    </row>
    <row r="14" spans="2:17" ht="14.25" customHeight="1" x14ac:dyDescent="0.2">
      <c r="B14" s="391" t="s">
        <v>172</v>
      </c>
      <c r="C14" s="160" t="s">
        <v>169</v>
      </c>
      <c r="D14" s="161">
        <f>חירום!E11*D24</f>
        <v>305.60627133645215</v>
      </c>
      <c r="E14" s="161">
        <f>חירום!D11*D24</f>
        <v>253.17585995743292</v>
      </c>
      <c r="F14" s="238">
        <f>חירום!C11*D24</f>
        <v>130.99427629739708</v>
      </c>
      <c r="G14" s="241">
        <f>E14-D14</f>
        <v>-52.430411379019233</v>
      </c>
      <c r="H14" s="223">
        <f>F14-D14</f>
        <v>-174.61199503905507</v>
      </c>
      <c r="I14" s="230">
        <f>E14-F14</f>
        <v>122.18158366003584</v>
      </c>
      <c r="J14" s="216">
        <f>IF(D26&gt;0,E14-((D14*D23-D26/24)/D23),G14)</f>
        <v>-52.394697093304956</v>
      </c>
      <c r="K14" s="223">
        <f>IF(D26&gt;0,F14-((D14*D23-D26/24)/D23),H14)</f>
        <v>-174.5762807533408</v>
      </c>
      <c r="L14" s="230">
        <f>IF(D26&gt;0,F14-((E14*D23-D26/24)/D23),I14)</f>
        <v>-122.14586937432153</v>
      </c>
      <c r="N14" s="341"/>
      <c r="O14" s="345"/>
      <c r="P14" s="341"/>
      <c r="Q14" s="345"/>
    </row>
    <row r="15" spans="2:17" ht="15" thickBot="1" x14ac:dyDescent="0.25">
      <c r="B15" s="392"/>
      <c r="C15" s="140" t="s">
        <v>160</v>
      </c>
      <c r="D15" s="128">
        <f>חירום!E12*D24</f>
        <v>128.57623513518561</v>
      </c>
      <c r="E15" s="128">
        <f>חירום!D12*D24</f>
        <v>203.56325916511949</v>
      </c>
      <c r="F15" s="239">
        <f>חירום!C12*D24</f>
        <v>378.30980623487625</v>
      </c>
      <c r="G15" s="242">
        <f>E15-D15</f>
        <v>74.987024029933878</v>
      </c>
      <c r="H15" s="224">
        <f>F15-D15</f>
        <v>249.73357109969064</v>
      </c>
      <c r="I15" s="231">
        <f>E15-F15</f>
        <v>-174.74654706975676</v>
      </c>
      <c r="J15" s="217">
        <f>IF(D26&gt;0,E15-((D15*D23-D26/24)/D23),G15)</f>
        <v>75.022738315648155</v>
      </c>
      <c r="K15" s="224">
        <f>IF(D26&gt;0,F15-((D15*D23-D26/24)/D23),H15)</f>
        <v>249.76928538540491</v>
      </c>
      <c r="L15" s="231">
        <f>IF(D26&gt;0,F15-((E15*D23-D26/24)/D23),I15)</f>
        <v>174.78226135547104</v>
      </c>
      <c r="N15" s="368" t="s">
        <v>189</v>
      </c>
      <c r="O15" s="345"/>
      <c r="P15" s="341"/>
      <c r="Q15" s="345"/>
    </row>
    <row r="16" spans="2:17" ht="16.5" customHeight="1" thickBot="1" x14ac:dyDescent="0.25">
      <c r="B16" s="392"/>
      <c r="C16" s="158" t="s">
        <v>163</v>
      </c>
      <c r="D16" s="352">
        <f>D14+D15</f>
        <v>434.18250647163779</v>
      </c>
      <c r="E16" s="352">
        <f>E14+E15</f>
        <v>456.73911912255244</v>
      </c>
      <c r="F16" s="353">
        <f>F14+F15</f>
        <v>509.30408253227336</v>
      </c>
      <c r="G16" s="354">
        <f>E16-D16</f>
        <v>22.556612650914644</v>
      </c>
      <c r="H16" s="355">
        <f>F16-D16</f>
        <v>75.121576060635562</v>
      </c>
      <c r="I16" s="356">
        <f>E16-F16</f>
        <v>-52.564963409720917</v>
      </c>
      <c r="J16" s="357">
        <f>J15+J14</f>
        <v>22.628041222343199</v>
      </c>
      <c r="K16" s="355">
        <f>K15+K14</f>
        <v>75.193004632064117</v>
      </c>
      <c r="L16" s="356">
        <f>L15+L14</f>
        <v>52.636391981149501</v>
      </c>
      <c r="N16" s="342"/>
      <c r="O16" s="156" t="s">
        <v>181</v>
      </c>
      <c r="P16" s="156" t="s">
        <v>182</v>
      </c>
      <c r="Q16" s="156" t="s">
        <v>19</v>
      </c>
    </row>
    <row r="17" spans="2:17" ht="15" thickBot="1" x14ac:dyDescent="0.25">
      <c r="B17" s="392"/>
      <c r="C17" s="141" t="s">
        <v>161</v>
      </c>
      <c r="D17" s="142">
        <f>חירום!E13*D24</f>
        <v>84.282720338718718</v>
      </c>
      <c r="E17" s="142">
        <f>חירום!D13*מרכז!D24</f>
        <v>105.23055417219071</v>
      </c>
      <c r="F17" s="240">
        <f>חירום!C13*D24</f>
        <v>154.04648837340667</v>
      </c>
      <c r="G17" s="243">
        <f>E17-D17</f>
        <v>20.947833833471989</v>
      </c>
      <c r="H17" s="225">
        <f>F17-D17</f>
        <v>69.763768034687956</v>
      </c>
      <c r="I17" s="232">
        <f>E17-F17</f>
        <v>-48.815934201215967</v>
      </c>
      <c r="J17" s="218">
        <f>IF(D26&gt;0,E17-((D17*D23-D26/24)/D23),G17)</f>
        <v>20.983548119186281</v>
      </c>
      <c r="K17" s="225">
        <f>IF(D26&gt;0,F17-((D17*D23-D26/24)/D23),H17)</f>
        <v>69.799482320402248</v>
      </c>
      <c r="L17" s="232">
        <f>IF(D26&gt;0,F17-((E17*D23-D26/24)/D23),I17)</f>
        <v>48.851648486930259</v>
      </c>
      <c r="N17" s="343" t="s">
        <v>168</v>
      </c>
      <c r="O17" s="344">
        <f>+G4</f>
        <v>159.75</v>
      </c>
      <c r="P17" s="344"/>
      <c r="Q17" s="343">
        <f>O17+P17</f>
        <v>159.75</v>
      </c>
    </row>
    <row r="18" spans="2:17" ht="15" thickBot="1" x14ac:dyDescent="0.25">
      <c r="B18" s="393"/>
      <c r="C18" s="159" t="s">
        <v>121</v>
      </c>
      <c r="D18" s="358">
        <f>D16+D17</f>
        <v>518.46522681035651</v>
      </c>
      <c r="E18" s="358">
        <f>E16+E17</f>
        <v>561.96967329474319</v>
      </c>
      <c r="F18" s="359">
        <f>F16+F17</f>
        <v>663.35057090568</v>
      </c>
      <c r="G18" s="360">
        <f>E18-D18</f>
        <v>43.504446484386676</v>
      </c>
      <c r="H18" s="361">
        <f>F18-D18</f>
        <v>144.88534409532349</v>
      </c>
      <c r="I18" s="362">
        <f>E18-F18</f>
        <v>-101.38089761093681</v>
      </c>
      <c r="J18" s="363">
        <f>J17+J16</f>
        <v>43.611589341529481</v>
      </c>
      <c r="K18" s="361">
        <f>K17+K16</f>
        <v>144.99248695246638</v>
      </c>
      <c r="L18" s="362">
        <f>L17+L16</f>
        <v>101.48804046807976</v>
      </c>
      <c r="N18" s="343" t="s">
        <v>162</v>
      </c>
      <c r="O18" s="344">
        <f>J8</f>
        <v>401.34889187785308</v>
      </c>
      <c r="P18" s="344">
        <f>J11+J9</f>
        <v>227.76525328289432</v>
      </c>
      <c r="Q18" s="343">
        <f t="shared" ref="Q18" si="6">O18+P18</f>
        <v>629.1141451607474</v>
      </c>
    </row>
    <row r="19" spans="2:17" s="20" customFormat="1" ht="15" thickBot="1" x14ac:dyDescent="0.25">
      <c r="B19" s="163"/>
      <c r="C19" s="151" t="s">
        <v>289</v>
      </c>
      <c r="D19" s="152">
        <f>D15+D17</f>
        <v>212.85895547390433</v>
      </c>
      <c r="E19" s="152">
        <f t="shared" ref="E19:H19" si="7">E15+E17</f>
        <v>308.79381333731021</v>
      </c>
      <c r="F19" s="152">
        <f t="shared" si="7"/>
        <v>532.35629460828295</v>
      </c>
      <c r="G19" s="152">
        <f>G15+G17</f>
        <v>95.934857863405867</v>
      </c>
      <c r="H19" s="152">
        <f t="shared" si="7"/>
        <v>319.49733913437859</v>
      </c>
      <c r="I19" s="152">
        <f>I15+I17</f>
        <v>-223.56248127097274</v>
      </c>
      <c r="J19" s="164"/>
      <c r="N19" s="343" t="s">
        <v>172</v>
      </c>
      <c r="O19" s="344">
        <f>J14+G20</f>
        <v>-52.394697093304956</v>
      </c>
      <c r="P19" s="344">
        <f>J15+J17</f>
        <v>96.006286434834436</v>
      </c>
      <c r="Q19" s="343">
        <f>O19+P19</f>
        <v>43.611589341529481</v>
      </c>
    </row>
    <row r="20" spans="2:17" ht="15" thickBot="1" x14ac:dyDescent="0.25">
      <c r="C20" s="16" t="s">
        <v>274</v>
      </c>
      <c r="D20" s="287">
        <f>IF(D23&lt;3.5,0,IF(D23&lt;6,D26*360*2*0.85*1000*134/10^6,D26*360*4*0.85*1000*134/10^6))</f>
        <v>3936.384</v>
      </c>
      <c r="E20" s="288">
        <f>IF(D23&gt;28,0,IF(D23&lt;3.5,0,IF(D23&lt;6,D26*360*2*0.85*1000*134/10^6,D26*360*4*0.85*1000*134/10^6)))</f>
        <v>3936.384</v>
      </c>
      <c r="F20" s="287">
        <v>0</v>
      </c>
      <c r="G20" s="244">
        <f>E20-D20</f>
        <v>0</v>
      </c>
      <c r="H20" s="244">
        <f>F20-D20</f>
        <v>-3936.384</v>
      </c>
      <c r="I20" s="244">
        <f>E20-F20</f>
        <v>3936.384</v>
      </c>
      <c r="N20" s="343" t="s">
        <v>183</v>
      </c>
      <c r="O20" s="344">
        <f>O17+O18+O19</f>
        <v>508.70419478454806</v>
      </c>
      <c r="P20" s="344">
        <f>P17+P18+P19</f>
        <v>323.77153971772873</v>
      </c>
      <c r="Q20" s="343">
        <f>O20+P20</f>
        <v>832.47573450227674</v>
      </c>
    </row>
    <row r="21" spans="2:17" x14ac:dyDescent="0.2">
      <c r="D21" s="11"/>
      <c r="E21" s="210"/>
      <c r="G21" s="390">
        <f t="shared" ref="G21:I21" si="8">+G8*$D$27+G4</f>
        <v>561.09889187785302</v>
      </c>
      <c r="H21" s="6">
        <f t="shared" si="8"/>
        <v>705.18658972585536</v>
      </c>
      <c r="I21" s="6">
        <f t="shared" si="8"/>
        <v>-144.08769784800222</v>
      </c>
      <c r="J21" s="6">
        <f>+J8*$D$27+J4</f>
        <v>1363.7966756335593</v>
      </c>
      <c r="K21" s="6">
        <f t="shared" ref="K21:L21" si="9">+K8*$D$27+K4</f>
        <v>1796.0597691775661</v>
      </c>
      <c r="L21" s="6">
        <f t="shared" si="9"/>
        <v>-432.26309354400667</v>
      </c>
    </row>
    <row r="22" spans="2:17" ht="15" x14ac:dyDescent="0.25">
      <c r="C22" s="8" t="s">
        <v>116</v>
      </c>
    </row>
    <row r="23" spans="2:17" x14ac:dyDescent="0.2">
      <c r="C23" s="14" t="s">
        <v>275</v>
      </c>
      <c r="D23" s="14">
        <v>28</v>
      </c>
      <c r="F23" s="13"/>
      <c r="H23" s="13"/>
    </row>
    <row r="24" spans="2:17" x14ac:dyDescent="0.2">
      <c r="C24" s="57" t="s">
        <v>276</v>
      </c>
      <c r="D24" s="58">
        <v>1</v>
      </c>
      <c r="F24" s="253"/>
      <c r="H24" s="253"/>
    </row>
    <row r="25" spans="2:17" ht="26.25" customHeight="1" x14ac:dyDescent="0.2">
      <c r="C25" s="162" t="s">
        <v>124</v>
      </c>
      <c r="D25" s="162" t="s">
        <v>119</v>
      </c>
      <c r="F25" s="252"/>
      <c r="G25" s="252"/>
      <c r="H25" s="11"/>
    </row>
    <row r="26" spans="2:17" x14ac:dyDescent="0.2">
      <c r="C26" s="165" t="s">
        <v>186</v>
      </c>
      <c r="D26" s="165">
        <v>24</v>
      </c>
    </row>
    <row r="27" spans="2:17" x14ac:dyDescent="0.2">
      <c r="C27" s="59" t="s">
        <v>222</v>
      </c>
      <c r="D27" s="212">
        <v>3</v>
      </c>
      <c r="E27" s="144"/>
    </row>
    <row r="31" spans="2:17" x14ac:dyDescent="0.2">
      <c r="D31" s="13"/>
      <c r="E31" s="13"/>
    </row>
    <row r="44" spans="3:4" ht="15" thickBot="1" x14ac:dyDescent="0.25"/>
    <row r="45" spans="3:4" ht="15.75" thickBot="1" x14ac:dyDescent="0.25">
      <c r="C45" t="s">
        <v>218</v>
      </c>
      <c r="D45" s="155">
        <v>2027</v>
      </c>
    </row>
    <row r="49" spans="3:3" x14ac:dyDescent="0.2">
      <c r="C49" t="s">
        <v>87</v>
      </c>
    </row>
    <row r="50" spans="3:3" x14ac:dyDescent="0.2">
      <c r="C50" t="s">
        <v>120</v>
      </c>
    </row>
    <row r="51" spans="3:3" x14ac:dyDescent="0.2">
      <c r="C51" t="s">
        <v>119</v>
      </c>
    </row>
  </sheetData>
  <mergeCells count="2">
    <mergeCell ref="B14:B18"/>
    <mergeCell ref="B6:B12"/>
  </mergeCells>
  <dataValidations disablePrompts="1" count="1">
    <dataValidation type="list" allowBlank="1" showInputMessage="1" showErrorMessage="1" sqref="D25">
      <formula1>$C$50:$C$51</formula1>
    </dataValidation>
  </dataValidations>
  <pageMargins left="0.25" right="0.25" top="0.75" bottom="0.75" header="0.3" footer="0.3"/>
  <pageSetup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7"/>
  <sheetViews>
    <sheetView rightToLeft="1" zoomScale="85" zoomScaleNormal="85" workbookViewId="0">
      <selection activeCell="D5" sqref="D5"/>
    </sheetView>
  </sheetViews>
  <sheetFormatPr defaultRowHeight="14.25" x14ac:dyDescent="0.2"/>
  <cols>
    <col min="1" max="1" width="5.125" customWidth="1"/>
    <col min="2" max="2" width="39.5" bestFit="1" customWidth="1"/>
    <col min="3" max="3" width="11" customWidth="1"/>
    <col min="4" max="4" width="10" customWidth="1"/>
    <col min="5" max="5" width="7.375" bestFit="1" customWidth="1"/>
    <col min="6" max="7" width="7.375" customWidth="1"/>
    <col min="8" max="8" width="3.25" customWidth="1"/>
    <col min="9" max="9" width="56" customWidth="1"/>
    <col min="10" max="10" width="10.875" customWidth="1"/>
    <col min="11" max="11" width="9.75" customWidth="1"/>
    <col min="12" max="12" width="7.5" customWidth="1"/>
    <col min="14" max="14" width="36.625" customWidth="1"/>
    <col min="15" max="15" width="6.125" style="314" customWidth="1"/>
  </cols>
  <sheetData>
    <row r="1" spans="2:17" ht="15" thickBot="1" x14ac:dyDescent="0.25"/>
    <row r="2" spans="2:17" s="144" customFormat="1" ht="69" customHeight="1" x14ac:dyDescent="0.25">
      <c r="B2" s="301"/>
      <c r="C2" s="302" t="s">
        <v>235</v>
      </c>
      <c r="D2" s="302" t="s">
        <v>236</v>
      </c>
      <c r="E2" s="303" t="s">
        <v>237</v>
      </c>
      <c r="F2" s="304"/>
      <c r="G2" s="304"/>
      <c r="H2" s="305"/>
      <c r="I2" s="319" t="s">
        <v>251</v>
      </c>
      <c r="J2" s="309" t="s">
        <v>235</v>
      </c>
      <c r="K2" s="309" t="s">
        <v>236</v>
      </c>
      <c r="L2" s="309" t="s">
        <v>237</v>
      </c>
      <c r="N2" s="318" t="s">
        <v>253</v>
      </c>
      <c r="O2" s="317" t="s">
        <v>199</v>
      </c>
    </row>
    <row r="3" spans="2:17" ht="16.5" customHeight="1" x14ac:dyDescent="0.2">
      <c r="B3" s="254" t="s">
        <v>258</v>
      </c>
      <c r="C3" s="290">
        <f>+O17</f>
        <v>70.099999999999994</v>
      </c>
      <c r="D3" s="290">
        <f>+C3</f>
        <v>70.099999999999994</v>
      </c>
      <c r="E3" s="255">
        <f>C3-D3</f>
        <v>0</v>
      </c>
      <c r="H3" s="306"/>
      <c r="I3" s="248" t="s">
        <v>286</v>
      </c>
      <c r="J3" s="248">
        <v>7</v>
      </c>
      <c r="K3" s="1">
        <v>7</v>
      </c>
      <c r="L3" s="1">
        <f>J3-K3</f>
        <v>0</v>
      </c>
      <c r="N3" s="307" t="s">
        <v>200</v>
      </c>
      <c r="O3" s="313">
        <v>12.3</v>
      </c>
      <c r="P3" s="144"/>
      <c r="Q3" s="144"/>
    </row>
    <row r="4" spans="2:17" ht="15.75" customHeight="1" x14ac:dyDescent="0.2">
      <c r="B4" s="250" t="s">
        <v>225</v>
      </c>
      <c r="C4" s="290">
        <f>G17</f>
        <v>32</v>
      </c>
      <c r="D4" s="290">
        <f>C4</f>
        <v>32</v>
      </c>
      <c r="E4" s="251">
        <f>C4-D4</f>
        <v>0</v>
      </c>
      <c r="F4" s="19"/>
      <c r="G4" s="19"/>
      <c r="H4" s="306"/>
      <c r="I4" s="248" t="s">
        <v>228</v>
      </c>
      <c r="J4" s="248">
        <v>3</v>
      </c>
      <c r="K4" s="1">
        <v>3</v>
      </c>
      <c r="L4" s="1">
        <f t="shared" ref="L4:L20" si="0">J4-K4</f>
        <v>0</v>
      </c>
      <c r="N4" s="307" t="s">
        <v>201</v>
      </c>
      <c r="O4" s="313">
        <v>0.4</v>
      </c>
      <c r="P4" s="144"/>
      <c r="Q4" s="144"/>
    </row>
    <row r="5" spans="2:17" ht="15" x14ac:dyDescent="0.2">
      <c r="B5" s="250" t="s">
        <v>226</v>
      </c>
      <c r="C5" s="290">
        <f>G18</f>
        <v>33.5</v>
      </c>
      <c r="D5" s="290">
        <f>G18-F18-C18</f>
        <v>24.5</v>
      </c>
      <c r="E5" s="251">
        <f t="shared" ref="E5:E6" si="1">C5-D5</f>
        <v>9</v>
      </c>
      <c r="F5" s="19"/>
      <c r="G5" s="19"/>
      <c r="H5" s="306"/>
      <c r="I5" s="248" t="s">
        <v>229</v>
      </c>
      <c r="J5" s="248">
        <v>0.5</v>
      </c>
      <c r="K5" s="1">
        <v>0.5</v>
      </c>
      <c r="L5" s="1">
        <f t="shared" si="0"/>
        <v>0</v>
      </c>
      <c r="N5" s="307" t="s">
        <v>202</v>
      </c>
      <c r="O5" s="313">
        <v>7.9</v>
      </c>
      <c r="P5" s="144"/>
      <c r="Q5" s="144"/>
    </row>
    <row r="6" spans="2:17" ht="15.75" customHeight="1" x14ac:dyDescent="0.2">
      <c r="B6" s="250" t="s">
        <v>254</v>
      </c>
      <c r="C6" s="290">
        <f>G19</f>
        <v>10</v>
      </c>
      <c r="D6" s="290">
        <f>G19</f>
        <v>10</v>
      </c>
      <c r="E6" s="251">
        <f t="shared" si="1"/>
        <v>0</v>
      </c>
      <c r="F6" s="19"/>
      <c r="G6" s="19"/>
      <c r="H6" s="306"/>
      <c r="I6" s="248" t="s">
        <v>230</v>
      </c>
      <c r="J6" s="248">
        <v>0.5</v>
      </c>
      <c r="K6" s="1">
        <v>0.5</v>
      </c>
      <c r="L6" s="1">
        <f t="shared" si="0"/>
        <v>0</v>
      </c>
      <c r="N6" s="307" t="s">
        <v>203</v>
      </c>
      <c r="O6" s="313">
        <v>9.1999999999999993</v>
      </c>
      <c r="P6" s="144"/>
      <c r="Q6" s="144"/>
    </row>
    <row r="7" spans="2:17" ht="15" x14ac:dyDescent="0.2">
      <c r="B7" s="250" t="s">
        <v>234</v>
      </c>
      <c r="C7" s="291">
        <f>J21</f>
        <v>75</v>
      </c>
      <c r="D7" s="290">
        <f>K21</f>
        <v>40</v>
      </c>
      <c r="E7" s="312">
        <f>C7-D7</f>
        <v>35</v>
      </c>
      <c r="F7" s="19"/>
      <c r="G7" s="19"/>
      <c r="H7" s="306"/>
      <c r="I7" s="248" t="s">
        <v>255</v>
      </c>
      <c r="J7" s="248">
        <v>20</v>
      </c>
      <c r="K7" s="1">
        <v>20</v>
      </c>
      <c r="L7" s="1">
        <f t="shared" si="0"/>
        <v>0</v>
      </c>
      <c r="N7" s="307" t="s">
        <v>204</v>
      </c>
      <c r="O7" s="313">
        <v>0.1</v>
      </c>
      <c r="P7" s="144"/>
      <c r="Q7" s="144"/>
    </row>
    <row r="8" spans="2:17" ht="16.5" customHeight="1" x14ac:dyDescent="0.2">
      <c r="B8" s="292" t="s">
        <v>259</v>
      </c>
      <c r="C8" s="293">
        <f>C7+C6+C5+C4</f>
        <v>150.5</v>
      </c>
      <c r="D8" s="293">
        <f>D7+D6+D5+D4</f>
        <v>106.5</v>
      </c>
      <c r="E8" s="294">
        <f>C8-D8</f>
        <v>44</v>
      </c>
      <c r="F8" s="246"/>
      <c r="G8" s="246"/>
      <c r="H8" s="306"/>
      <c r="I8" s="248" t="s">
        <v>231</v>
      </c>
      <c r="J8" s="248">
        <v>2</v>
      </c>
      <c r="K8" s="1">
        <v>2</v>
      </c>
      <c r="L8" s="1">
        <f t="shared" si="0"/>
        <v>0</v>
      </c>
      <c r="N8" s="307" t="s">
        <v>205</v>
      </c>
      <c r="O8" s="313">
        <v>15.3</v>
      </c>
      <c r="P8" s="144"/>
      <c r="Q8" s="144"/>
    </row>
    <row r="9" spans="2:17" ht="15" x14ac:dyDescent="0.2">
      <c r="B9" s="295" t="s">
        <v>238</v>
      </c>
      <c r="C9" s="296">
        <f>$F$9*C8</f>
        <v>75.25</v>
      </c>
      <c r="D9" s="296">
        <f>$F$9*D8</f>
        <v>53.25</v>
      </c>
      <c r="E9" s="297">
        <f>$F$9*E8</f>
        <v>22</v>
      </c>
      <c r="F9" s="369">
        <v>0.5</v>
      </c>
      <c r="G9" s="247"/>
      <c r="H9" s="306"/>
      <c r="I9" s="248" t="s">
        <v>232</v>
      </c>
      <c r="J9" s="248">
        <v>2</v>
      </c>
      <c r="K9" s="1">
        <v>2</v>
      </c>
      <c r="L9" s="1">
        <f t="shared" si="0"/>
        <v>0</v>
      </c>
      <c r="N9" s="307" t="s">
        <v>206</v>
      </c>
      <c r="O9" s="313">
        <v>0.3</v>
      </c>
      <c r="P9" s="144"/>
      <c r="Q9" s="144"/>
    </row>
    <row r="10" spans="2:17" ht="15.75" thickBot="1" x14ac:dyDescent="0.3">
      <c r="B10" s="298" t="s">
        <v>239</v>
      </c>
      <c r="C10" s="299">
        <f>C8+C9</f>
        <v>225.75</v>
      </c>
      <c r="D10" s="299">
        <f>D8+D9</f>
        <v>159.75</v>
      </c>
      <c r="E10" s="300">
        <f>E8+E9</f>
        <v>66</v>
      </c>
      <c r="F10" s="289"/>
      <c r="G10" s="289"/>
      <c r="H10" s="306"/>
      <c r="I10" s="248" t="s">
        <v>233</v>
      </c>
      <c r="J10" s="248">
        <v>5</v>
      </c>
      <c r="K10" s="1">
        <v>5</v>
      </c>
      <c r="L10" s="1">
        <f t="shared" si="0"/>
        <v>0</v>
      </c>
      <c r="N10" s="307" t="s">
        <v>207</v>
      </c>
      <c r="O10" s="313">
        <v>1</v>
      </c>
      <c r="P10" s="144"/>
      <c r="Q10" s="144"/>
    </row>
    <row r="11" spans="2:17" ht="15" x14ac:dyDescent="0.2">
      <c r="H11" s="306"/>
      <c r="I11" s="248" t="s">
        <v>240</v>
      </c>
      <c r="J11" s="248">
        <v>4</v>
      </c>
      <c r="K11" s="1">
        <v>0</v>
      </c>
      <c r="L11" s="1">
        <f t="shared" si="0"/>
        <v>4</v>
      </c>
      <c r="N11" s="307" t="s">
        <v>208</v>
      </c>
      <c r="O11" s="313">
        <v>1.1000000000000001</v>
      </c>
      <c r="P11" s="144"/>
      <c r="Q11" s="144"/>
    </row>
    <row r="12" spans="2:17" ht="15" x14ac:dyDescent="0.2">
      <c r="B12" s="327" t="s">
        <v>257</v>
      </c>
      <c r="C12" s="328">
        <f>+C8+C3</f>
        <v>220.6</v>
      </c>
      <c r="D12" s="328">
        <f>+D8+D3</f>
        <v>176.6</v>
      </c>
      <c r="E12" s="329">
        <f>+E8+E3</f>
        <v>44</v>
      </c>
      <c r="H12" s="306"/>
      <c r="I12" s="248" t="s">
        <v>241</v>
      </c>
      <c r="J12" s="248">
        <v>1</v>
      </c>
      <c r="K12" s="1">
        <v>0</v>
      </c>
      <c r="L12" s="1">
        <f t="shared" si="0"/>
        <v>1</v>
      </c>
      <c r="N12" s="307" t="s">
        <v>209</v>
      </c>
      <c r="O12" s="313">
        <v>8</v>
      </c>
      <c r="P12" s="144"/>
      <c r="Q12" s="144"/>
    </row>
    <row r="13" spans="2:17" ht="13.5" customHeight="1" x14ac:dyDescent="0.2">
      <c r="B13" s="330" t="s">
        <v>256</v>
      </c>
      <c r="C13" s="331">
        <f>+C12+C9</f>
        <v>295.85000000000002</v>
      </c>
      <c r="D13" s="331">
        <f>+D12+D9</f>
        <v>229.85</v>
      </c>
      <c r="E13" s="332">
        <f>+E12+E9</f>
        <v>66</v>
      </c>
      <c r="H13" s="306"/>
      <c r="I13" s="248" t="s">
        <v>290</v>
      </c>
      <c r="J13" s="248">
        <v>0.5</v>
      </c>
      <c r="K13" s="1">
        <v>0</v>
      </c>
      <c r="L13" s="1">
        <f t="shared" si="0"/>
        <v>0.5</v>
      </c>
      <c r="N13" s="307" t="s">
        <v>210</v>
      </c>
      <c r="O13" s="313">
        <v>3.4</v>
      </c>
      <c r="P13" s="144"/>
      <c r="Q13" s="144"/>
    </row>
    <row r="14" spans="2:17" ht="12.75" customHeight="1" x14ac:dyDescent="0.2">
      <c r="H14" s="306"/>
      <c r="I14" s="248" t="s">
        <v>242</v>
      </c>
      <c r="J14" s="248">
        <v>2.5</v>
      </c>
      <c r="K14" s="1">
        <v>0</v>
      </c>
      <c r="L14" s="1">
        <f t="shared" si="0"/>
        <v>2.5</v>
      </c>
      <c r="N14" s="307" t="s">
        <v>211</v>
      </c>
      <c r="O14" s="313">
        <v>0.2</v>
      </c>
      <c r="P14" s="144"/>
      <c r="Q14" s="144"/>
    </row>
    <row r="15" spans="2:17" ht="14.25" customHeight="1" x14ac:dyDescent="0.2">
      <c r="H15" s="306"/>
      <c r="I15" s="248" t="s">
        <v>243</v>
      </c>
      <c r="J15" s="248">
        <v>17</v>
      </c>
      <c r="K15" s="1">
        <v>0</v>
      </c>
      <c r="L15" s="1">
        <f t="shared" si="0"/>
        <v>17</v>
      </c>
      <c r="N15" s="307" t="s">
        <v>212</v>
      </c>
      <c r="O15" s="313">
        <v>2.6</v>
      </c>
      <c r="P15" s="144"/>
      <c r="Q15" s="144"/>
    </row>
    <row r="16" spans="2:17" ht="13.5" customHeight="1" x14ac:dyDescent="0.25">
      <c r="B16" s="3" t="s">
        <v>252</v>
      </c>
      <c r="C16" s="3" t="s">
        <v>3</v>
      </c>
      <c r="D16" s="3" t="s">
        <v>4</v>
      </c>
      <c r="E16" s="3" t="s">
        <v>5</v>
      </c>
      <c r="F16" s="3" t="s">
        <v>6</v>
      </c>
      <c r="G16" s="3" t="s">
        <v>19</v>
      </c>
      <c r="H16" s="306"/>
      <c r="I16" s="248" t="s">
        <v>244</v>
      </c>
      <c r="J16" s="248">
        <v>3</v>
      </c>
      <c r="K16" s="1">
        <v>0</v>
      </c>
      <c r="L16" s="1">
        <f t="shared" si="0"/>
        <v>3</v>
      </c>
      <c r="N16" s="307" t="s">
        <v>227</v>
      </c>
      <c r="O16" s="313">
        <v>8.1</v>
      </c>
      <c r="P16" s="144"/>
      <c r="Q16" s="144"/>
    </row>
    <row r="17" spans="2:17" ht="16.5" customHeight="1" x14ac:dyDescent="0.25">
      <c r="B17" s="310" t="s">
        <v>225</v>
      </c>
      <c r="C17" s="1">
        <v>8</v>
      </c>
      <c r="D17" s="1">
        <v>8</v>
      </c>
      <c r="E17" s="1">
        <v>8</v>
      </c>
      <c r="F17" s="1">
        <v>8</v>
      </c>
      <c r="G17" s="3">
        <f>SUM(C17:F17)</f>
        <v>32</v>
      </c>
      <c r="H17" s="306"/>
      <c r="I17" s="248" t="s">
        <v>288</v>
      </c>
      <c r="J17" s="248">
        <v>1</v>
      </c>
      <c r="K17" s="1">
        <v>0</v>
      </c>
      <c r="L17" s="1">
        <f t="shared" si="0"/>
        <v>1</v>
      </c>
      <c r="N17" s="308" t="s">
        <v>250</v>
      </c>
      <c r="O17" s="313">
        <v>70.099999999999994</v>
      </c>
      <c r="P17" s="144"/>
      <c r="Q17" s="144"/>
    </row>
    <row r="18" spans="2:17" ht="15" x14ac:dyDescent="0.25">
      <c r="B18" s="310" t="s">
        <v>226</v>
      </c>
      <c r="C18" s="1">
        <v>4.5</v>
      </c>
      <c r="D18" s="1">
        <v>20</v>
      </c>
      <c r="E18" s="1">
        <v>4.5</v>
      </c>
      <c r="F18" s="1">
        <v>4.5</v>
      </c>
      <c r="G18" s="3">
        <f t="shared" ref="G18:G19" si="2">SUM(C18:F18)</f>
        <v>33.5</v>
      </c>
      <c r="I18" s="248" t="s">
        <v>245</v>
      </c>
      <c r="J18" s="248">
        <v>1</v>
      </c>
      <c r="K18" s="1">
        <v>0</v>
      </c>
      <c r="L18" s="1">
        <f t="shared" si="0"/>
        <v>1</v>
      </c>
      <c r="P18" s="144"/>
      <c r="Q18" s="144"/>
    </row>
    <row r="19" spans="2:17" ht="15" x14ac:dyDescent="0.25">
      <c r="B19" s="310" t="s">
        <v>254</v>
      </c>
      <c r="C19" s="1">
        <v>2.5</v>
      </c>
      <c r="D19" s="1">
        <v>2.5</v>
      </c>
      <c r="E19" s="1">
        <v>2.5</v>
      </c>
      <c r="F19" s="1">
        <v>2.5</v>
      </c>
      <c r="G19" s="3">
        <f t="shared" si="2"/>
        <v>10</v>
      </c>
      <c r="I19" s="248" t="s">
        <v>193</v>
      </c>
      <c r="J19" s="248">
        <v>4</v>
      </c>
      <c r="K19" s="1">
        <v>0</v>
      </c>
      <c r="L19" s="1">
        <f t="shared" si="0"/>
        <v>4</v>
      </c>
    </row>
    <row r="20" spans="2:17" ht="15" x14ac:dyDescent="0.25">
      <c r="B20" s="311" t="s">
        <v>19</v>
      </c>
      <c r="C20" s="1">
        <f>SUM(C17:C19)</f>
        <v>15</v>
      </c>
      <c r="D20" s="1">
        <f t="shared" ref="D20:F20" si="3">SUM(D17:D19)</f>
        <v>30.5</v>
      </c>
      <c r="E20" s="1">
        <f t="shared" si="3"/>
        <v>15</v>
      </c>
      <c r="F20" s="1">
        <f t="shared" si="3"/>
        <v>15</v>
      </c>
      <c r="G20" s="2">
        <f>SUM(C20:F20)</f>
        <v>75.5</v>
      </c>
      <c r="I20" s="248" t="s">
        <v>246</v>
      </c>
      <c r="J20" s="248">
        <v>1</v>
      </c>
      <c r="K20" s="1">
        <v>0</v>
      </c>
      <c r="L20" s="1">
        <f t="shared" si="0"/>
        <v>1</v>
      </c>
    </row>
    <row r="21" spans="2:17" ht="15" x14ac:dyDescent="0.25">
      <c r="G21" s="40"/>
      <c r="I21" s="249" t="s">
        <v>19</v>
      </c>
      <c r="J21" s="3">
        <f>SUM(J3:J20)</f>
        <v>75</v>
      </c>
      <c r="K21" s="3">
        <f>SUM(K3:K20)</f>
        <v>40</v>
      </c>
      <c r="L21" s="3">
        <f>SUM(L3:L20)</f>
        <v>35</v>
      </c>
      <c r="O21" s="315"/>
    </row>
    <row r="22" spans="2:17" x14ac:dyDescent="0.2">
      <c r="G22" s="19"/>
      <c r="O22" s="315"/>
    </row>
    <row r="37" spans="15:15" x14ac:dyDescent="0.2">
      <c r="O37" s="31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6"/>
  <sheetViews>
    <sheetView rightToLeft="1" zoomScale="70" zoomScaleNormal="70" workbookViewId="0">
      <selection activeCell="E36" sqref="E36"/>
    </sheetView>
  </sheetViews>
  <sheetFormatPr defaultRowHeight="14.25" x14ac:dyDescent="0.2"/>
  <cols>
    <col min="1" max="1" width="9" customWidth="1"/>
    <col min="2" max="2" width="5.25" bestFit="1" customWidth="1"/>
    <col min="3" max="3" width="11" bestFit="1" customWidth="1"/>
    <col min="4" max="4" width="7.5" bestFit="1" customWidth="1"/>
    <col min="5" max="5" width="5.375" bestFit="1" customWidth="1"/>
    <col min="7" max="7" width="28.125" bestFit="1" customWidth="1"/>
    <col min="8" max="8" width="11" bestFit="1" customWidth="1"/>
    <col min="9" max="9" width="11" customWidth="1"/>
    <col min="13" max="13" width="10.5" bestFit="1" customWidth="1"/>
    <col min="14" max="14" width="11" bestFit="1" customWidth="1"/>
    <col min="19" max="19" width="13.25" customWidth="1"/>
  </cols>
  <sheetData>
    <row r="1" spans="2:22" x14ac:dyDescent="0.2">
      <c r="T1" t="s">
        <v>262</v>
      </c>
      <c r="U1" t="s">
        <v>263</v>
      </c>
      <c r="V1" t="s">
        <v>264</v>
      </c>
    </row>
    <row r="2" spans="2:22" ht="57" x14ac:dyDescent="0.2">
      <c r="B2" s="5"/>
      <c r="C2" s="1" t="s">
        <v>188</v>
      </c>
      <c r="D2" s="1" t="s">
        <v>187</v>
      </c>
      <c r="E2" s="1" t="s">
        <v>1</v>
      </c>
      <c r="H2" s="1" t="s">
        <v>188</v>
      </c>
      <c r="I2" s="184" t="s">
        <v>192</v>
      </c>
      <c r="J2" s="1" t="s">
        <v>187</v>
      </c>
      <c r="K2" s="1" t="s">
        <v>1</v>
      </c>
      <c r="N2" s="1" t="s">
        <v>188</v>
      </c>
      <c r="O2" s="1" t="s">
        <v>187</v>
      </c>
      <c r="P2" s="1" t="s">
        <v>1</v>
      </c>
      <c r="Q2" s="184" t="s">
        <v>192</v>
      </c>
      <c r="S2" s="184" t="s">
        <v>260</v>
      </c>
      <c r="T2">
        <v>4</v>
      </c>
      <c r="U2">
        <v>2</v>
      </c>
      <c r="V2">
        <v>20</v>
      </c>
    </row>
    <row r="3" spans="2:22" ht="57" x14ac:dyDescent="0.2">
      <c r="B3" s="1">
        <v>2026</v>
      </c>
      <c r="C3" s="56">
        <f>H$12</f>
        <v>204.55223880597015</v>
      </c>
      <c r="D3" s="56">
        <f>J$12</f>
        <v>179.56716417910448</v>
      </c>
      <c r="E3" s="56">
        <f>K$12</f>
        <v>68.828358208955223</v>
      </c>
      <c r="G3" t="s">
        <v>13</v>
      </c>
      <c r="H3" s="75">
        <f>+N3*N4</f>
        <v>117.55223880597015</v>
      </c>
      <c r="I3" s="75">
        <f>+Q3*N4</f>
        <v>6.5671641791044779</v>
      </c>
      <c r="J3" s="75">
        <v>88</v>
      </c>
      <c r="K3" s="75">
        <f>+N4*P3</f>
        <v>22.328358208955223</v>
      </c>
      <c r="L3" s="13"/>
      <c r="M3" t="s">
        <v>12</v>
      </c>
      <c r="N3">
        <v>179</v>
      </c>
      <c r="O3">
        <v>134</v>
      </c>
      <c r="P3">
        <v>34</v>
      </c>
      <c r="Q3">
        <f>+V3</f>
        <v>10</v>
      </c>
      <c r="S3" s="184" t="s">
        <v>261</v>
      </c>
      <c r="T3">
        <v>2</v>
      </c>
      <c r="U3">
        <v>2</v>
      </c>
      <c r="V3">
        <f>+V2*T3/T2</f>
        <v>10</v>
      </c>
    </row>
    <row r="4" spans="2:22" x14ac:dyDescent="0.2">
      <c r="B4" s="1">
        <v>2027</v>
      </c>
      <c r="C4" s="56">
        <f t="shared" ref="C4:C12" si="0">H$12</f>
        <v>204.55223880597015</v>
      </c>
      <c r="D4" s="56">
        <f t="shared" ref="D4:D12" si="1">J$12</f>
        <v>179.56716417910448</v>
      </c>
      <c r="E4" s="56">
        <f t="shared" ref="E4:E12" si="2">K$12</f>
        <v>68.828358208955223</v>
      </c>
      <c r="G4" t="s">
        <v>2</v>
      </c>
      <c r="H4" s="6">
        <v>34</v>
      </c>
      <c r="I4" s="6"/>
      <c r="J4" s="6">
        <f>H4</f>
        <v>34</v>
      </c>
      <c r="K4" s="6">
        <f>J4</f>
        <v>34</v>
      </c>
      <c r="M4" t="s">
        <v>44</v>
      </c>
      <c r="N4" s="11">
        <f>+J3/O3</f>
        <v>0.65671641791044777</v>
      </c>
    </row>
    <row r="5" spans="2:22" x14ac:dyDescent="0.2">
      <c r="B5" s="1">
        <v>2028</v>
      </c>
      <c r="C5" s="56">
        <f t="shared" si="0"/>
        <v>204.55223880597015</v>
      </c>
      <c r="D5" s="56">
        <f t="shared" si="1"/>
        <v>179.56716417910448</v>
      </c>
      <c r="E5" s="56">
        <f t="shared" si="2"/>
        <v>68.828358208955223</v>
      </c>
      <c r="G5" t="s">
        <v>14</v>
      </c>
      <c r="H5" s="75">
        <v>7</v>
      </c>
      <c r="I5" s="75"/>
      <c r="J5" s="6">
        <f t="shared" ref="J5:J6" si="3">H5</f>
        <v>7</v>
      </c>
      <c r="K5" s="6">
        <f>+J5</f>
        <v>7</v>
      </c>
    </row>
    <row r="6" spans="2:22" x14ac:dyDescent="0.2">
      <c r="B6" s="1">
        <v>2029</v>
      </c>
      <c r="C6" s="56">
        <f t="shared" si="0"/>
        <v>204.55223880597015</v>
      </c>
      <c r="D6" s="56">
        <f t="shared" si="1"/>
        <v>179.56716417910448</v>
      </c>
      <c r="E6" s="56">
        <f t="shared" si="2"/>
        <v>68.828358208955223</v>
      </c>
      <c r="G6" t="s">
        <v>15</v>
      </c>
      <c r="H6" s="75">
        <v>9</v>
      </c>
      <c r="I6" s="75"/>
      <c r="J6" s="6">
        <f t="shared" si="3"/>
        <v>9</v>
      </c>
      <c r="K6" s="6">
        <f>+J6</f>
        <v>9</v>
      </c>
      <c r="N6" s="11"/>
    </row>
    <row r="7" spans="2:22" x14ac:dyDescent="0.2">
      <c r="B7" s="1">
        <v>2030</v>
      </c>
      <c r="C7" s="56">
        <f t="shared" si="0"/>
        <v>204.55223880597015</v>
      </c>
      <c r="D7" s="56">
        <f t="shared" si="1"/>
        <v>179.56716417910448</v>
      </c>
      <c r="E7" s="56">
        <f t="shared" si="2"/>
        <v>68.828358208955223</v>
      </c>
      <c r="G7" t="s">
        <v>16</v>
      </c>
      <c r="H7" s="75">
        <v>33</v>
      </c>
      <c r="I7" s="75"/>
      <c r="J7" s="6">
        <v>27</v>
      </c>
      <c r="K7" s="6"/>
      <c r="N7" s="11">
        <f>+N3-P3</f>
        <v>145</v>
      </c>
    </row>
    <row r="8" spans="2:22" x14ac:dyDescent="0.2">
      <c r="B8" s="1">
        <v>2031</v>
      </c>
      <c r="C8" s="56">
        <f t="shared" si="0"/>
        <v>204.55223880597015</v>
      </c>
      <c r="D8" s="56">
        <f t="shared" si="1"/>
        <v>179.56716417910448</v>
      </c>
      <c r="E8" s="56">
        <f t="shared" si="2"/>
        <v>68.828358208955223</v>
      </c>
      <c r="G8" t="s">
        <v>122</v>
      </c>
      <c r="H8" s="6"/>
      <c r="I8" s="6"/>
      <c r="J8" s="6"/>
      <c r="K8" s="6">
        <v>-11.5</v>
      </c>
      <c r="N8">
        <f>+O3+Q3-P3</f>
        <v>110</v>
      </c>
    </row>
    <row r="9" spans="2:22" x14ac:dyDescent="0.2">
      <c r="B9" s="1">
        <v>2032</v>
      </c>
      <c r="C9" s="56">
        <f t="shared" si="0"/>
        <v>204.55223880597015</v>
      </c>
      <c r="D9" s="56">
        <f t="shared" si="1"/>
        <v>179.56716417910448</v>
      </c>
      <c r="E9" s="56">
        <f t="shared" si="2"/>
        <v>68.828358208955223</v>
      </c>
      <c r="G9" t="s">
        <v>18</v>
      </c>
      <c r="H9" s="75">
        <f>+J9*2/4</f>
        <v>4</v>
      </c>
      <c r="I9" s="75"/>
      <c r="J9" s="6">
        <v>8</v>
      </c>
      <c r="K9" s="183">
        <v>8</v>
      </c>
    </row>
    <row r="10" spans="2:22" x14ac:dyDescent="0.2">
      <c r="B10" s="1">
        <v>2033</v>
      </c>
      <c r="C10" s="56">
        <f t="shared" si="0"/>
        <v>204.55223880597015</v>
      </c>
      <c r="D10" s="56">
        <f t="shared" si="1"/>
        <v>179.56716417910448</v>
      </c>
      <c r="E10" s="56">
        <f t="shared" si="2"/>
        <v>68.828358208955223</v>
      </c>
      <c r="G10" t="s">
        <v>17</v>
      </c>
      <c r="H10" s="6">
        <f>SUM(H3:H9)</f>
        <v>204.55223880597015</v>
      </c>
      <c r="I10" s="6"/>
      <c r="J10" s="6">
        <f>SUM(J3:J9)</f>
        <v>173</v>
      </c>
      <c r="K10" s="6">
        <f>SUM(K3:K9)</f>
        <v>68.828358208955223</v>
      </c>
    </row>
    <row r="11" spans="2:22" x14ac:dyDescent="0.2">
      <c r="B11" s="1">
        <v>2034</v>
      </c>
      <c r="C11" s="56">
        <f t="shared" si="0"/>
        <v>204.55223880597015</v>
      </c>
      <c r="D11" s="56">
        <f t="shared" si="1"/>
        <v>179.56716417910448</v>
      </c>
      <c r="E11" s="56">
        <f t="shared" si="2"/>
        <v>68.828358208955223</v>
      </c>
      <c r="G11" t="s">
        <v>123</v>
      </c>
      <c r="H11" s="6">
        <f>+H10-K10</f>
        <v>135.72388059701493</v>
      </c>
      <c r="I11" s="6"/>
      <c r="J11" s="6">
        <f>+J10-K10</f>
        <v>104.17164179104478</v>
      </c>
      <c r="K11" s="6"/>
    </row>
    <row r="12" spans="2:22" x14ac:dyDescent="0.2">
      <c r="B12" s="1">
        <v>2035</v>
      </c>
      <c r="C12" s="56">
        <f t="shared" si="0"/>
        <v>204.55223880597015</v>
      </c>
      <c r="D12" s="56">
        <f t="shared" si="1"/>
        <v>179.56716417910448</v>
      </c>
      <c r="E12" s="56">
        <f t="shared" si="2"/>
        <v>68.828358208955223</v>
      </c>
      <c r="G12" s="16" t="s">
        <v>223</v>
      </c>
      <c r="H12" s="244">
        <f>H10</f>
        <v>204.55223880597015</v>
      </c>
      <c r="I12" s="16"/>
      <c r="J12" s="244">
        <f>J10+I3</f>
        <v>179.56716417910448</v>
      </c>
      <c r="K12" s="244">
        <f>K10</f>
        <v>68.828358208955223</v>
      </c>
    </row>
    <row r="13" spans="2:22" x14ac:dyDescent="0.2">
      <c r="G13" t="s">
        <v>224</v>
      </c>
      <c r="H13" s="13">
        <f>H11</f>
        <v>135.72388059701493</v>
      </c>
      <c r="J13" s="13">
        <f>J11+I3</f>
        <v>110.73880597014926</v>
      </c>
    </row>
    <row r="14" spans="2:22" x14ac:dyDescent="0.2">
      <c r="I14" s="13"/>
    </row>
    <row r="16" spans="2:22" x14ac:dyDescent="0.2">
      <c r="I16" s="1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W53"/>
  <sheetViews>
    <sheetView rightToLeft="1" topLeftCell="C1" zoomScale="85" zoomScaleNormal="85" workbookViewId="0">
      <selection activeCell="H31" sqref="H31"/>
    </sheetView>
  </sheetViews>
  <sheetFormatPr defaultRowHeight="14.25" x14ac:dyDescent="0.2"/>
  <cols>
    <col min="1" max="1" width="1.25" customWidth="1"/>
    <col min="2" max="2" width="4.875" bestFit="1" customWidth="1"/>
    <col min="3" max="3" width="8.25" bestFit="1" customWidth="1"/>
    <col min="4" max="4" width="8.125" bestFit="1" customWidth="1"/>
    <col min="5" max="5" width="5.375" bestFit="1" customWidth="1"/>
    <col min="6" max="6" width="4.5" customWidth="1"/>
    <col min="7" max="7" width="11.875" customWidth="1"/>
    <col min="8" max="8" width="19.125" bestFit="1" customWidth="1"/>
    <col min="9" max="9" width="10.875" bestFit="1" customWidth="1"/>
    <col min="10" max="10" width="13.125" bestFit="1" customWidth="1"/>
    <col min="11" max="11" width="13.875" customWidth="1"/>
    <col min="12" max="12" width="13.375" customWidth="1"/>
    <col min="13" max="13" width="14.875" bestFit="1" customWidth="1"/>
    <col min="14" max="14" width="12.375" bestFit="1" customWidth="1"/>
    <col min="15" max="15" width="11.75" customWidth="1"/>
    <col min="16" max="16" width="16.75" bestFit="1" customWidth="1"/>
    <col min="17" max="17" width="14.375" bestFit="1" customWidth="1"/>
    <col min="18" max="18" width="13.875" bestFit="1" customWidth="1"/>
    <col min="19" max="19" width="14.875" bestFit="1" customWidth="1"/>
    <col min="20" max="20" width="12.625" customWidth="1"/>
    <col min="21" max="21" width="10.875" bestFit="1" customWidth="1"/>
    <col min="22" max="22" width="11" bestFit="1" customWidth="1"/>
    <col min="23" max="23" width="10.875" bestFit="1" customWidth="1"/>
    <col min="24" max="24" width="11" bestFit="1" customWidth="1"/>
    <col min="25" max="25" width="10.875" bestFit="1" customWidth="1"/>
    <col min="26" max="26" width="12.375" bestFit="1" customWidth="1"/>
    <col min="27" max="27" width="10" customWidth="1"/>
    <col min="28" max="28" width="13.5" bestFit="1" customWidth="1"/>
    <col min="29" max="29" width="12.375" bestFit="1" customWidth="1"/>
  </cols>
  <sheetData>
    <row r="1" spans="2:22" ht="15" thickBot="1" x14ac:dyDescent="0.25">
      <c r="I1" s="11"/>
      <c r="P1" s="1" t="s">
        <v>47</v>
      </c>
      <c r="Q1" s="1">
        <v>1440</v>
      </c>
      <c r="R1" s="1"/>
    </row>
    <row r="2" spans="2:22" ht="15.75" thickBot="1" x14ac:dyDescent="0.3">
      <c r="B2" s="403" t="s">
        <v>87</v>
      </c>
      <c r="C2" s="404"/>
      <c r="D2" s="404"/>
      <c r="E2" s="405"/>
      <c r="G2" s="256" t="s">
        <v>188</v>
      </c>
      <c r="H2" s="65" t="s">
        <v>184</v>
      </c>
      <c r="I2" s="65" t="s">
        <v>185</v>
      </c>
      <c r="J2" s="65" t="s">
        <v>45</v>
      </c>
      <c r="K2" s="65" t="s">
        <v>46</v>
      </c>
      <c r="L2" s="65" t="s">
        <v>77</v>
      </c>
      <c r="M2" s="66" t="s">
        <v>75</v>
      </c>
      <c r="P2" s="1"/>
      <c r="Q2" s="1" t="s">
        <v>0</v>
      </c>
      <c r="R2" s="1" t="s">
        <v>50</v>
      </c>
    </row>
    <row r="3" spans="2:22" ht="15.75" thickBot="1" x14ac:dyDescent="0.3">
      <c r="B3" s="262" t="s">
        <v>128</v>
      </c>
      <c r="C3" s="263" t="s">
        <v>188</v>
      </c>
      <c r="D3" s="264" t="s">
        <v>187</v>
      </c>
      <c r="E3" s="264" t="s">
        <v>1</v>
      </c>
      <c r="G3" s="23" t="s">
        <v>37</v>
      </c>
      <c r="H3" s="36">
        <f>+H9</f>
        <v>3324</v>
      </c>
      <c r="I3" s="36">
        <f>H3*4*4</f>
        <v>53184</v>
      </c>
      <c r="J3" s="321">
        <f>+S25</f>
        <v>775</v>
      </c>
      <c r="K3" s="36">
        <f>+J3*I3</f>
        <v>41217600</v>
      </c>
      <c r="L3" s="36">
        <f>I3*Q9</f>
        <v>27655680</v>
      </c>
      <c r="M3" s="257"/>
      <c r="P3" s="1" t="s">
        <v>190</v>
      </c>
      <c r="Q3" s="10">
        <v>0.7</v>
      </c>
      <c r="R3" s="320">
        <v>0.7</v>
      </c>
    </row>
    <row r="4" spans="2:22" x14ac:dyDescent="0.2">
      <c r="B4" s="265">
        <v>2026</v>
      </c>
      <c r="C4" s="268">
        <f t="shared" ref="C4:C13" si="0">(T44+P44+L44)/10^6</f>
        <v>66.439902804403573</v>
      </c>
      <c r="D4" s="271">
        <f t="shared" ref="D4:D13" si="1">(U44+Q44+M44)/10^6</f>
        <v>44.755864078933158</v>
      </c>
      <c r="E4" s="266">
        <f t="shared" ref="E4:E13" si="2">I44/10^6</f>
        <v>23.071825353462739</v>
      </c>
      <c r="G4" s="23" t="s">
        <v>36</v>
      </c>
      <c r="H4" s="36">
        <v>264</v>
      </c>
      <c r="I4" s="36">
        <f>H4*4*4</f>
        <v>4224</v>
      </c>
      <c r="J4" s="321">
        <f>+S10</f>
        <v>6723.6686390532541</v>
      </c>
      <c r="K4" s="36">
        <f>+J4*I4</f>
        <v>28400776.331360944</v>
      </c>
      <c r="L4" s="36">
        <f>I4*Q10</f>
        <v>11404800</v>
      </c>
      <c r="M4" s="257"/>
      <c r="N4" s="13"/>
      <c r="P4" s="1" t="s">
        <v>48</v>
      </c>
      <c r="Q4" s="408" t="s">
        <v>191</v>
      </c>
      <c r="R4" s="409"/>
    </row>
    <row r="5" spans="2:22" ht="15" thickBot="1" x14ac:dyDescent="0.25">
      <c r="B5" s="189">
        <v>2027</v>
      </c>
      <c r="C5" s="269">
        <f t="shared" si="0"/>
        <v>69.630942804403574</v>
      </c>
      <c r="D5" s="272">
        <f t="shared" si="1"/>
        <v>46.586784815268473</v>
      </c>
      <c r="E5" s="79">
        <f t="shared" si="2"/>
        <v>23.542626826133368</v>
      </c>
      <c r="G5" s="68"/>
      <c r="H5" s="69"/>
      <c r="I5" s="69" t="s">
        <v>19</v>
      </c>
      <c r="J5" s="69"/>
      <c r="K5" s="258">
        <f>SUM(K3:K4)</f>
        <v>69618376.331360936</v>
      </c>
      <c r="L5" s="258">
        <f>SUM(L3:L4)</f>
        <v>39060480</v>
      </c>
      <c r="M5" s="259">
        <f>+R6</f>
        <v>149616</v>
      </c>
      <c r="P5" s="1" t="s">
        <v>49</v>
      </c>
      <c r="Q5" s="1">
        <v>2</v>
      </c>
      <c r="R5" s="1">
        <v>4</v>
      </c>
    </row>
    <row r="6" spans="2:22" x14ac:dyDescent="0.2">
      <c r="B6" s="189">
        <v>2028</v>
      </c>
      <c r="C6" s="269">
        <f t="shared" si="0"/>
        <v>73.88566280440358</v>
      </c>
      <c r="D6" s="272">
        <f t="shared" si="1"/>
        <v>49.021976547399269</v>
      </c>
      <c r="E6" s="79">
        <f t="shared" si="2"/>
        <v>24.158290290394962</v>
      </c>
      <c r="P6" s="1" t="s">
        <v>51</v>
      </c>
      <c r="Q6" s="128">
        <f>'צריכת דלק לבדיקות'!E11*דלקים!Q5</f>
        <v>74808</v>
      </c>
      <c r="R6" s="36">
        <f>'צריכת דלק לבדיקות'!E11*דלקים!R5</f>
        <v>149616</v>
      </c>
    </row>
    <row r="7" spans="2:22" ht="15" thickBot="1" x14ac:dyDescent="0.25">
      <c r="B7" s="189">
        <v>2029</v>
      </c>
      <c r="C7" s="269">
        <f t="shared" si="0"/>
        <v>78.140382804403572</v>
      </c>
      <c r="D7" s="272">
        <f t="shared" si="1"/>
        <v>51.466222154004498</v>
      </c>
      <c r="E7" s="79">
        <f t="shared" si="2"/>
        <v>24.792061503605428</v>
      </c>
      <c r="F7" s="11"/>
      <c r="G7" s="11"/>
    </row>
    <row r="8" spans="2:22" ht="15" x14ac:dyDescent="0.25">
      <c r="B8" s="189">
        <v>2030</v>
      </c>
      <c r="C8" s="269">
        <f t="shared" si="0"/>
        <v>83.458782804403569</v>
      </c>
      <c r="D8" s="272">
        <f t="shared" si="1"/>
        <v>54.514738756405222</v>
      </c>
      <c r="E8" s="79">
        <f t="shared" si="2"/>
        <v>25.570694708406858</v>
      </c>
      <c r="G8" s="256" t="s">
        <v>187</v>
      </c>
      <c r="H8" s="65" t="str">
        <f>+H2</f>
        <v>טון למחזור בדיקה ליחידה</v>
      </c>
      <c r="I8" s="65" t="s">
        <v>38</v>
      </c>
      <c r="J8" s="65" t="s">
        <v>45</v>
      </c>
      <c r="K8" s="65" t="s">
        <v>46</v>
      </c>
      <c r="L8" s="65" t="s">
        <v>77</v>
      </c>
      <c r="M8" s="66" t="s">
        <v>75</v>
      </c>
      <c r="P8" s="1"/>
      <c r="Q8" s="1" t="s">
        <v>53</v>
      </c>
      <c r="R8" s="1" t="s">
        <v>265</v>
      </c>
      <c r="S8" s="1" t="s">
        <v>19</v>
      </c>
    </row>
    <row r="9" spans="2:22" x14ac:dyDescent="0.2">
      <c r="B9" s="189">
        <v>2031</v>
      </c>
      <c r="C9" s="269">
        <f t="shared" si="0"/>
        <v>83.458782804403569</v>
      </c>
      <c r="D9" s="272">
        <f t="shared" si="1"/>
        <v>54.514738756405222</v>
      </c>
      <c r="E9" s="79">
        <f t="shared" si="2"/>
        <v>25.570694708406858</v>
      </c>
      <c r="F9" s="11"/>
      <c r="G9" s="23" t="s">
        <v>37</v>
      </c>
      <c r="H9" s="36">
        <f>'צריכת דלק לבדיקות'!D6</f>
        <v>3324</v>
      </c>
      <c r="I9" s="36">
        <f>H9*4*2</f>
        <v>26592</v>
      </c>
      <c r="J9" s="321">
        <f>+J3</f>
        <v>775</v>
      </c>
      <c r="K9" s="36">
        <f>+J9*I9</f>
        <v>20608800</v>
      </c>
      <c r="L9" s="36">
        <f>I9*Q9</f>
        <v>13827840</v>
      </c>
      <c r="M9" s="257"/>
      <c r="N9" s="6"/>
      <c r="P9" s="1" t="s">
        <v>249</v>
      </c>
      <c r="Q9" s="321">
        <v>520</v>
      </c>
      <c r="R9" s="321">
        <f>+Q25</f>
        <v>255</v>
      </c>
      <c r="S9" s="36">
        <f>+R9+Q9</f>
        <v>775</v>
      </c>
    </row>
    <row r="10" spans="2:22" x14ac:dyDescent="0.2">
      <c r="B10" s="189">
        <v>2032</v>
      </c>
      <c r="C10" s="269">
        <f t="shared" si="0"/>
        <v>83.458782804403569</v>
      </c>
      <c r="D10" s="272">
        <f t="shared" si="1"/>
        <v>54.514738756405222</v>
      </c>
      <c r="E10" s="79">
        <f t="shared" si="2"/>
        <v>25.570694708406858</v>
      </c>
      <c r="F10" s="11"/>
      <c r="G10" s="23" t="s">
        <v>36</v>
      </c>
      <c r="H10" s="36">
        <f>'צריכת דלק לבדיקות'!D7</f>
        <v>264</v>
      </c>
      <c r="I10" s="36">
        <f>H10*4*2</f>
        <v>2112</v>
      </c>
      <c r="J10" s="321">
        <f>+J4</f>
        <v>6723.6686390532541</v>
      </c>
      <c r="K10" s="36">
        <f>+J10*I10</f>
        <v>14200388.165680472</v>
      </c>
      <c r="L10" s="36">
        <f>I10*Q10</f>
        <v>5702400</v>
      </c>
      <c r="M10" s="260"/>
      <c r="N10" s="6"/>
      <c r="P10" s="1" t="s">
        <v>277</v>
      </c>
      <c r="Q10" s="36">
        <v>2700</v>
      </c>
      <c r="R10" s="36">
        <f>3400/0.845</f>
        <v>4023.6686390532545</v>
      </c>
      <c r="S10" s="36">
        <f>+R10+Q10</f>
        <v>6723.6686390532541</v>
      </c>
    </row>
    <row r="11" spans="2:22" ht="15" thickBot="1" x14ac:dyDescent="0.25">
      <c r="B11" s="189">
        <v>2033</v>
      </c>
      <c r="C11" s="269">
        <f t="shared" si="0"/>
        <v>83.458782804403569</v>
      </c>
      <c r="D11" s="272">
        <f t="shared" si="1"/>
        <v>54.514738756405222</v>
      </c>
      <c r="E11" s="79">
        <f t="shared" si="2"/>
        <v>25.570694708406858</v>
      </c>
      <c r="G11" s="68"/>
      <c r="H11" s="69"/>
      <c r="I11" s="69"/>
      <c r="J11" s="69"/>
      <c r="K11" s="258">
        <f>SUM(K9:K10)</f>
        <v>34809188.165680468</v>
      </c>
      <c r="L11" s="258">
        <f>SUM(L9:L10)</f>
        <v>19530240</v>
      </c>
      <c r="M11" s="261">
        <f>Q6</f>
        <v>74808</v>
      </c>
      <c r="N11" s="6"/>
    </row>
    <row r="12" spans="2:22" x14ac:dyDescent="0.2">
      <c r="B12" s="189">
        <v>2034</v>
      </c>
      <c r="C12" s="269">
        <f t="shared" si="0"/>
        <v>83.458782804403569</v>
      </c>
      <c r="D12" s="272">
        <f t="shared" si="1"/>
        <v>54.514738756405222</v>
      </c>
      <c r="E12" s="79">
        <f t="shared" si="2"/>
        <v>25.570694708406858</v>
      </c>
      <c r="V12" s="6"/>
    </row>
    <row r="13" spans="2:22" ht="15" thickBot="1" x14ac:dyDescent="0.25">
      <c r="B13" s="267">
        <v>2035</v>
      </c>
      <c r="C13" s="270">
        <f t="shared" si="0"/>
        <v>83.458782804403569</v>
      </c>
      <c r="D13" s="273">
        <f t="shared" si="1"/>
        <v>54.514738756405222</v>
      </c>
      <c r="E13" s="80">
        <f t="shared" si="2"/>
        <v>25.570694708406858</v>
      </c>
    </row>
    <row r="14" spans="2:22" ht="15" thickBot="1" x14ac:dyDescent="0.25">
      <c r="B14" s="403" t="s">
        <v>79</v>
      </c>
      <c r="C14" s="404"/>
      <c r="D14" s="404"/>
      <c r="E14" s="405"/>
      <c r="K14" s="6">
        <f>32256*165</f>
        <v>5322240</v>
      </c>
    </row>
    <row r="15" spans="2:22" ht="15.75" thickBot="1" x14ac:dyDescent="0.3">
      <c r="B15" s="262" t="s">
        <v>128</v>
      </c>
      <c r="C15" s="263" t="s">
        <v>188</v>
      </c>
      <c r="D15" s="264" t="s">
        <v>187</v>
      </c>
      <c r="E15" s="264" t="s">
        <v>1</v>
      </c>
      <c r="G15" s="2" t="s">
        <v>43</v>
      </c>
      <c r="H15" s="2" t="s">
        <v>52</v>
      </c>
      <c r="I15" s="8"/>
      <c r="J15" s="1"/>
      <c r="K15" s="2" t="s">
        <v>112</v>
      </c>
      <c r="L15" s="2" t="s">
        <v>113</v>
      </c>
      <c r="M15" s="2" t="s">
        <v>114</v>
      </c>
      <c r="O15" s="2" t="s">
        <v>83</v>
      </c>
      <c r="P15" s="2" t="s">
        <v>84</v>
      </c>
      <c r="Q15" s="2" t="s">
        <v>278</v>
      </c>
      <c r="S15" s="135" t="s">
        <v>150</v>
      </c>
      <c r="T15" s="135" t="s">
        <v>151</v>
      </c>
    </row>
    <row r="16" spans="2:22" x14ac:dyDescent="0.2">
      <c r="B16" s="265">
        <v>2026</v>
      </c>
      <c r="C16" s="268">
        <f t="shared" ref="C16:C25" si="3">(R44+N44+J44)/10^6</f>
        <v>39.073046473042623</v>
      </c>
      <c r="D16" s="271">
        <f t="shared" ref="D16:D25" si="4">(S44+O44+K44)/10^6</f>
        <v>30.757723236521311</v>
      </c>
      <c r="E16" s="266">
        <f t="shared" ref="E16:E25" si="5">H44/10^6</f>
        <v>22.442399999999999</v>
      </c>
      <c r="G16" s="1" t="s">
        <v>188</v>
      </c>
      <c r="H16" s="56">
        <f>+M5</f>
        <v>149616</v>
      </c>
      <c r="I16" s="11"/>
      <c r="J16" s="1" t="s">
        <v>55</v>
      </c>
      <c r="K16" s="10">
        <v>0.54</v>
      </c>
      <c r="L16" s="61">
        <v>15.301</v>
      </c>
      <c r="M16" s="61">
        <f>(1/L16)/K16</f>
        <v>0.12102815841133598</v>
      </c>
      <c r="O16" s="1">
        <f>47.02*1.11</f>
        <v>52.192200000000007</v>
      </c>
      <c r="P16" s="5">
        <v>4.5</v>
      </c>
      <c r="Q16" s="5">
        <v>3.7</v>
      </c>
      <c r="S16" t="s">
        <v>152</v>
      </c>
      <c r="T16" s="138">
        <v>1</v>
      </c>
    </row>
    <row r="17" spans="2:21" x14ac:dyDescent="0.2">
      <c r="B17" s="189">
        <v>2027</v>
      </c>
      <c r="C17" s="269">
        <f t="shared" si="3"/>
        <v>39.073046473042623</v>
      </c>
      <c r="D17" s="272">
        <f t="shared" si="4"/>
        <v>30.757723236521311</v>
      </c>
      <c r="E17" s="79">
        <f t="shared" si="5"/>
        <v>22.442399999999999</v>
      </c>
      <c r="G17" s="1" t="s">
        <v>187</v>
      </c>
      <c r="H17" s="56">
        <f>+M11</f>
        <v>74808</v>
      </c>
      <c r="I17" s="11"/>
      <c r="J17" s="1" t="s">
        <v>54</v>
      </c>
      <c r="K17" s="10">
        <v>0.38</v>
      </c>
      <c r="L17" s="1">
        <v>7.1539999999999999</v>
      </c>
      <c r="M17" s="61">
        <f>(1/L17)/K17</f>
        <v>0.36784721098244627</v>
      </c>
      <c r="O17" t="s">
        <v>88</v>
      </c>
      <c r="P17" s="20"/>
      <c r="Q17" s="20"/>
      <c r="S17" t="s">
        <v>142</v>
      </c>
      <c r="T17">
        <v>1.8</v>
      </c>
    </row>
    <row r="18" spans="2:21" x14ac:dyDescent="0.2">
      <c r="B18" s="189">
        <v>2028</v>
      </c>
      <c r="C18" s="269">
        <f t="shared" si="3"/>
        <v>39.073046473042623</v>
      </c>
      <c r="D18" s="272">
        <f t="shared" si="4"/>
        <v>30.757723236521311</v>
      </c>
      <c r="E18" s="79">
        <f t="shared" si="5"/>
        <v>22.442399999999999</v>
      </c>
      <c r="G18" s="136" t="s">
        <v>1</v>
      </c>
      <c r="J18" s="1" t="s">
        <v>61</v>
      </c>
      <c r="K18" s="62">
        <v>0.51</v>
      </c>
      <c r="L18" s="1">
        <v>11.8635</v>
      </c>
      <c r="M18" s="61">
        <f t="shared" ref="M18" si="6">(1/L18)/K18</f>
        <v>0.16527873846044508</v>
      </c>
    </row>
    <row r="19" spans="2:21" ht="15" thickBot="1" x14ac:dyDescent="0.25">
      <c r="B19" s="189">
        <v>2029</v>
      </c>
      <c r="C19" s="269">
        <f t="shared" si="3"/>
        <v>39.073046473042623</v>
      </c>
      <c r="D19" s="272">
        <f t="shared" si="4"/>
        <v>30.757723236521311</v>
      </c>
      <c r="E19" s="79">
        <f t="shared" si="5"/>
        <v>22.442399999999999</v>
      </c>
    </row>
    <row r="20" spans="2:21" ht="15" thickBot="1" x14ac:dyDescent="0.25">
      <c r="B20" s="189">
        <v>2030</v>
      </c>
      <c r="C20" s="269">
        <f t="shared" si="3"/>
        <v>39.073046473042623</v>
      </c>
      <c r="D20" s="272">
        <f t="shared" si="4"/>
        <v>30.757723236521311</v>
      </c>
      <c r="E20" s="79">
        <f t="shared" si="5"/>
        <v>22.442399999999999</v>
      </c>
      <c r="G20" s="179" t="s">
        <v>271</v>
      </c>
      <c r="H20" s="179"/>
      <c r="I20" s="179"/>
      <c r="J20" s="179"/>
      <c r="K20" s="128">
        <v>14</v>
      </c>
      <c r="N20" s="397" t="s">
        <v>273</v>
      </c>
      <c r="O20" s="402"/>
      <c r="P20" s="398"/>
      <c r="Q20" s="397" t="s">
        <v>272</v>
      </c>
      <c r="R20" s="402"/>
      <c r="S20" s="398"/>
      <c r="T20" s="325" t="s">
        <v>57</v>
      </c>
      <c r="U20" s="326"/>
    </row>
    <row r="21" spans="2:21" x14ac:dyDescent="0.2">
      <c r="B21" s="189">
        <v>2031</v>
      </c>
      <c r="C21" s="269">
        <f t="shared" si="3"/>
        <v>39.073046473042623</v>
      </c>
      <c r="D21" s="272">
        <f t="shared" si="4"/>
        <v>30.757723236521311</v>
      </c>
      <c r="E21" s="79">
        <f t="shared" si="5"/>
        <v>22.442399999999999</v>
      </c>
      <c r="G21" s="399" t="s">
        <v>269</v>
      </c>
      <c r="H21" s="400"/>
      <c r="I21" s="400"/>
      <c r="J21" s="401"/>
      <c r="K21" s="1">
        <v>19.100000000000001</v>
      </c>
      <c r="M21" s="193"/>
      <c r="N21" s="64" t="s">
        <v>78</v>
      </c>
      <c r="O21" s="65" t="s">
        <v>82</v>
      </c>
      <c r="P21" s="66" t="s">
        <v>86</v>
      </c>
      <c r="Q21" s="334" t="s">
        <v>80</v>
      </c>
      <c r="R21" s="65" t="s">
        <v>81</v>
      </c>
      <c r="S21" s="66" t="s">
        <v>85</v>
      </c>
      <c r="T21" s="64" t="s">
        <v>79</v>
      </c>
      <c r="U21" s="66" t="s">
        <v>87</v>
      </c>
    </row>
    <row r="22" spans="2:21" x14ac:dyDescent="0.2">
      <c r="B22" s="189">
        <v>2032</v>
      </c>
      <c r="C22" s="269">
        <f t="shared" si="3"/>
        <v>39.073046473042623</v>
      </c>
      <c r="D22" s="272">
        <f t="shared" si="4"/>
        <v>30.757723236521311</v>
      </c>
      <c r="E22" s="79">
        <f t="shared" si="5"/>
        <v>22.442399999999999</v>
      </c>
      <c r="G22" s="399" t="s">
        <v>270</v>
      </c>
      <c r="H22" s="400"/>
      <c r="I22" s="400"/>
      <c r="J22" s="401"/>
      <c r="K22" s="1">
        <v>44.6</v>
      </c>
      <c r="M22" s="186">
        <v>2024</v>
      </c>
      <c r="N22" s="25">
        <v>19.239999999999998</v>
      </c>
      <c r="O22" s="63">
        <f>$O$16*$P$16*$Q$16</f>
        <v>869.00013000000013</v>
      </c>
      <c r="P22" s="67">
        <f>N22+O22</f>
        <v>888.24013000000014</v>
      </c>
      <c r="Q22" s="335">
        <v>114.67</v>
      </c>
      <c r="R22" s="1">
        <f>$Q$9</f>
        <v>520</v>
      </c>
      <c r="S22" s="67">
        <f>Q22+R22</f>
        <v>634.66999999999996</v>
      </c>
      <c r="T22" s="25">
        <f>$M$16*O22+$T$16*10+IF(מרכז!$D$25=מרכז!$C$50,0,דלקים!$K$20*10-דלקים!$O$22*דלקים!$M$16)</f>
        <v>150</v>
      </c>
      <c r="U22" s="29">
        <f>P22*$M$16+$T$16*10+IF(מרכז!$D$25=מרכז!$C$50,0,דלקים!$K$20*10-דלקים!$P$22*דלקים!$M$16)</f>
        <v>150</v>
      </c>
    </row>
    <row r="23" spans="2:21" x14ac:dyDescent="0.2">
      <c r="B23" s="189">
        <v>2033</v>
      </c>
      <c r="C23" s="269">
        <f t="shared" si="3"/>
        <v>39.073046473042623</v>
      </c>
      <c r="D23" s="272">
        <f t="shared" si="4"/>
        <v>30.757723236521311</v>
      </c>
      <c r="E23" s="79">
        <f t="shared" si="5"/>
        <v>22.442399999999999</v>
      </c>
      <c r="M23" s="186">
        <v>2025</v>
      </c>
      <c r="N23" s="23">
        <v>33</v>
      </c>
      <c r="O23" s="63">
        <f t="shared" ref="O23:O33" si="7">$O$16*$P$16*$Q$16</f>
        <v>869.00013000000013</v>
      </c>
      <c r="P23" s="67">
        <f t="shared" ref="P23:P33" si="8">N23+O23</f>
        <v>902.00013000000013</v>
      </c>
      <c r="Q23" s="336">
        <v>147</v>
      </c>
      <c r="R23" s="1">
        <f>$Q$9</f>
        <v>520</v>
      </c>
      <c r="S23" s="67">
        <f t="shared" ref="S23:S33" si="9">Q23+R23</f>
        <v>667</v>
      </c>
      <c r="T23" s="25">
        <f>$M$16*O23+$T$16*10+IF(מרכז!$D$25=מרכז!$C$50,0,דלקים!$K$20*10-דלקים!$O$22*דלקים!$M$16)</f>
        <v>150</v>
      </c>
      <c r="U23" s="29">
        <f>P23*$M$16+$T$16*10+IF(מרכז!$D$25=מרכז!$C$50,0,דלקים!$K$20*10-דלקים!$P$22*דלקים!$M$16)</f>
        <v>151.66534745973999</v>
      </c>
    </row>
    <row r="24" spans="2:21" x14ac:dyDescent="0.2">
      <c r="B24" s="189">
        <v>2034</v>
      </c>
      <c r="C24" s="269">
        <f t="shared" si="3"/>
        <v>39.073046473042623</v>
      </c>
      <c r="D24" s="272">
        <f t="shared" si="4"/>
        <v>30.757723236521311</v>
      </c>
      <c r="E24" s="79">
        <f t="shared" si="5"/>
        <v>22.442399999999999</v>
      </c>
      <c r="M24" s="186">
        <v>2026</v>
      </c>
      <c r="N24" s="23">
        <v>54</v>
      </c>
      <c r="O24" s="63">
        <f t="shared" si="7"/>
        <v>869.00013000000013</v>
      </c>
      <c r="P24" s="67">
        <f t="shared" si="8"/>
        <v>923.00013000000013</v>
      </c>
      <c r="Q24" s="336">
        <v>195</v>
      </c>
      <c r="R24" s="1">
        <f t="shared" ref="R24:R33" si="10">$Q$9</f>
        <v>520</v>
      </c>
      <c r="S24" s="67">
        <f t="shared" si="9"/>
        <v>715</v>
      </c>
      <c r="T24" s="25">
        <f>$M$16*O24+$T$16*10+IF(מרכז!$D$25=מרכז!$C$50,0,דלקים!$K$20*10-דלקים!$O$22*דלקים!$M$16)</f>
        <v>150</v>
      </c>
      <c r="U24" s="29">
        <f>P24*$M$16+$T$16*10+IF(מרכז!$D$25=מרכז!$C$50,0,דלקים!$K$20*10-דלקים!$P$22*דלקים!$M$16)</f>
        <v>154.20693878637803</v>
      </c>
    </row>
    <row r="25" spans="2:21" ht="15" thickBot="1" x14ac:dyDescent="0.25">
      <c r="B25" s="267">
        <v>2035</v>
      </c>
      <c r="C25" s="270">
        <f t="shared" si="3"/>
        <v>39.073046473042623</v>
      </c>
      <c r="D25" s="273">
        <f t="shared" si="4"/>
        <v>30.757723236521311</v>
      </c>
      <c r="E25" s="80">
        <f t="shared" si="5"/>
        <v>22.442399999999999</v>
      </c>
      <c r="M25" s="186">
        <v>2027</v>
      </c>
      <c r="N25" s="23">
        <v>80</v>
      </c>
      <c r="O25" s="63">
        <f t="shared" si="7"/>
        <v>869.00013000000013</v>
      </c>
      <c r="P25" s="67">
        <f t="shared" si="8"/>
        <v>949.00013000000013</v>
      </c>
      <c r="Q25" s="336">
        <v>255</v>
      </c>
      <c r="R25" s="1">
        <f t="shared" si="10"/>
        <v>520</v>
      </c>
      <c r="S25" s="67">
        <f t="shared" si="9"/>
        <v>775</v>
      </c>
      <c r="T25" s="25">
        <f>$M$16*O25+$T$16*10+IF(מרכז!$D$25=מרכז!$C$50,0,דלקים!$K$20*10-דלקים!$O$22*דלקים!$M$16)</f>
        <v>150</v>
      </c>
      <c r="U25" s="29">
        <f>P25*$M$16+$T$16*10+IF(מרכז!$D$25=מרכז!$C$50,0,דלקים!$K$20*10-דלקים!$P$22*דלקים!$M$16)</f>
        <v>157.35367090507276</v>
      </c>
    </row>
    <row r="26" spans="2:21" x14ac:dyDescent="0.2">
      <c r="M26" s="186">
        <v>2028</v>
      </c>
      <c r="N26" s="23">
        <v>114</v>
      </c>
      <c r="O26" s="63">
        <f t="shared" si="7"/>
        <v>869.00013000000013</v>
      </c>
      <c r="P26" s="67">
        <f t="shared" si="8"/>
        <v>983.00013000000013</v>
      </c>
      <c r="Q26" s="336">
        <v>335</v>
      </c>
      <c r="R26" s="1">
        <f t="shared" si="10"/>
        <v>520</v>
      </c>
      <c r="S26" s="67">
        <f t="shared" si="9"/>
        <v>855</v>
      </c>
      <c r="T26" s="25">
        <f>$M$16*O26+$T$16*10+IF(מרכז!$D$25=מרכז!$C$50,0,דלקים!$K$20*10-דלקים!$O$22*דלקים!$M$16)</f>
        <v>150</v>
      </c>
      <c r="U26" s="29">
        <f>P26*$M$16+$T$16*10+IF(מרכז!$D$25=מרכז!$C$50,0,דלקים!$K$20*10-דלקים!$P$22*דלקים!$M$16)</f>
        <v>161.4686282910582</v>
      </c>
    </row>
    <row r="27" spans="2:21" x14ac:dyDescent="0.2">
      <c r="M27" s="186">
        <v>2029</v>
      </c>
      <c r="N27" s="23">
        <v>149</v>
      </c>
      <c r="O27" s="63">
        <f t="shared" si="7"/>
        <v>869.00013000000013</v>
      </c>
      <c r="P27" s="67">
        <f t="shared" si="8"/>
        <v>1018.0001300000001</v>
      </c>
      <c r="Q27" s="336">
        <v>415</v>
      </c>
      <c r="R27" s="1">
        <f t="shared" si="10"/>
        <v>520</v>
      </c>
      <c r="S27" s="67">
        <f t="shared" si="9"/>
        <v>935</v>
      </c>
      <c r="T27" s="25">
        <f>$M$16*O27+$T$16*10+IF(מרכז!$D$25=מרכז!$C$50,0,דלקים!$K$20*10-דלקים!$O$22*דלקים!$M$16)</f>
        <v>150</v>
      </c>
      <c r="U27" s="29">
        <f>P27*$M$16+$T$16*10+IF(מרכז!$D$25=מרכז!$C$50,0,דלקים!$K$20*10-דלקים!$P$22*דלקים!$M$16)</f>
        <v>165.70461383545495</v>
      </c>
    </row>
    <row r="28" spans="2:21" x14ac:dyDescent="0.2">
      <c r="M28" s="186">
        <v>2030</v>
      </c>
      <c r="N28" s="23">
        <v>192</v>
      </c>
      <c r="O28" s="63">
        <f t="shared" si="7"/>
        <v>869.00013000000013</v>
      </c>
      <c r="P28" s="67">
        <f t="shared" si="8"/>
        <v>1061.0001300000001</v>
      </c>
      <c r="Q28" s="336">
        <v>515</v>
      </c>
      <c r="R28" s="1">
        <f t="shared" si="10"/>
        <v>520</v>
      </c>
      <c r="S28" s="67">
        <f t="shared" si="9"/>
        <v>1035</v>
      </c>
      <c r="T28" s="25">
        <f>$M$16*O28+$T$16*10+IF(מרכז!$D$25=מרכז!$C$50,0,דלקים!$K$20*10-דלקים!$O$22*דלקים!$M$16)</f>
        <v>150</v>
      </c>
      <c r="U28" s="29">
        <f>P28*$M$16+$T$16*10+IF(מרכז!$D$25=מרכז!$C$50,0,דלקים!$K$20*10-דלקים!$P$22*דלקים!$M$16)</f>
        <v>170.90882464714241</v>
      </c>
    </row>
    <row r="29" spans="2:21" x14ac:dyDescent="0.2">
      <c r="M29" s="186">
        <v>2031</v>
      </c>
      <c r="N29" s="23">
        <f>N28</f>
        <v>192</v>
      </c>
      <c r="O29" s="63">
        <f t="shared" si="7"/>
        <v>869.00013000000013</v>
      </c>
      <c r="P29" s="67">
        <f t="shared" si="8"/>
        <v>1061.0001300000001</v>
      </c>
      <c r="Q29" s="336">
        <f>Q28</f>
        <v>515</v>
      </c>
      <c r="R29" s="1">
        <f t="shared" si="10"/>
        <v>520</v>
      </c>
      <c r="S29" s="67">
        <f t="shared" si="9"/>
        <v>1035</v>
      </c>
      <c r="T29" s="25">
        <f>$M$16*O29+$T$16*10+IF(מרכז!$D$25=מרכז!$C$50,0,דלקים!$K$20*10-דלקים!$O$22*דלקים!$M$16)</f>
        <v>150</v>
      </c>
      <c r="U29" s="29">
        <f>P29*$M$16+$T$16*10+IF(מרכז!$D$25=מרכז!$C$50,0,דלקים!$K$20*10-דלקים!$P$22*דלקים!$M$16)</f>
        <v>170.90882464714241</v>
      </c>
    </row>
    <row r="30" spans="2:21" x14ac:dyDescent="0.2">
      <c r="M30" s="186">
        <v>2032</v>
      </c>
      <c r="N30" s="23">
        <f t="shared" ref="N30:N33" si="11">N29</f>
        <v>192</v>
      </c>
      <c r="O30" s="63">
        <f t="shared" si="7"/>
        <v>869.00013000000013</v>
      </c>
      <c r="P30" s="67">
        <f t="shared" si="8"/>
        <v>1061.0001300000001</v>
      </c>
      <c r="Q30" s="336">
        <f t="shared" ref="Q30:Q33" si="12">Q29</f>
        <v>515</v>
      </c>
      <c r="R30" s="1">
        <f t="shared" si="10"/>
        <v>520</v>
      </c>
      <c r="S30" s="67">
        <f t="shared" si="9"/>
        <v>1035</v>
      </c>
      <c r="T30" s="25">
        <f>$M$16*O30+$T$16*10+IF(מרכז!$D$25=מרכז!$C$50,0,דלקים!$K$20*10-דלקים!$O$22*דלקים!$M$16)</f>
        <v>150</v>
      </c>
      <c r="U30" s="29">
        <f>P30*$M$16+$T$16*10+IF(מרכז!$D$25=מרכז!$C$50,0,דלקים!$K$20*10-דלקים!$P$22*דלקים!$M$16)</f>
        <v>170.90882464714241</v>
      </c>
    </row>
    <row r="31" spans="2:21" x14ac:dyDescent="0.2">
      <c r="M31" s="186">
        <v>2033</v>
      </c>
      <c r="N31" s="23">
        <f t="shared" si="11"/>
        <v>192</v>
      </c>
      <c r="O31" s="63">
        <f t="shared" si="7"/>
        <v>869.00013000000013</v>
      </c>
      <c r="P31" s="67">
        <f t="shared" si="8"/>
        <v>1061.0001300000001</v>
      </c>
      <c r="Q31" s="336">
        <f t="shared" si="12"/>
        <v>515</v>
      </c>
      <c r="R31" s="1">
        <f t="shared" si="10"/>
        <v>520</v>
      </c>
      <c r="S31" s="67">
        <f t="shared" si="9"/>
        <v>1035</v>
      </c>
      <c r="T31" s="25">
        <f>$M$16*O31+$T$16*10+IF(מרכז!$D$25=מרכז!$C$50,0,דלקים!$K$20*10-דלקים!$O$22*דלקים!$M$16)</f>
        <v>150</v>
      </c>
      <c r="U31" s="29">
        <f>P31*$M$16+$T$16*10+IF(מרכז!$D$25=מרכז!$C$50,0,דלקים!$K$20*10-דלקים!$P$22*דלקים!$M$16)</f>
        <v>170.90882464714241</v>
      </c>
    </row>
    <row r="32" spans="2:21" x14ac:dyDescent="0.2">
      <c r="M32" s="186">
        <v>2034</v>
      </c>
      <c r="N32" s="23">
        <f t="shared" si="11"/>
        <v>192</v>
      </c>
      <c r="O32" s="63">
        <f t="shared" si="7"/>
        <v>869.00013000000013</v>
      </c>
      <c r="P32" s="67">
        <f t="shared" si="8"/>
        <v>1061.0001300000001</v>
      </c>
      <c r="Q32" s="336">
        <f t="shared" si="12"/>
        <v>515</v>
      </c>
      <c r="R32" s="1">
        <f t="shared" si="10"/>
        <v>520</v>
      </c>
      <c r="S32" s="67">
        <f t="shared" si="9"/>
        <v>1035</v>
      </c>
      <c r="T32" s="25">
        <f>$M$16*O32+$T$16*10+IF(מרכז!$D$25=מרכז!$C$50,0,דלקים!$K$20*10-דלקים!$O$22*דלקים!$M$16)</f>
        <v>150</v>
      </c>
      <c r="U32" s="29">
        <f>P32*$M$16+$T$16*10+IF(מרכז!$D$25=מרכז!$C$50,0,דלקים!$K$20*10-דלקים!$P$22*דלקים!$M$16)</f>
        <v>170.90882464714241</v>
      </c>
    </row>
    <row r="33" spans="7:23" ht="15" thickBot="1" x14ac:dyDescent="0.25">
      <c r="M33" s="192">
        <v>2035</v>
      </c>
      <c r="N33" s="68">
        <f t="shared" si="11"/>
        <v>192</v>
      </c>
      <c r="O33" s="70">
        <f t="shared" si="7"/>
        <v>869.00013000000013</v>
      </c>
      <c r="P33" s="71">
        <f t="shared" si="8"/>
        <v>1061.0001300000001</v>
      </c>
      <c r="Q33" s="337">
        <f t="shared" si="12"/>
        <v>515</v>
      </c>
      <c r="R33" s="69">
        <f t="shared" si="10"/>
        <v>520</v>
      </c>
      <c r="S33" s="71">
        <f t="shared" si="9"/>
        <v>1035</v>
      </c>
      <c r="T33" s="130">
        <f>$M$16*O33+$T$16*10+IF(מרכז!$D$25=מרכז!$C$50,0,דלקים!$K$20*10-דלקים!$O$22*דלקים!$M$16)</f>
        <v>150</v>
      </c>
      <c r="U33" s="30">
        <f>P33*$M$16+$T$16*10+IF(מרכז!$D$25=מרכז!$C$50,0,דלקים!$K$20*10-דלקים!$P$22*דלקים!$M$16)</f>
        <v>170.90882464714241</v>
      </c>
    </row>
    <row r="35" spans="7:23" x14ac:dyDescent="0.2">
      <c r="O35" s="6"/>
      <c r="P35" s="6"/>
      <c r="Q35" s="6"/>
    </row>
    <row r="36" spans="7:23" x14ac:dyDescent="0.2">
      <c r="M36" s="20"/>
      <c r="N36" s="20"/>
      <c r="O36" s="20"/>
      <c r="P36" s="20"/>
      <c r="Q36" s="20"/>
      <c r="U36" s="4"/>
      <c r="V36" s="21"/>
      <c r="W36" s="129"/>
    </row>
    <row r="37" spans="7:23" x14ac:dyDescent="0.2">
      <c r="M37" s="20"/>
      <c r="N37" s="20"/>
      <c r="O37" s="180"/>
      <c r="P37" s="180"/>
      <c r="Q37" s="180"/>
      <c r="U37" s="72"/>
      <c r="V37" s="72"/>
      <c r="W37" s="72"/>
    </row>
    <row r="38" spans="7:23" x14ac:dyDescent="0.2">
      <c r="M38" s="20"/>
      <c r="N38" s="20"/>
      <c r="O38" s="20"/>
      <c r="P38" s="245"/>
      <c r="Q38" s="20"/>
      <c r="U38" s="72"/>
      <c r="V38" s="73"/>
      <c r="W38" s="73"/>
    </row>
    <row r="39" spans="7:23" ht="15" thickBot="1" x14ac:dyDescent="0.25">
      <c r="K39" s="13"/>
      <c r="M39" s="20"/>
      <c r="N39" s="20"/>
      <c r="O39" s="20"/>
      <c r="P39" s="20"/>
      <c r="Q39" s="20"/>
      <c r="U39" s="72"/>
      <c r="V39" s="74"/>
      <c r="W39" s="74"/>
    </row>
    <row r="40" spans="7:23" ht="15" thickBot="1" x14ac:dyDescent="0.25">
      <c r="H40" s="406" t="s">
        <v>127</v>
      </c>
      <c r="I40" s="407"/>
      <c r="J40" s="397" t="s">
        <v>125</v>
      </c>
      <c r="K40" s="398"/>
      <c r="L40" s="397" t="s">
        <v>126</v>
      </c>
      <c r="M40" s="398"/>
      <c r="N40" s="397" t="s">
        <v>89</v>
      </c>
      <c r="O40" s="398"/>
      <c r="P40" s="397" t="s">
        <v>90</v>
      </c>
      <c r="Q40" s="398"/>
      <c r="R40" s="397" t="s">
        <v>91</v>
      </c>
      <c r="S40" s="398"/>
      <c r="T40" s="397" t="s">
        <v>92</v>
      </c>
      <c r="U40" s="398"/>
    </row>
    <row r="41" spans="7:23" x14ac:dyDescent="0.2">
      <c r="H41" s="131" t="s">
        <v>79</v>
      </c>
      <c r="I41" s="132" t="s">
        <v>87</v>
      </c>
      <c r="J41" s="133" t="s">
        <v>188</v>
      </c>
      <c r="K41" s="132" t="s">
        <v>187</v>
      </c>
      <c r="L41" s="131" t="s">
        <v>188</v>
      </c>
      <c r="M41" s="132" t="s">
        <v>187</v>
      </c>
      <c r="N41" s="133" t="s">
        <v>188</v>
      </c>
      <c r="O41" s="134" t="s">
        <v>187</v>
      </c>
      <c r="P41" s="131" t="s">
        <v>188</v>
      </c>
      <c r="Q41" s="132" t="s">
        <v>187</v>
      </c>
      <c r="R41" s="64" t="s">
        <v>194</v>
      </c>
      <c r="S41" s="66" t="s">
        <v>187</v>
      </c>
      <c r="T41" s="64" t="s">
        <v>188</v>
      </c>
      <c r="U41" s="66" t="s">
        <v>187</v>
      </c>
    </row>
    <row r="42" spans="7:23" x14ac:dyDescent="0.2">
      <c r="G42" s="23">
        <v>2024</v>
      </c>
      <c r="H42" s="26">
        <f t="shared" ref="H42:H53" si="13">$H$16*T22</f>
        <v>22442400</v>
      </c>
      <c r="I42" s="29">
        <f t="shared" ref="I42:I53" si="14">$H$16*U22</f>
        <v>22442400</v>
      </c>
      <c r="J42" s="76">
        <f t="shared" ref="J42:J53" si="15">($H$16-$H$16)*T22</f>
        <v>0</v>
      </c>
      <c r="K42" s="29">
        <f t="shared" ref="K42:K53" si="16">($H$16-$H$17)*T22</f>
        <v>11221200</v>
      </c>
      <c r="L42" s="33">
        <f t="shared" ref="L42:L53" si="17">($H$16-$H$16)*U22</f>
        <v>0</v>
      </c>
      <c r="M42" s="27">
        <f t="shared" ref="M42:M53" si="18">($H$16-$H$17)*U22</f>
        <v>11221200</v>
      </c>
      <c r="N42" s="22">
        <f t="shared" ref="N42:N53" si="19">$I$3*R22</f>
        <v>27655680</v>
      </c>
      <c r="O42" s="31">
        <f t="shared" ref="O42:O53" si="20">$I$9*R22</f>
        <v>13827840</v>
      </c>
      <c r="P42" s="26">
        <f t="shared" ref="P42:P53" si="21">$I$3*S22</f>
        <v>33754289.280000001</v>
      </c>
      <c r="Q42" s="29">
        <f t="shared" ref="Q42:Q53" si="22">$I$9*S22</f>
        <v>16877144.640000001</v>
      </c>
      <c r="R42" s="26">
        <f t="shared" ref="R42:R53" si="23">($Q$10+10*$T$17*$M$18)*$I$4</f>
        <v>11417366.473042626</v>
      </c>
      <c r="S42" s="31">
        <f t="shared" ref="S42:S53" si="24">($Q$10+10*$T$17*$M$18)*$I$10</f>
        <v>5708683.236521313</v>
      </c>
      <c r="T42" s="26">
        <f t="shared" ref="T42:T53" si="25">($S$10+10*$T$17*$M$18)*$I$4</f>
        <v>28413342.80440357</v>
      </c>
      <c r="U42" s="29">
        <f t="shared" ref="U42:U53" si="26">($S$10+10*$T$17*$M$18)*$I$10</f>
        <v>14206671.402201785</v>
      </c>
    </row>
    <row r="43" spans="7:23" x14ac:dyDescent="0.2">
      <c r="G43" s="23">
        <v>2025</v>
      </c>
      <c r="H43" s="26">
        <f t="shared" si="13"/>
        <v>22442400</v>
      </c>
      <c r="I43" s="29">
        <f t="shared" si="14"/>
        <v>22691562.625536457</v>
      </c>
      <c r="J43" s="76">
        <f t="shared" si="15"/>
        <v>0</v>
      </c>
      <c r="K43" s="29">
        <f t="shared" si="16"/>
        <v>11221200</v>
      </c>
      <c r="L43" s="33">
        <f t="shared" si="17"/>
        <v>0</v>
      </c>
      <c r="M43" s="27">
        <f t="shared" si="18"/>
        <v>11345781.312768228</v>
      </c>
      <c r="N43" s="22">
        <f t="shared" si="19"/>
        <v>27655680</v>
      </c>
      <c r="O43" s="31">
        <f t="shared" si="20"/>
        <v>13827840</v>
      </c>
      <c r="P43" s="26">
        <f t="shared" si="21"/>
        <v>35473728</v>
      </c>
      <c r="Q43" s="29">
        <f t="shared" si="22"/>
        <v>17736864</v>
      </c>
      <c r="R43" s="26">
        <f t="shared" si="23"/>
        <v>11417366.473042626</v>
      </c>
      <c r="S43" s="31">
        <f t="shared" si="24"/>
        <v>5708683.236521313</v>
      </c>
      <c r="T43" s="26">
        <f t="shared" si="25"/>
        <v>28413342.80440357</v>
      </c>
      <c r="U43" s="29">
        <f t="shared" si="26"/>
        <v>14206671.402201785</v>
      </c>
    </row>
    <row r="44" spans="7:23" x14ac:dyDescent="0.2">
      <c r="G44" s="23">
        <v>2026</v>
      </c>
      <c r="H44" s="26">
        <f t="shared" si="13"/>
        <v>22442400</v>
      </c>
      <c r="I44" s="29">
        <f t="shared" si="14"/>
        <v>23071825.353462737</v>
      </c>
      <c r="J44" s="76">
        <f t="shared" si="15"/>
        <v>0</v>
      </c>
      <c r="K44" s="29">
        <f t="shared" si="16"/>
        <v>11221200</v>
      </c>
      <c r="L44" s="33">
        <f t="shared" si="17"/>
        <v>0</v>
      </c>
      <c r="M44" s="27">
        <f t="shared" si="18"/>
        <v>11535912.676731369</v>
      </c>
      <c r="N44" s="22">
        <f t="shared" si="19"/>
        <v>27655680</v>
      </c>
      <c r="O44" s="31">
        <f t="shared" si="20"/>
        <v>13827840</v>
      </c>
      <c r="P44" s="26">
        <f t="shared" si="21"/>
        <v>38026560</v>
      </c>
      <c r="Q44" s="29">
        <f t="shared" si="22"/>
        <v>19013280</v>
      </c>
      <c r="R44" s="26">
        <f t="shared" si="23"/>
        <v>11417366.473042626</v>
      </c>
      <c r="S44" s="31">
        <f t="shared" si="24"/>
        <v>5708683.236521313</v>
      </c>
      <c r="T44" s="26">
        <f t="shared" si="25"/>
        <v>28413342.80440357</v>
      </c>
      <c r="U44" s="29">
        <f t="shared" si="26"/>
        <v>14206671.402201785</v>
      </c>
    </row>
    <row r="45" spans="7:23" x14ac:dyDescent="0.2">
      <c r="G45" s="23">
        <v>2027</v>
      </c>
      <c r="H45" s="26">
        <f t="shared" si="13"/>
        <v>22442400</v>
      </c>
      <c r="I45" s="29">
        <f t="shared" si="14"/>
        <v>23542626.826133367</v>
      </c>
      <c r="J45" s="76">
        <f t="shared" si="15"/>
        <v>0</v>
      </c>
      <c r="K45" s="29">
        <f t="shared" si="16"/>
        <v>11221200</v>
      </c>
      <c r="L45" s="33">
        <f t="shared" si="17"/>
        <v>0</v>
      </c>
      <c r="M45" s="27">
        <f t="shared" si="18"/>
        <v>11771313.413066683</v>
      </c>
      <c r="N45" s="22">
        <f t="shared" si="19"/>
        <v>27655680</v>
      </c>
      <c r="O45" s="31">
        <f t="shared" si="20"/>
        <v>13827840</v>
      </c>
      <c r="P45" s="26">
        <f t="shared" si="21"/>
        <v>41217600</v>
      </c>
      <c r="Q45" s="29">
        <f t="shared" si="22"/>
        <v>20608800</v>
      </c>
      <c r="R45" s="26">
        <f t="shared" si="23"/>
        <v>11417366.473042626</v>
      </c>
      <c r="S45" s="31">
        <f t="shared" si="24"/>
        <v>5708683.236521313</v>
      </c>
      <c r="T45" s="26">
        <f t="shared" si="25"/>
        <v>28413342.80440357</v>
      </c>
      <c r="U45" s="29">
        <f t="shared" si="26"/>
        <v>14206671.402201785</v>
      </c>
    </row>
    <row r="46" spans="7:23" x14ac:dyDescent="0.2">
      <c r="G46" s="23">
        <v>2028</v>
      </c>
      <c r="H46" s="26">
        <f t="shared" si="13"/>
        <v>22442400</v>
      </c>
      <c r="I46" s="29">
        <f t="shared" si="14"/>
        <v>24158290.290394962</v>
      </c>
      <c r="J46" s="76">
        <f t="shared" si="15"/>
        <v>0</v>
      </c>
      <c r="K46" s="29">
        <f t="shared" si="16"/>
        <v>11221200</v>
      </c>
      <c r="L46" s="33">
        <f t="shared" si="17"/>
        <v>0</v>
      </c>
      <c r="M46" s="27">
        <f t="shared" si="18"/>
        <v>12079145.145197481</v>
      </c>
      <c r="N46" s="22">
        <f t="shared" si="19"/>
        <v>27655680</v>
      </c>
      <c r="O46" s="31">
        <f t="shared" si="20"/>
        <v>13827840</v>
      </c>
      <c r="P46" s="26">
        <f t="shared" si="21"/>
        <v>45472320</v>
      </c>
      <c r="Q46" s="29">
        <f t="shared" si="22"/>
        <v>22736160</v>
      </c>
      <c r="R46" s="26">
        <f t="shared" si="23"/>
        <v>11417366.473042626</v>
      </c>
      <c r="S46" s="31">
        <f t="shared" si="24"/>
        <v>5708683.236521313</v>
      </c>
      <c r="T46" s="26">
        <f t="shared" si="25"/>
        <v>28413342.80440357</v>
      </c>
      <c r="U46" s="29">
        <f t="shared" si="26"/>
        <v>14206671.402201785</v>
      </c>
    </row>
    <row r="47" spans="7:23" x14ac:dyDescent="0.2">
      <c r="G47" s="23">
        <v>2029</v>
      </c>
      <c r="H47" s="26">
        <f t="shared" si="13"/>
        <v>22442400</v>
      </c>
      <c r="I47" s="29">
        <f t="shared" si="14"/>
        <v>24792061.503605429</v>
      </c>
      <c r="J47" s="76">
        <f t="shared" si="15"/>
        <v>0</v>
      </c>
      <c r="K47" s="29">
        <f t="shared" si="16"/>
        <v>11221200</v>
      </c>
      <c r="L47" s="33">
        <f t="shared" si="17"/>
        <v>0</v>
      </c>
      <c r="M47" s="27">
        <f t="shared" si="18"/>
        <v>12396030.751802715</v>
      </c>
      <c r="N47" s="22">
        <f t="shared" si="19"/>
        <v>27655680</v>
      </c>
      <c r="O47" s="31">
        <f t="shared" si="20"/>
        <v>13827840</v>
      </c>
      <c r="P47" s="26">
        <f t="shared" si="21"/>
        <v>49727040</v>
      </c>
      <c r="Q47" s="29">
        <f t="shared" si="22"/>
        <v>24863520</v>
      </c>
      <c r="R47" s="26">
        <f t="shared" si="23"/>
        <v>11417366.473042626</v>
      </c>
      <c r="S47" s="31">
        <f t="shared" si="24"/>
        <v>5708683.236521313</v>
      </c>
      <c r="T47" s="26">
        <f t="shared" si="25"/>
        <v>28413342.80440357</v>
      </c>
      <c r="U47" s="29">
        <f t="shared" si="26"/>
        <v>14206671.402201785</v>
      </c>
    </row>
    <row r="48" spans="7:23" x14ac:dyDescent="0.2">
      <c r="G48" s="23">
        <v>2030</v>
      </c>
      <c r="H48" s="26">
        <f t="shared" si="13"/>
        <v>22442400</v>
      </c>
      <c r="I48" s="29">
        <f t="shared" si="14"/>
        <v>25570694.708406858</v>
      </c>
      <c r="J48" s="76">
        <f t="shared" si="15"/>
        <v>0</v>
      </c>
      <c r="K48" s="29">
        <f t="shared" si="16"/>
        <v>11221200</v>
      </c>
      <c r="L48" s="33">
        <f t="shared" si="17"/>
        <v>0</v>
      </c>
      <c r="M48" s="27">
        <f t="shared" si="18"/>
        <v>12785347.354203429</v>
      </c>
      <c r="N48" s="22">
        <f t="shared" si="19"/>
        <v>27655680</v>
      </c>
      <c r="O48" s="31">
        <f t="shared" si="20"/>
        <v>13827840</v>
      </c>
      <c r="P48" s="26">
        <f t="shared" si="21"/>
        <v>55045440</v>
      </c>
      <c r="Q48" s="29">
        <f t="shared" si="22"/>
        <v>27522720</v>
      </c>
      <c r="R48" s="26">
        <f t="shared" si="23"/>
        <v>11417366.473042626</v>
      </c>
      <c r="S48" s="31">
        <f t="shared" si="24"/>
        <v>5708683.236521313</v>
      </c>
      <c r="T48" s="26">
        <f t="shared" si="25"/>
        <v>28413342.80440357</v>
      </c>
      <c r="U48" s="29">
        <f t="shared" si="26"/>
        <v>14206671.402201785</v>
      </c>
    </row>
    <row r="49" spans="7:21" x14ac:dyDescent="0.2">
      <c r="G49" s="23">
        <v>2031</v>
      </c>
      <c r="H49" s="26">
        <f t="shared" si="13"/>
        <v>22442400</v>
      </c>
      <c r="I49" s="29">
        <f t="shared" si="14"/>
        <v>25570694.708406858</v>
      </c>
      <c r="J49" s="76">
        <f t="shared" si="15"/>
        <v>0</v>
      </c>
      <c r="K49" s="29">
        <f t="shared" si="16"/>
        <v>11221200</v>
      </c>
      <c r="L49" s="33">
        <f t="shared" si="17"/>
        <v>0</v>
      </c>
      <c r="M49" s="27">
        <f t="shared" si="18"/>
        <v>12785347.354203429</v>
      </c>
      <c r="N49" s="22">
        <f t="shared" si="19"/>
        <v>27655680</v>
      </c>
      <c r="O49" s="31">
        <f t="shared" si="20"/>
        <v>13827840</v>
      </c>
      <c r="P49" s="26">
        <f t="shared" si="21"/>
        <v>55045440</v>
      </c>
      <c r="Q49" s="29">
        <f t="shared" si="22"/>
        <v>27522720</v>
      </c>
      <c r="R49" s="26">
        <f t="shared" si="23"/>
        <v>11417366.473042626</v>
      </c>
      <c r="S49" s="31">
        <f t="shared" si="24"/>
        <v>5708683.236521313</v>
      </c>
      <c r="T49" s="26">
        <f t="shared" si="25"/>
        <v>28413342.80440357</v>
      </c>
      <c r="U49" s="29">
        <f t="shared" si="26"/>
        <v>14206671.402201785</v>
      </c>
    </row>
    <row r="50" spans="7:21" x14ac:dyDescent="0.2">
      <c r="G50" s="23">
        <v>2032</v>
      </c>
      <c r="H50" s="26">
        <f t="shared" si="13"/>
        <v>22442400</v>
      </c>
      <c r="I50" s="29">
        <f t="shared" si="14"/>
        <v>25570694.708406858</v>
      </c>
      <c r="J50" s="76">
        <f t="shared" si="15"/>
        <v>0</v>
      </c>
      <c r="K50" s="29">
        <f t="shared" si="16"/>
        <v>11221200</v>
      </c>
      <c r="L50" s="33">
        <f t="shared" si="17"/>
        <v>0</v>
      </c>
      <c r="M50" s="27">
        <f t="shared" si="18"/>
        <v>12785347.354203429</v>
      </c>
      <c r="N50" s="22">
        <f t="shared" si="19"/>
        <v>27655680</v>
      </c>
      <c r="O50" s="31">
        <f t="shared" si="20"/>
        <v>13827840</v>
      </c>
      <c r="P50" s="26">
        <f t="shared" si="21"/>
        <v>55045440</v>
      </c>
      <c r="Q50" s="29">
        <f t="shared" si="22"/>
        <v>27522720</v>
      </c>
      <c r="R50" s="26">
        <f t="shared" si="23"/>
        <v>11417366.473042626</v>
      </c>
      <c r="S50" s="31">
        <f t="shared" si="24"/>
        <v>5708683.236521313</v>
      </c>
      <c r="T50" s="26">
        <f t="shared" si="25"/>
        <v>28413342.80440357</v>
      </c>
      <c r="U50" s="29">
        <f t="shared" si="26"/>
        <v>14206671.402201785</v>
      </c>
    </row>
    <row r="51" spans="7:21" x14ac:dyDescent="0.2">
      <c r="G51" s="23">
        <v>2033</v>
      </c>
      <c r="H51" s="26">
        <f t="shared" si="13"/>
        <v>22442400</v>
      </c>
      <c r="I51" s="29">
        <f t="shared" si="14"/>
        <v>25570694.708406858</v>
      </c>
      <c r="J51" s="76">
        <f t="shared" si="15"/>
        <v>0</v>
      </c>
      <c r="K51" s="29">
        <f t="shared" si="16"/>
        <v>11221200</v>
      </c>
      <c r="L51" s="33">
        <f t="shared" si="17"/>
        <v>0</v>
      </c>
      <c r="M51" s="27">
        <f t="shared" si="18"/>
        <v>12785347.354203429</v>
      </c>
      <c r="N51" s="22">
        <f t="shared" si="19"/>
        <v>27655680</v>
      </c>
      <c r="O51" s="31">
        <f t="shared" si="20"/>
        <v>13827840</v>
      </c>
      <c r="P51" s="26">
        <f t="shared" si="21"/>
        <v>55045440</v>
      </c>
      <c r="Q51" s="29">
        <f t="shared" si="22"/>
        <v>27522720</v>
      </c>
      <c r="R51" s="26">
        <f t="shared" si="23"/>
        <v>11417366.473042626</v>
      </c>
      <c r="S51" s="31">
        <f t="shared" si="24"/>
        <v>5708683.236521313</v>
      </c>
      <c r="T51" s="26">
        <f t="shared" si="25"/>
        <v>28413342.80440357</v>
      </c>
      <c r="U51" s="29">
        <f t="shared" si="26"/>
        <v>14206671.402201785</v>
      </c>
    </row>
    <row r="52" spans="7:21" x14ac:dyDescent="0.2">
      <c r="G52" s="23">
        <v>2034</v>
      </c>
      <c r="H52" s="26">
        <f t="shared" si="13"/>
        <v>22442400</v>
      </c>
      <c r="I52" s="29">
        <f t="shared" si="14"/>
        <v>25570694.708406858</v>
      </c>
      <c r="J52" s="76">
        <f t="shared" si="15"/>
        <v>0</v>
      </c>
      <c r="K52" s="29">
        <f t="shared" si="16"/>
        <v>11221200</v>
      </c>
      <c r="L52" s="33">
        <f t="shared" si="17"/>
        <v>0</v>
      </c>
      <c r="M52" s="27">
        <f t="shared" si="18"/>
        <v>12785347.354203429</v>
      </c>
      <c r="N52" s="22">
        <f t="shared" si="19"/>
        <v>27655680</v>
      </c>
      <c r="O52" s="31">
        <f t="shared" si="20"/>
        <v>13827840</v>
      </c>
      <c r="P52" s="26">
        <f t="shared" si="21"/>
        <v>55045440</v>
      </c>
      <c r="Q52" s="29">
        <f t="shared" si="22"/>
        <v>27522720</v>
      </c>
      <c r="R52" s="26">
        <f t="shared" si="23"/>
        <v>11417366.473042626</v>
      </c>
      <c r="S52" s="31">
        <f t="shared" si="24"/>
        <v>5708683.236521313</v>
      </c>
      <c r="T52" s="26">
        <f t="shared" si="25"/>
        <v>28413342.80440357</v>
      </c>
      <c r="U52" s="29">
        <f t="shared" si="26"/>
        <v>14206671.402201785</v>
      </c>
    </row>
    <row r="53" spans="7:21" ht="15" thickBot="1" x14ac:dyDescent="0.25">
      <c r="G53" s="68">
        <v>2035</v>
      </c>
      <c r="H53" s="26">
        <f t="shared" si="13"/>
        <v>22442400</v>
      </c>
      <c r="I53" s="29">
        <f t="shared" si="14"/>
        <v>25570694.708406858</v>
      </c>
      <c r="J53" s="76">
        <f t="shared" si="15"/>
        <v>0</v>
      </c>
      <c r="K53" s="29">
        <f t="shared" si="16"/>
        <v>11221200</v>
      </c>
      <c r="L53" s="33">
        <f t="shared" si="17"/>
        <v>0</v>
      </c>
      <c r="M53" s="27">
        <f t="shared" si="18"/>
        <v>12785347.354203429</v>
      </c>
      <c r="N53" s="34">
        <f t="shared" si="19"/>
        <v>27655680</v>
      </c>
      <c r="O53" s="32">
        <f t="shared" si="20"/>
        <v>13827840</v>
      </c>
      <c r="P53" s="28">
        <f t="shared" si="21"/>
        <v>55045440</v>
      </c>
      <c r="Q53" s="30">
        <f t="shared" si="22"/>
        <v>27522720</v>
      </c>
      <c r="R53" s="28">
        <f t="shared" si="23"/>
        <v>11417366.473042626</v>
      </c>
      <c r="S53" s="32">
        <f t="shared" si="24"/>
        <v>5708683.236521313</v>
      </c>
      <c r="T53" s="28">
        <f t="shared" si="25"/>
        <v>28413342.80440357</v>
      </c>
      <c r="U53" s="30">
        <f t="shared" si="26"/>
        <v>14206671.402201785</v>
      </c>
    </row>
  </sheetData>
  <mergeCells count="14">
    <mergeCell ref="B2:E2"/>
    <mergeCell ref="H40:I40"/>
    <mergeCell ref="Q4:R4"/>
    <mergeCell ref="B14:E14"/>
    <mergeCell ref="J40:K40"/>
    <mergeCell ref="L40:M40"/>
    <mergeCell ref="N40:O40"/>
    <mergeCell ref="P40:Q40"/>
    <mergeCell ref="R40:S40"/>
    <mergeCell ref="T40:U40"/>
    <mergeCell ref="G21:J21"/>
    <mergeCell ref="G22:J22"/>
    <mergeCell ref="Q20:S20"/>
    <mergeCell ref="N20:P20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2"/>
  <sheetViews>
    <sheetView rightToLeft="1" workbookViewId="0">
      <selection activeCell="D10" sqref="D10"/>
    </sheetView>
  </sheetViews>
  <sheetFormatPr defaultRowHeight="14.25" x14ac:dyDescent="0.2"/>
  <cols>
    <col min="1" max="1" width="9" style="81"/>
    <col min="2" max="2" width="14.125" style="81" customWidth="1"/>
    <col min="3" max="3" width="13.875" style="81" customWidth="1"/>
    <col min="4" max="4" width="13.5" style="81" customWidth="1"/>
    <col min="5" max="5" width="14.5" style="81" customWidth="1"/>
    <col min="6" max="6" width="11.5" style="81" customWidth="1"/>
    <col min="7" max="7" width="13" style="81" customWidth="1"/>
    <col min="8" max="8" width="3.875" style="81" bestFit="1" customWidth="1"/>
    <col min="9" max="9" width="16.25" style="81" customWidth="1"/>
    <col min="10" max="10" width="9" style="81"/>
    <col min="11" max="11" width="15.125" style="81" customWidth="1"/>
    <col min="12" max="13" width="11.5" style="81" customWidth="1"/>
    <col min="14" max="14" width="26.75" style="81" customWidth="1"/>
    <col min="15" max="266" width="9" style="81"/>
    <col min="267" max="267" width="9.875" style="81" bestFit="1" customWidth="1"/>
    <col min="268" max="522" width="9" style="81"/>
    <col min="523" max="523" width="9.875" style="81" bestFit="1" customWidth="1"/>
    <col min="524" max="778" width="9" style="81"/>
    <col min="779" max="779" width="9.875" style="81" bestFit="1" customWidth="1"/>
    <col min="780" max="1034" width="9" style="81"/>
    <col min="1035" max="1035" width="9.875" style="81" bestFit="1" customWidth="1"/>
    <col min="1036" max="1290" width="9" style="81"/>
    <col min="1291" max="1291" width="9.875" style="81" bestFit="1" customWidth="1"/>
    <col min="1292" max="1546" width="9" style="81"/>
    <col min="1547" max="1547" width="9.875" style="81" bestFit="1" customWidth="1"/>
    <col min="1548" max="1802" width="9" style="81"/>
    <col min="1803" max="1803" width="9.875" style="81" bestFit="1" customWidth="1"/>
    <col min="1804" max="2058" width="9" style="81"/>
    <col min="2059" max="2059" width="9.875" style="81" bestFit="1" customWidth="1"/>
    <col min="2060" max="2314" width="9" style="81"/>
    <col min="2315" max="2315" width="9.875" style="81" bestFit="1" customWidth="1"/>
    <col min="2316" max="2570" width="9" style="81"/>
    <col min="2571" max="2571" width="9.875" style="81" bestFit="1" customWidth="1"/>
    <col min="2572" max="2826" width="9" style="81"/>
    <col min="2827" max="2827" width="9.875" style="81" bestFit="1" customWidth="1"/>
    <col min="2828" max="3082" width="9" style="81"/>
    <col min="3083" max="3083" width="9.875" style="81" bestFit="1" customWidth="1"/>
    <col min="3084" max="3338" width="9" style="81"/>
    <col min="3339" max="3339" width="9.875" style="81" bestFit="1" customWidth="1"/>
    <col min="3340" max="3594" width="9" style="81"/>
    <col min="3595" max="3595" width="9.875" style="81" bestFit="1" customWidth="1"/>
    <col min="3596" max="3850" width="9" style="81"/>
    <col min="3851" max="3851" width="9.875" style="81" bestFit="1" customWidth="1"/>
    <col min="3852" max="4106" width="9" style="81"/>
    <col min="4107" max="4107" width="9.875" style="81" bestFit="1" customWidth="1"/>
    <col min="4108" max="4362" width="9" style="81"/>
    <col min="4363" max="4363" width="9.875" style="81" bestFit="1" customWidth="1"/>
    <col min="4364" max="4618" width="9" style="81"/>
    <col min="4619" max="4619" width="9.875" style="81" bestFit="1" customWidth="1"/>
    <col min="4620" max="4874" width="9" style="81"/>
    <col min="4875" max="4875" width="9.875" style="81" bestFit="1" customWidth="1"/>
    <col min="4876" max="5130" width="9" style="81"/>
    <col min="5131" max="5131" width="9.875" style="81" bestFit="1" customWidth="1"/>
    <col min="5132" max="5386" width="9" style="81"/>
    <col min="5387" max="5387" width="9.875" style="81" bestFit="1" customWidth="1"/>
    <col min="5388" max="5642" width="9" style="81"/>
    <col min="5643" max="5643" width="9.875" style="81" bestFit="1" customWidth="1"/>
    <col min="5644" max="5898" width="9" style="81"/>
    <col min="5899" max="5899" width="9.875" style="81" bestFit="1" customWidth="1"/>
    <col min="5900" max="6154" width="9" style="81"/>
    <col min="6155" max="6155" width="9.875" style="81" bestFit="1" customWidth="1"/>
    <col min="6156" max="6410" width="9" style="81"/>
    <col min="6411" max="6411" width="9.875" style="81" bestFit="1" customWidth="1"/>
    <col min="6412" max="6666" width="9" style="81"/>
    <col min="6667" max="6667" width="9.875" style="81" bestFit="1" customWidth="1"/>
    <col min="6668" max="6922" width="9" style="81"/>
    <col min="6923" max="6923" width="9.875" style="81" bestFit="1" customWidth="1"/>
    <col min="6924" max="7178" width="9" style="81"/>
    <col min="7179" max="7179" width="9.875" style="81" bestFit="1" customWidth="1"/>
    <col min="7180" max="7434" width="9" style="81"/>
    <col min="7435" max="7435" width="9.875" style="81" bestFit="1" customWidth="1"/>
    <col min="7436" max="7690" width="9" style="81"/>
    <col min="7691" max="7691" width="9.875" style="81" bestFit="1" customWidth="1"/>
    <col min="7692" max="7946" width="9" style="81"/>
    <col min="7947" max="7947" width="9.875" style="81" bestFit="1" customWidth="1"/>
    <col min="7948" max="8202" width="9" style="81"/>
    <col min="8203" max="8203" width="9.875" style="81" bestFit="1" customWidth="1"/>
    <col min="8204" max="8458" width="9" style="81"/>
    <col min="8459" max="8459" width="9.875" style="81" bestFit="1" customWidth="1"/>
    <col min="8460" max="8714" width="9" style="81"/>
    <col min="8715" max="8715" width="9.875" style="81" bestFit="1" customWidth="1"/>
    <col min="8716" max="8970" width="9" style="81"/>
    <col min="8971" max="8971" width="9.875" style="81" bestFit="1" customWidth="1"/>
    <col min="8972" max="9226" width="9" style="81"/>
    <col min="9227" max="9227" width="9.875" style="81" bestFit="1" customWidth="1"/>
    <col min="9228" max="9482" width="9" style="81"/>
    <col min="9483" max="9483" width="9.875" style="81" bestFit="1" customWidth="1"/>
    <col min="9484" max="9738" width="9" style="81"/>
    <col min="9739" max="9739" width="9.875" style="81" bestFit="1" customWidth="1"/>
    <col min="9740" max="9994" width="9" style="81"/>
    <col min="9995" max="9995" width="9.875" style="81" bestFit="1" customWidth="1"/>
    <col min="9996" max="10250" width="9" style="81"/>
    <col min="10251" max="10251" width="9.875" style="81" bestFit="1" customWidth="1"/>
    <col min="10252" max="10506" width="9" style="81"/>
    <col min="10507" max="10507" width="9.875" style="81" bestFit="1" customWidth="1"/>
    <col min="10508" max="10762" width="9" style="81"/>
    <col min="10763" max="10763" width="9.875" style="81" bestFit="1" customWidth="1"/>
    <col min="10764" max="11018" width="9" style="81"/>
    <col min="11019" max="11019" width="9.875" style="81" bestFit="1" customWidth="1"/>
    <col min="11020" max="11274" width="9" style="81"/>
    <col min="11275" max="11275" width="9.875" style="81" bestFit="1" customWidth="1"/>
    <col min="11276" max="11530" width="9" style="81"/>
    <col min="11531" max="11531" width="9.875" style="81" bestFit="1" customWidth="1"/>
    <col min="11532" max="11786" width="9" style="81"/>
    <col min="11787" max="11787" width="9.875" style="81" bestFit="1" customWidth="1"/>
    <col min="11788" max="12042" width="9" style="81"/>
    <col min="12043" max="12043" width="9.875" style="81" bestFit="1" customWidth="1"/>
    <col min="12044" max="12298" width="9" style="81"/>
    <col min="12299" max="12299" width="9.875" style="81" bestFit="1" customWidth="1"/>
    <col min="12300" max="12554" width="9" style="81"/>
    <col min="12555" max="12555" width="9.875" style="81" bestFit="1" customWidth="1"/>
    <col min="12556" max="12810" width="9" style="81"/>
    <col min="12811" max="12811" width="9.875" style="81" bestFit="1" customWidth="1"/>
    <col min="12812" max="13066" width="9" style="81"/>
    <col min="13067" max="13067" width="9.875" style="81" bestFit="1" customWidth="1"/>
    <col min="13068" max="13322" width="9" style="81"/>
    <col min="13323" max="13323" width="9.875" style="81" bestFit="1" customWidth="1"/>
    <col min="13324" max="13578" width="9" style="81"/>
    <col min="13579" max="13579" width="9.875" style="81" bestFit="1" customWidth="1"/>
    <col min="13580" max="13834" width="9" style="81"/>
    <col min="13835" max="13835" width="9.875" style="81" bestFit="1" customWidth="1"/>
    <col min="13836" max="14090" width="9" style="81"/>
    <col min="14091" max="14091" width="9.875" style="81" bestFit="1" customWidth="1"/>
    <col min="14092" max="14346" width="9" style="81"/>
    <col min="14347" max="14347" width="9.875" style="81" bestFit="1" customWidth="1"/>
    <col min="14348" max="14602" width="9" style="81"/>
    <col min="14603" max="14603" width="9.875" style="81" bestFit="1" customWidth="1"/>
    <col min="14604" max="14858" width="9" style="81"/>
    <col min="14859" max="14859" width="9.875" style="81" bestFit="1" customWidth="1"/>
    <col min="14860" max="15114" width="9" style="81"/>
    <col min="15115" max="15115" width="9.875" style="81" bestFit="1" customWidth="1"/>
    <col min="15116" max="15370" width="9" style="81"/>
    <col min="15371" max="15371" width="9.875" style="81" bestFit="1" customWidth="1"/>
    <col min="15372" max="15626" width="9" style="81"/>
    <col min="15627" max="15627" width="9.875" style="81" bestFit="1" customWidth="1"/>
    <col min="15628" max="15882" width="9" style="81"/>
    <col min="15883" max="15883" width="9.875" style="81" bestFit="1" customWidth="1"/>
    <col min="15884" max="16138" width="9" style="81"/>
    <col min="16139" max="16139" width="9.875" style="81" bestFit="1" customWidth="1"/>
    <col min="16140" max="16384" width="9" style="81"/>
  </cols>
  <sheetData>
    <row r="1" spans="2:17" ht="21" thickBot="1" x14ac:dyDescent="0.35">
      <c r="C1" s="82" t="s">
        <v>266</v>
      </c>
    </row>
    <row r="2" spans="2:17" ht="32.25" customHeight="1" thickBot="1" x14ac:dyDescent="0.3">
      <c r="C2" s="83" t="s">
        <v>129</v>
      </c>
      <c r="I2" s="84" t="s">
        <v>130</v>
      </c>
      <c r="J2" s="424" t="s">
        <v>131</v>
      </c>
      <c r="K2" s="425"/>
    </row>
    <row r="3" spans="2:17" ht="21" thickBot="1" x14ac:dyDescent="0.35">
      <c r="B3" s="82" t="s">
        <v>132</v>
      </c>
      <c r="I3" s="85" t="s">
        <v>133</v>
      </c>
      <c r="J3" s="86">
        <v>1</v>
      </c>
      <c r="K3" s="87">
        <v>0.7</v>
      </c>
    </row>
    <row r="4" spans="2:17" ht="31.5" thickBot="1" x14ac:dyDescent="0.3">
      <c r="B4" s="88"/>
      <c r="C4" s="89" t="s">
        <v>134</v>
      </c>
      <c r="D4" s="90" t="s">
        <v>135</v>
      </c>
      <c r="E4" s="90" t="s">
        <v>135</v>
      </c>
      <c r="F4" s="168"/>
      <c r="G4" s="168"/>
      <c r="I4" s="91" t="s">
        <v>136</v>
      </c>
      <c r="J4" s="92">
        <v>120</v>
      </c>
      <c r="K4" s="93">
        <f>+J4*0.6</f>
        <v>72</v>
      </c>
    </row>
    <row r="5" spans="2:17" ht="16.5" customHeight="1" thickBot="1" x14ac:dyDescent="0.25">
      <c r="B5" s="94"/>
      <c r="C5" s="94" t="s">
        <v>137</v>
      </c>
      <c r="D5" s="95" t="s">
        <v>138</v>
      </c>
      <c r="E5" s="95" t="s">
        <v>139</v>
      </c>
      <c r="F5" s="169"/>
      <c r="G5" s="170"/>
      <c r="N5" s="96"/>
      <c r="O5" s="167"/>
      <c r="P5" s="167"/>
      <c r="Q5" s="167"/>
    </row>
    <row r="6" spans="2:17" ht="15.75" customHeight="1" x14ac:dyDescent="0.2">
      <c r="B6" s="410" t="s">
        <v>140</v>
      </c>
      <c r="C6" s="97" t="s">
        <v>141</v>
      </c>
      <c r="D6" s="98">
        <f>+E89</f>
        <v>3324</v>
      </c>
      <c r="E6" s="98">
        <f>+F89</f>
        <v>0</v>
      </c>
      <c r="F6" s="171"/>
      <c r="G6" s="171"/>
      <c r="N6" s="96"/>
      <c r="O6" s="96"/>
      <c r="P6" s="413"/>
      <c r="Q6" s="413"/>
    </row>
    <row r="7" spans="2:17" ht="15.75" thickBot="1" x14ac:dyDescent="0.25">
      <c r="B7" s="411"/>
      <c r="C7" s="99" t="s">
        <v>142</v>
      </c>
      <c r="D7" s="100">
        <f>+D89</f>
        <v>264</v>
      </c>
      <c r="E7" s="100"/>
      <c r="F7" s="172"/>
      <c r="G7" s="172"/>
      <c r="N7" s="413"/>
      <c r="O7" s="167"/>
      <c r="P7" s="101"/>
      <c r="Q7" s="101"/>
    </row>
    <row r="8" spans="2:17" ht="16.5" thickBot="1" x14ac:dyDescent="0.3">
      <c r="B8" s="412"/>
      <c r="C8" s="102" t="s">
        <v>143</v>
      </c>
      <c r="D8" s="103"/>
      <c r="E8" s="104">
        <f>+G89</f>
        <v>9351</v>
      </c>
      <c r="F8" s="173"/>
      <c r="G8" s="174"/>
      <c r="N8" s="413"/>
      <c r="O8" s="167"/>
      <c r="P8" s="101"/>
      <c r="Q8" s="101"/>
    </row>
    <row r="9" spans="2:17" ht="15" x14ac:dyDescent="0.2">
      <c r="B9" s="414" t="s">
        <v>144</v>
      </c>
      <c r="C9" s="105" t="s">
        <v>141</v>
      </c>
      <c r="D9" s="106">
        <f t="shared" ref="D9:E11" si="0">+D6*4</f>
        <v>13296</v>
      </c>
      <c r="E9" s="106">
        <f t="shared" si="0"/>
        <v>0</v>
      </c>
      <c r="F9" s="171"/>
      <c r="G9" s="171"/>
      <c r="N9" s="413"/>
      <c r="O9" s="167"/>
      <c r="P9" s="167"/>
      <c r="Q9" s="167"/>
    </row>
    <row r="10" spans="2:17" ht="15.75" thickBot="1" x14ac:dyDescent="0.25">
      <c r="B10" s="415"/>
      <c r="C10" s="107" t="s">
        <v>142</v>
      </c>
      <c r="D10" s="108">
        <f t="shared" si="0"/>
        <v>1056</v>
      </c>
      <c r="E10" s="108">
        <f t="shared" si="0"/>
        <v>0</v>
      </c>
      <c r="F10" s="175"/>
      <c r="G10" s="175"/>
      <c r="N10" s="166"/>
      <c r="O10" s="167"/>
      <c r="P10" s="167"/>
      <c r="Q10" s="167"/>
    </row>
    <row r="11" spans="2:17" ht="16.5" thickBot="1" x14ac:dyDescent="0.3">
      <c r="B11" s="416"/>
      <c r="C11" s="109" t="str">
        <f>+C8</f>
        <v>ייצור במגווט/ש</v>
      </c>
      <c r="D11" s="108">
        <f t="shared" si="0"/>
        <v>0</v>
      </c>
      <c r="E11" s="110">
        <f t="shared" si="0"/>
        <v>37404</v>
      </c>
      <c r="F11" s="175"/>
      <c r="G11" s="176"/>
      <c r="N11" s="417"/>
      <c r="O11" s="167"/>
      <c r="P11" s="101"/>
      <c r="Q11" s="101"/>
    </row>
    <row r="12" spans="2:17" ht="15" x14ac:dyDescent="0.2">
      <c r="C12" s="111"/>
      <c r="D12" s="111"/>
      <c r="E12" s="111"/>
      <c r="N12" s="417"/>
      <c r="O12" s="167"/>
      <c r="P12" s="112"/>
      <c r="Q12" s="112"/>
    </row>
    <row r="13" spans="2:17" x14ac:dyDescent="0.2">
      <c r="C13" s="111"/>
      <c r="D13" s="111"/>
      <c r="E13" s="111"/>
    </row>
    <row r="14" spans="2:17" ht="15" thickBot="1" x14ac:dyDescent="0.25"/>
    <row r="15" spans="2:17" ht="16.5" thickBot="1" x14ac:dyDescent="0.3">
      <c r="C15" s="418" t="s">
        <v>145</v>
      </c>
      <c r="D15" s="419"/>
      <c r="E15" s="419"/>
      <c r="F15" s="419"/>
      <c r="G15" s="420"/>
    </row>
    <row r="16" spans="2:17" ht="15" thickBot="1" x14ac:dyDescent="0.25">
      <c r="C16" s="113" t="s">
        <v>94</v>
      </c>
      <c r="D16" s="113" t="s">
        <v>61</v>
      </c>
      <c r="E16" s="113" t="s">
        <v>54</v>
      </c>
      <c r="F16" s="114" t="s">
        <v>146</v>
      </c>
      <c r="G16" s="114" t="s">
        <v>147</v>
      </c>
    </row>
    <row r="17" spans="3:7" ht="14.25" customHeight="1" x14ac:dyDescent="0.2">
      <c r="C17" s="115">
        <v>1</v>
      </c>
      <c r="D17" s="116">
        <f>11*0.75</f>
        <v>8.25</v>
      </c>
      <c r="E17" s="117"/>
      <c r="F17" s="421" t="s">
        <v>148</v>
      </c>
      <c r="G17" s="421"/>
    </row>
    <row r="18" spans="3:7" x14ac:dyDescent="0.2">
      <c r="C18" s="115">
        <f t="shared" ref="C18:C81" si="1">C17+1</f>
        <v>2</v>
      </c>
      <c r="D18" s="116">
        <f>+D17</f>
        <v>8.25</v>
      </c>
      <c r="E18" s="117"/>
      <c r="F18" s="422"/>
      <c r="G18" s="422"/>
    </row>
    <row r="19" spans="3:7" x14ac:dyDescent="0.2">
      <c r="C19" s="115">
        <f t="shared" si="1"/>
        <v>3</v>
      </c>
      <c r="D19" s="116">
        <f t="shared" ref="D19:D40" si="2">+D18</f>
        <v>8.25</v>
      </c>
      <c r="E19" s="117"/>
      <c r="F19" s="422"/>
      <c r="G19" s="422"/>
    </row>
    <row r="20" spans="3:7" x14ac:dyDescent="0.2">
      <c r="C20" s="115">
        <f t="shared" si="1"/>
        <v>4</v>
      </c>
      <c r="D20" s="116">
        <f t="shared" si="2"/>
        <v>8.25</v>
      </c>
      <c r="E20" s="117"/>
      <c r="F20" s="422"/>
      <c r="G20" s="422"/>
    </row>
    <row r="21" spans="3:7" x14ac:dyDescent="0.2">
      <c r="C21" s="115">
        <f t="shared" si="1"/>
        <v>5</v>
      </c>
      <c r="D21" s="116">
        <f t="shared" si="2"/>
        <v>8.25</v>
      </c>
      <c r="E21" s="117"/>
      <c r="F21" s="422"/>
      <c r="G21" s="422"/>
    </row>
    <row r="22" spans="3:7" x14ac:dyDescent="0.2">
      <c r="C22" s="115">
        <f t="shared" si="1"/>
        <v>6</v>
      </c>
      <c r="D22" s="116">
        <f t="shared" si="2"/>
        <v>8.25</v>
      </c>
      <c r="E22" s="117"/>
      <c r="F22" s="422"/>
      <c r="G22" s="422"/>
    </row>
    <row r="23" spans="3:7" x14ac:dyDescent="0.2">
      <c r="C23" s="115">
        <f t="shared" si="1"/>
        <v>7</v>
      </c>
      <c r="D23" s="116">
        <f t="shared" si="2"/>
        <v>8.25</v>
      </c>
      <c r="E23" s="117"/>
      <c r="F23" s="422"/>
      <c r="G23" s="422"/>
    </row>
    <row r="24" spans="3:7" x14ac:dyDescent="0.2">
      <c r="C24" s="115">
        <f t="shared" si="1"/>
        <v>8</v>
      </c>
      <c r="D24" s="116">
        <f t="shared" si="2"/>
        <v>8.25</v>
      </c>
      <c r="E24" s="117"/>
      <c r="F24" s="422"/>
      <c r="G24" s="422"/>
    </row>
    <row r="25" spans="3:7" x14ac:dyDescent="0.2">
      <c r="C25" s="115">
        <f t="shared" si="1"/>
        <v>9</v>
      </c>
      <c r="D25" s="116">
        <f t="shared" si="2"/>
        <v>8.25</v>
      </c>
      <c r="E25" s="117"/>
      <c r="F25" s="422"/>
      <c r="G25" s="422"/>
    </row>
    <row r="26" spans="3:7" x14ac:dyDescent="0.2">
      <c r="C26" s="115">
        <f t="shared" si="1"/>
        <v>10</v>
      </c>
      <c r="D26" s="116">
        <f t="shared" si="2"/>
        <v>8.25</v>
      </c>
      <c r="E26" s="117"/>
      <c r="F26" s="422"/>
      <c r="G26" s="422"/>
    </row>
    <row r="27" spans="3:7" x14ac:dyDescent="0.2">
      <c r="C27" s="115">
        <f t="shared" si="1"/>
        <v>11</v>
      </c>
      <c r="D27" s="116">
        <f t="shared" si="2"/>
        <v>8.25</v>
      </c>
      <c r="E27" s="117"/>
      <c r="F27" s="422"/>
      <c r="G27" s="422"/>
    </row>
    <row r="28" spans="3:7" x14ac:dyDescent="0.2">
      <c r="C28" s="115">
        <f t="shared" si="1"/>
        <v>12</v>
      </c>
      <c r="D28" s="116">
        <f t="shared" si="2"/>
        <v>8.25</v>
      </c>
      <c r="E28" s="117"/>
      <c r="F28" s="422"/>
      <c r="G28" s="422"/>
    </row>
    <row r="29" spans="3:7" x14ac:dyDescent="0.2">
      <c r="C29" s="115">
        <f t="shared" si="1"/>
        <v>13</v>
      </c>
      <c r="D29" s="116">
        <f t="shared" si="2"/>
        <v>8.25</v>
      </c>
      <c r="E29" s="117"/>
      <c r="F29" s="422"/>
      <c r="G29" s="422"/>
    </row>
    <row r="30" spans="3:7" x14ac:dyDescent="0.2">
      <c r="C30" s="115">
        <f t="shared" si="1"/>
        <v>14</v>
      </c>
      <c r="D30" s="116">
        <f t="shared" si="2"/>
        <v>8.25</v>
      </c>
      <c r="E30" s="117"/>
      <c r="F30" s="422"/>
      <c r="G30" s="422"/>
    </row>
    <row r="31" spans="3:7" x14ac:dyDescent="0.2">
      <c r="C31" s="115">
        <f t="shared" si="1"/>
        <v>15</v>
      </c>
      <c r="D31" s="116">
        <f t="shared" si="2"/>
        <v>8.25</v>
      </c>
      <c r="E31" s="117"/>
      <c r="F31" s="422"/>
      <c r="G31" s="422"/>
    </row>
    <row r="32" spans="3:7" x14ac:dyDescent="0.2">
      <c r="C32" s="115">
        <f t="shared" si="1"/>
        <v>16</v>
      </c>
      <c r="D32" s="116">
        <f t="shared" si="2"/>
        <v>8.25</v>
      </c>
      <c r="E32" s="117"/>
      <c r="F32" s="422"/>
      <c r="G32" s="422"/>
    </row>
    <row r="33" spans="2:7" x14ac:dyDescent="0.2">
      <c r="C33" s="115">
        <f t="shared" si="1"/>
        <v>17</v>
      </c>
      <c r="D33" s="116">
        <f t="shared" si="2"/>
        <v>8.25</v>
      </c>
      <c r="E33" s="117"/>
      <c r="F33" s="422"/>
      <c r="G33" s="422"/>
    </row>
    <row r="34" spans="2:7" x14ac:dyDescent="0.2">
      <c r="C34" s="115">
        <f t="shared" si="1"/>
        <v>18</v>
      </c>
      <c r="D34" s="116">
        <f t="shared" si="2"/>
        <v>8.25</v>
      </c>
      <c r="E34" s="117"/>
      <c r="F34" s="422"/>
      <c r="G34" s="422"/>
    </row>
    <row r="35" spans="2:7" x14ac:dyDescent="0.2">
      <c r="C35" s="115">
        <f t="shared" si="1"/>
        <v>19</v>
      </c>
      <c r="D35" s="116">
        <f t="shared" si="2"/>
        <v>8.25</v>
      </c>
      <c r="E35" s="117"/>
      <c r="F35" s="422"/>
      <c r="G35" s="422"/>
    </row>
    <row r="36" spans="2:7" x14ac:dyDescent="0.2">
      <c r="C36" s="115">
        <f t="shared" si="1"/>
        <v>20</v>
      </c>
      <c r="D36" s="116">
        <f t="shared" si="2"/>
        <v>8.25</v>
      </c>
      <c r="E36" s="117"/>
      <c r="F36" s="422"/>
      <c r="G36" s="422"/>
    </row>
    <row r="37" spans="2:7" x14ac:dyDescent="0.2">
      <c r="C37" s="115">
        <f t="shared" si="1"/>
        <v>21</v>
      </c>
      <c r="D37" s="116">
        <f t="shared" si="2"/>
        <v>8.25</v>
      </c>
      <c r="E37" s="117"/>
      <c r="F37" s="422"/>
      <c r="G37" s="422"/>
    </row>
    <row r="38" spans="2:7" x14ac:dyDescent="0.2">
      <c r="C38" s="115">
        <f t="shared" si="1"/>
        <v>22</v>
      </c>
      <c r="D38" s="116">
        <f t="shared" si="2"/>
        <v>8.25</v>
      </c>
      <c r="E38" s="117"/>
      <c r="F38" s="422"/>
      <c r="G38" s="422"/>
    </row>
    <row r="39" spans="2:7" x14ac:dyDescent="0.2">
      <c r="C39" s="115">
        <f t="shared" si="1"/>
        <v>23</v>
      </c>
      <c r="D39" s="116">
        <f t="shared" si="2"/>
        <v>8.25</v>
      </c>
      <c r="E39" s="117"/>
      <c r="F39" s="422"/>
      <c r="G39" s="422"/>
    </row>
    <row r="40" spans="2:7" ht="15" thickBot="1" x14ac:dyDescent="0.25">
      <c r="C40" s="115">
        <f t="shared" si="1"/>
        <v>24</v>
      </c>
      <c r="D40" s="116">
        <f t="shared" si="2"/>
        <v>8.25</v>
      </c>
      <c r="E40" s="117"/>
      <c r="F40" s="423"/>
      <c r="G40" s="423"/>
    </row>
    <row r="41" spans="2:7" ht="14.25" customHeight="1" x14ac:dyDescent="0.2">
      <c r="B41" s="81">
        <v>1</v>
      </c>
      <c r="C41" s="115">
        <f t="shared" si="1"/>
        <v>25</v>
      </c>
      <c r="D41" s="115"/>
      <c r="E41" s="118">
        <f>120*0.6</f>
        <v>72</v>
      </c>
      <c r="F41" s="421" t="s">
        <v>149</v>
      </c>
      <c r="G41" s="119">
        <v>50</v>
      </c>
    </row>
    <row r="42" spans="2:7" x14ac:dyDescent="0.2">
      <c r="B42" s="81">
        <v>2</v>
      </c>
      <c r="C42" s="115">
        <f t="shared" si="1"/>
        <v>26</v>
      </c>
      <c r="D42" s="115"/>
      <c r="E42" s="118">
        <f t="shared" ref="E42:E80" si="3">120*0.6</f>
        <v>72</v>
      </c>
      <c r="F42" s="422"/>
      <c r="G42" s="120">
        <v>100</v>
      </c>
    </row>
    <row r="43" spans="2:7" x14ac:dyDescent="0.2">
      <c r="B43" s="81">
        <v>3</v>
      </c>
      <c r="C43" s="115">
        <f t="shared" si="1"/>
        <v>27</v>
      </c>
      <c r="D43" s="115"/>
      <c r="E43" s="118">
        <f t="shared" si="3"/>
        <v>72</v>
      </c>
      <c r="F43" s="422"/>
      <c r="G43" s="120">
        <v>150</v>
      </c>
    </row>
    <row r="44" spans="2:7" x14ac:dyDescent="0.2">
      <c r="B44" s="81">
        <v>4</v>
      </c>
      <c r="C44" s="115">
        <f t="shared" si="1"/>
        <v>28</v>
      </c>
      <c r="D44" s="115"/>
      <c r="E44" s="118">
        <f t="shared" si="3"/>
        <v>72</v>
      </c>
      <c r="F44" s="422"/>
      <c r="G44" s="120">
        <v>200</v>
      </c>
    </row>
    <row r="45" spans="2:7" x14ac:dyDescent="0.2">
      <c r="B45" s="81">
        <v>5</v>
      </c>
      <c r="C45" s="115">
        <f t="shared" si="1"/>
        <v>29</v>
      </c>
      <c r="D45" s="115"/>
      <c r="E45" s="118">
        <f t="shared" si="3"/>
        <v>72</v>
      </c>
      <c r="F45" s="422"/>
      <c r="G45" s="120">
        <f>360*0.6</f>
        <v>216</v>
      </c>
    </row>
    <row r="46" spans="2:7" x14ac:dyDescent="0.2">
      <c r="B46" s="81">
        <v>6</v>
      </c>
      <c r="C46" s="115">
        <f t="shared" si="1"/>
        <v>30</v>
      </c>
      <c r="D46" s="115"/>
      <c r="E46" s="118">
        <f t="shared" si="3"/>
        <v>72</v>
      </c>
      <c r="F46" s="422"/>
      <c r="G46" s="120">
        <f t="shared" ref="G46:G80" si="4">360*0.6</f>
        <v>216</v>
      </c>
    </row>
    <row r="47" spans="2:7" x14ac:dyDescent="0.2">
      <c r="B47" s="81">
        <v>7</v>
      </c>
      <c r="C47" s="115">
        <f t="shared" si="1"/>
        <v>31</v>
      </c>
      <c r="D47" s="115"/>
      <c r="E47" s="118">
        <f t="shared" si="3"/>
        <v>72</v>
      </c>
      <c r="F47" s="422"/>
      <c r="G47" s="120">
        <f t="shared" si="4"/>
        <v>216</v>
      </c>
    </row>
    <row r="48" spans="2:7" x14ac:dyDescent="0.2">
      <c r="B48" s="81">
        <v>8</v>
      </c>
      <c r="C48" s="115">
        <f t="shared" si="1"/>
        <v>32</v>
      </c>
      <c r="D48" s="115"/>
      <c r="E48" s="118">
        <f t="shared" si="3"/>
        <v>72</v>
      </c>
      <c r="F48" s="422"/>
      <c r="G48" s="120">
        <f t="shared" si="4"/>
        <v>216</v>
      </c>
    </row>
    <row r="49" spans="2:7" x14ac:dyDescent="0.2">
      <c r="B49" s="81">
        <v>9</v>
      </c>
      <c r="C49" s="115">
        <f t="shared" si="1"/>
        <v>33</v>
      </c>
      <c r="D49" s="115"/>
      <c r="E49" s="118">
        <f t="shared" si="3"/>
        <v>72</v>
      </c>
      <c r="F49" s="422"/>
      <c r="G49" s="120">
        <f t="shared" si="4"/>
        <v>216</v>
      </c>
    </row>
    <row r="50" spans="2:7" x14ac:dyDescent="0.2">
      <c r="B50" s="81">
        <v>10</v>
      </c>
      <c r="C50" s="115">
        <f t="shared" si="1"/>
        <v>34</v>
      </c>
      <c r="D50" s="115"/>
      <c r="E50" s="118">
        <f t="shared" si="3"/>
        <v>72</v>
      </c>
      <c r="F50" s="422"/>
      <c r="G50" s="120">
        <f t="shared" si="4"/>
        <v>216</v>
      </c>
    </row>
    <row r="51" spans="2:7" x14ac:dyDescent="0.2">
      <c r="B51" s="81">
        <v>11</v>
      </c>
      <c r="C51" s="115">
        <f t="shared" si="1"/>
        <v>35</v>
      </c>
      <c r="D51" s="115"/>
      <c r="E51" s="118">
        <f t="shared" si="3"/>
        <v>72</v>
      </c>
      <c r="F51" s="422"/>
      <c r="G51" s="120">
        <f t="shared" si="4"/>
        <v>216</v>
      </c>
    </row>
    <row r="52" spans="2:7" x14ac:dyDescent="0.2">
      <c r="B52" s="81">
        <v>12</v>
      </c>
      <c r="C52" s="115">
        <f t="shared" si="1"/>
        <v>36</v>
      </c>
      <c r="D52" s="115"/>
      <c r="E52" s="118">
        <f t="shared" si="3"/>
        <v>72</v>
      </c>
      <c r="F52" s="422"/>
      <c r="G52" s="120">
        <f t="shared" si="4"/>
        <v>216</v>
      </c>
    </row>
    <row r="53" spans="2:7" x14ac:dyDescent="0.2">
      <c r="B53" s="81">
        <v>13</v>
      </c>
      <c r="C53" s="115">
        <f t="shared" si="1"/>
        <v>37</v>
      </c>
      <c r="D53" s="115"/>
      <c r="E53" s="118">
        <f t="shared" si="3"/>
        <v>72</v>
      </c>
      <c r="F53" s="422"/>
      <c r="G53" s="120">
        <f t="shared" si="4"/>
        <v>216</v>
      </c>
    </row>
    <row r="54" spans="2:7" x14ac:dyDescent="0.2">
      <c r="B54" s="81">
        <v>14</v>
      </c>
      <c r="C54" s="115">
        <f t="shared" si="1"/>
        <v>38</v>
      </c>
      <c r="D54" s="115"/>
      <c r="E54" s="118">
        <f t="shared" si="3"/>
        <v>72</v>
      </c>
      <c r="F54" s="422"/>
      <c r="G54" s="120">
        <f t="shared" si="4"/>
        <v>216</v>
      </c>
    </row>
    <row r="55" spans="2:7" x14ac:dyDescent="0.2">
      <c r="B55" s="81">
        <v>15</v>
      </c>
      <c r="C55" s="115">
        <f t="shared" si="1"/>
        <v>39</v>
      </c>
      <c r="D55" s="115"/>
      <c r="E55" s="118">
        <f t="shared" si="3"/>
        <v>72</v>
      </c>
      <c r="F55" s="422"/>
      <c r="G55" s="120">
        <f t="shared" si="4"/>
        <v>216</v>
      </c>
    </row>
    <row r="56" spans="2:7" x14ac:dyDescent="0.2">
      <c r="B56" s="81">
        <v>16</v>
      </c>
      <c r="C56" s="115">
        <f t="shared" si="1"/>
        <v>40</v>
      </c>
      <c r="D56" s="115"/>
      <c r="E56" s="118">
        <f t="shared" si="3"/>
        <v>72</v>
      </c>
      <c r="F56" s="422"/>
      <c r="G56" s="120">
        <f t="shared" si="4"/>
        <v>216</v>
      </c>
    </row>
    <row r="57" spans="2:7" x14ac:dyDescent="0.2">
      <c r="B57" s="81">
        <v>17</v>
      </c>
      <c r="C57" s="115">
        <f t="shared" si="1"/>
        <v>41</v>
      </c>
      <c r="D57" s="115"/>
      <c r="E57" s="118">
        <f t="shared" si="3"/>
        <v>72</v>
      </c>
      <c r="F57" s="422"/>
      <c r="G57" s="120">
        <f t="shared" si="4"/>
        <v>216</v>
      </c>
    </row>
    <row r="58" spans="2:7" x14ac:dyDescent="0.2">
      <c r="B58" s="81">
        <v>18</v>
      </c>
      <c r="C58" s="115">
        <f t="shared" si="1"/>
        <v>42</v>
      </c>
      <c r="D58" s="115"/>
      <c r="E58" s="118">
        <f t="shared" si="3"/>
        <v>72</v>
      </c>
      <c r="F58" s="422"/>
      <c r="G58" s="120">
        <f t="shared" si="4"/>
        <v>216</v>
      </c>
    </row>
    <row r="59" spans="2:7" x14ac:dyDescent="0.2">
      <c r="B59" s="81">
        <v>19</v>
      </c>
      <c r="C59" s="115">
        <f t="shared" si="1"/>
        <v>43</v>
      </c>
      <c r="D59" s="115"/>
      <c r="E59" s="118">
        <f t="shared" si="3"/>
        <v>72</v>
      </c>
      <c r="F59" s="422"/>
      <c r="G59" s="120">
        <f t="shared" si="4"/>
        <v>216</v>
      </c>
    </row>
    <row r="60" spans="2:7" x14ac:dyDescent="0.2">
      <c r="B60" s="81">
        <v>20</v>
      </c>
      <c r="C60" s="115">
        <f t="shared" si="1"/>
        <v>44</v>
      </c>
      <c r="D60" s="115"/>
      <c r="E60" s="118">
        <f t="shared" si="3"/>
        <v>72</v>
      </c>
      <c r="F60" s="422"/>
      <c r="G60" s="120">
        <f t="shared" si="4"/>
        <v>216</v>
      </c>
    </row>
    <row r="61" spans="2:7" x14ac:dyDescent="0.2">
      <c r="B61" s="81">
        <v>21</v>
      </c>
      <c r="C61" s="115">
        <f t="shared" si="1"/>
        <v>45</v>
      </c>
      <c r="D61" s="115"/>
      <c r="E61" s="118">
        <f t="shared" si="3"/>
        <v>72</v>
      </c>
      <c r="F61" s="422"/>
      <c r="G61" s="120">
        <f t="shared" si="4"/>
        <v>216</v>
      </c>
    </row>
    <row r="62" spans="2:7" x14ac:dyDescent="0.2">
      <c r="B62" s="81">
        <v>22</v>
      </c>
      <c r="C62" s="115">
        <f t="shared" si="1"/>
        <v>46</v>
      </c>
      <c r="D62" s="115"/>
      <c r="E62" s="118">
        <f t="shared" si="3"/>
        <v>72</v>
      </c>
      <c r="F62" s="422"/>
      <c r="G62" s="120">
        <f t="shared" si="4"/>
        <v>216</v>
      </c>
    </row>
    <row r="63" spans="2:7" x14ac:dyDescent="0.2">
      <c r="B63" s="81">
        <v>23</v>
      </c>
      <c r="C63" s="115">
        <f t="shared" si="1"/>
        <v>47</v>
      </c>
      <c r="D63" s="115"/>
      <c r="E63" s="118">
        <f t="shared" si="3"/>
        <v>72</v>
      </c>
      <c r="F63" s="422"/>
      <c r="G63" s="120">
        <f t="shared" si="4"/>
        <v>216</v>
      </c>
    </row>
    <row r="64" spans="2:7" x14ac:dyDescent="0.2">
      <c r="B64" s="81">
        <v>24</v>
      </c>
      <c r="C64" s="115">
        <f t="shared" si="1"/>
        <v>48</v>
      </c>
      <c r="D64" s="115"/>
      <c r="E64" s="118">
        <f t="shared" si="3"/>
        <v>72</v>
      </c>
      <c r="F64" s="422"/>
      <c r="G64" s="120">
        <f t="shared" si="4"/>
        <v>216</v>
      </c>
    </row>
    <row r="65" spans="2:7" x14ac:dyDescent="0.2">
      <c r="B65" s="81">
        <v>25</v>
      </c>
      <c r="C65" s="115">
        <f t="shared" si="1"/>
        <v>49</v>
      </c>
      <c r="D65" s="115"/>
      <c r="E65" s="118">
        <f t="shared" si="3"/>
        <v>72</v>
      </c>
      <c r="F65" s="422"/>
      <c r="G65" s="120">
        <f t="shared" si="4"/>
        <v>216</v>
      </c>
    </row>
    <row r="66" spans="2:7" x14ac:dyDescent="0.2">
      <c r="B66" s="81">
        <v>26</v>
      </c>
      <c r="C66" s="115">
        <f t="shared" si="1"/>
        <v>50</v>
      </c>
      <c r="D66" s="115"/>
      <c r="E66" s="118">
        <f t="shared" si="3"/>
        <v>72</v>
      </c>
      <c r="F66" s="422"/>
      <c r="G66" s="120">
        <f t="shared" si="4"/>
        <v>216</v>
      </c>
    </row>
    <row r="67" spans="2:7" x14ac:dyDescent="0.2">
      <c r="B67" s="81">
        <v>27</v>
      </c>
      <c r="C67" s="115">
        <f t="shared" si="1"/>
        <v>51</v>
      </c>
      <c r="D67" s="115"/>
      <c r="E67" s="118">
        <f t="shared" si="3"/>
        <v>72</v>
      </c>
      <c r="F67" s="422"/>
      <c r="G67" s="120">
        <f t="shared" si="4"/>
        <v>216</v>
      </c>
    </row>
    <row r="68" spans="2:7" x14ac:dyDescent="0.2">
      <c r="B68" s="81">
        <v>28</v>
      </c>
      <c r="C68" s="115">
        <f t="shared" si="1"/>
        <v>52</v>
      </c>
      <c r="D68" s="115"/>
      <c r="E68" s="118">
        <f t="shared" si="3"/>
        <v>72</v>
      </c>
      <c r="F68" s="422"/>
      <c r="G68" s="120">
        <f t="shared" si="4"/>
        <v>216</v>
      </c>
    </row>
    <row r="69" spans="2:7" x14ac:dyDescent="0.2">
      <c r="B69" s="81">
        <v>29</v>
      </c>
      <c r="C69" s="115">
        <f t="shared" si="1"/>
        <v>53</v>
      </c>
      <c r="D69" s="115"/>
      <c r="E69" s="118">
        <f t="shared" si="3"/>
        <v>72</v>
      </c>
      <c r="F69" s="422"/>
      <c r="G69" s="120">
        <f t="shared" si="4"/>
        <v>216</v>
      </c>
    </row>
    <row r="70" spans="2:7" x14ac:dyDescent="0.2">
      <c r="B70" s="81">
        <v>30</v>
      </c>
      <c r="C70" s="115">
        <f t="shared" si="1"/>
        <v>54</v>
      </c>
      <c r="D70" s="115"/>
      <c r="E70" s="118">
        <f t="shared" si="3"/>
        <v>72</v>
      </c>
      <c r="F70" s="422"/>
      <c r="G70" s="120">
        <f t="shared" si="4"/>
        <v>216</v>
      </c>
    </row>
    <row r="71" spans="2:7" x14ac:dyDescent="0.2">
      <c r="B71" s="81">
        <v>31</v>
      </c>
      <c r="C71" s="115">
        <f t="shared" si="1"/>
        <v>55</v>
      </c>
      <c r="D71" s="115"/>
      <c r="E71" s="118">
        <f t="shared" si="3"/>
        <v>72</v>
      </c>
      <c r="F71" s="422"/>
      <c r="G71" s="120">
        <f t="shared" si="4"/>
        <v>216</v>
      </c>
    </row>
    <row r="72" spans="2:7" x14ac:dyDescent="0.2">
      <c r="B72" s="81">
        <v>32</v>
      </c>
      <c r="C72" s="115">
        <f t="shared" si="1"/>
        <v>56</v>
      </c>
      <c r="D72" s="115"/>
      <c r="E72" s="118">
        <f t="shared" si="3"/>
        <v>72</v>
      </c>
      <c r="F72" s="422"/>
      <c r="G72" s="120">
        <f t="shared" si="4"/>
        <v>216</v>
      </c>
    </row>
    <row r="73" spans="2:7" x14ac:dyDescent="0.2">
      <c r="B73" s="81">
        <v>33</v>
      </c>
      <c r="C73" s="115">
        <f t="shared" si="1"/>
        <v>57</v>
      </c>
      <c r="D73" s="115"/>
      <c r="E73" s="118">
        <f t="shared" si="3"/>
        <v>72</v>
      </c>
      <c r="F73" s="422"/>
      <c r="G73" s="120">
        <f t="shared" si="4"/>
        <v>216</v>
      </c>
    </row>
    <row r="74" spans="2:7" x14ac:dyDescent="0.2">
      <c r="B74" s="81">
        <v>34</v>
      </c>
      <c r="C74" s="115">
        <f t="shared" si="1"/>
        <v>58</v>
      </c>
      <c r="D74" s="115"/>
      <c r="E74" s="118">
        <f t="shared" si="3"/>
        <v>72</v>
      </c>
      <c r="F74" s="422"/>
      <c r="G74" s="120">
        <f t="shared" si="4"/>
        <v>216</v>
      </c>
    </row>
    <row r="75" spans="2:7" x14ac:dyDescent="0.2">
      <c r="B75" s="81">
        <v>35</v>
      </c>
      <c r="C75" s="115">
        <f t="shared" si="1"/>
        <v>59</v>
      </c>
      <c r="D75" s="115"/>
      <c r="E75" s="118">
        <f t="shared" si="3"/>
        <v>72</v>
      </c>
      <c r="F75" s="422"/>
      <c r="G75" s="120">
        <f t="shared" si="4"/>
        <v>216</v>
      </c>
    </row>
    <row r="76" spans="2:7" x14ac:dyDescent="0.2">
      <c r="B76" s="81">
        <v>36</v>
      </c>
      <c r="C76" s="115">
        <f t="shared" si="1"/>
        <v>60</v>
      </c>
      <c r="D76" s="115"/>
      <c r="E76" s="118">
        <f t="shared" si="3"/>
        <v>72</v>
      </c>
      <c r="F76" s="422"/>
      <c r="G76" s="120">
        <f t="shared" si="4"/>
        <v>216</v>
      </c>
    </row>
    <row r="77" spans="2:7" x14ac:dyDescent="0.2">
      <c r="B77" s="81">
        <v>37</v>
      </c>
      <c r="C77" s="115">
        <f t="shared" si="1"/>
        <v>61</v>
      </c>
      <c r="D77" s="115"/>
      <c r="E77" s="118">
        <f t="shared" si="3"/>
        <v>72</v>
      </c>
      <c r="F77" s="422"/>
      <c r="G77" s="120">
        <f t="shared" si="4"/>
        <v>216</v>
      </c>
    </row>
    <row r="78" spans="2:7" x14ac:dyDescent="0.2">
      <c r="B78" s="81">
        <v>38</v>
      </c>
      <c r="C78" s="115">
        <f t="shared" si="1"/>
        <v>62</v>
      </c>
      <c r="D78" s="115"/>
      <c r="E78" s="118">
        <f t="shared" si="3"/>
        <v>72</v>
      </c>
      <c r="F78" s="422"/>
      <c r="G78" s="120">
        <f t="shared" si="4"/>
        <v>216</v>
      </c>
    </row>
    <row r="79" spans="2:7" x14ac:dyDescent="0.2">
      <c r="B79" s="81">
        <v>39</v>
      </c>
      <c r="C79" s="115">
        <f t="shared" si="1"/>
        <v>63</v>
      </c>
      <c r="D79" s="115"/>
      <c r="E79" s="118">
        <f t="shared" si="3"/>
        <v>72</v>
      </c>
      <c r="F79" s="422"/>
      <c r="G79" s="120">
        <f t="shared" si="4"/>
        <v>216</v>
      </c>
    </row>
    <row r="80" spans="2:7" x14ac:dyDescent="0.2">
      <c r="B80" s="81">
        <v>40</v>
      </c>
      <c r="C80" s="115">
        <f t="shared" si="1"/>
        <v>64</v>
      </c>
      <c r="D80" s="115"/>
      <c r="E80" s="118">
        <f t="shared" si="3"/>
        <v>72</v>
      </c>
      <c r="F80" s="422"/>
      <c r="G80" s="120">
        <f t="shared" si="4"/>
        <v>216</v>
      </c>
    </row>
    <row r="81" spans="2:8" x14ac:dyDescent="0.2">
      <c r="B81" s="81">
        <v>41</v>
      </c>
      <c r="C81" s="115">
        <f t="shared" si="1"/>
        <v>65</v>
      </c>
      <c r="D81" s="116">
        <f>+D17</f>
        <v>8.25</v>
      </c>
      <c r="E81" s="118">
        <f>120*0.6-D81*2</f>
        <v>55.5</v>
      </c>
      <c r="F81" s="422"/>
      <c r="G81" s="120">
        <v>210</v>
      </c>
    </row>
    <row r="82" spans="2:8" x14ac:dyDescent="0.2">
      <c r="B82" s="81">
        <v>42</v>
      </c>
      <c r="C82" s="115">
        <f t="shared" ref="C82:C88" si="5">C81+1</f>
        <v>66</v>
      </c>
      <c r="D82" s="116">
        <f t="shared" ref="D82:D88" si="6">+D18</f>
        <v>8.25</v>
      </c>
      <c r="E82" s="118">
        <f t="shared" ref="E82:E88" si="7">120*0.6-D82*2</f>
        <v>55.5</v>
      </c>
      <c r="F82" s="422"/>
      <c r="G82" s="177">
        <v>200</v>
      </c>
      <c r="H82" s="120"/>
    </row>
    <row r="83" spans="2:8" x14ac:dyDescent="0.2">
      <c r="B83" s="81">
        <v>43</v>
      </c>
      <c r="C83" s="115">
        <f t="shared" si="5"/>
        <v>67</v>
      </c>
      <c r="D83" s="116">
        <f t="shared" si="6"/>
        <v>8.25</v>
      </c>
      <c r="E83" s="118">
        <f t="shared" si="7"/>
        <v>55.5</v>
      </c>
      <c r="F83" s="422"/>
      <c r="G83" s="177">
        <f>360*0.7-252/8*2</f>
        <v>188.99999999999997</v>
      </c>
      <c r="H83" s="120"/>
    </row>
    <row r="84" spans="2:8" x14ac:dyDescent="0.2">
      <c r="B84" s="81">
        <v>44</v>
      </c>
      <c r="C84" s="115">
        <f t="shared" si="5"/>
        <v>68</v>
      </c>
      <c r="D84" s="116">
        <f t="shared" si="6"/>
        <v>8.25</v>
      </c>
      <c r="E84" s="118">
        <f t="shared" si="7"/>
        <v>55.5</v>
      </c>
      <c r="F84" s="422"/>
      <c r="G84" s="177">
        <f>360*0.7-252/8*3</f>
        <v>157.49999999999997</v>
      </c>
      <c r="H84" s="120"/>
    </row>
    <row r="85" spans="2:8" x14ac:dyDescent="0.2">
      <c r="B85" s="81">
        <v>45</v>
      </c>
      <c r="C85" s="115">
        <f t="shared" si="5"/>
        <v>69</v>
      </c>
      <c r="D85" s="116">
        <f t="shared" si="6"/>
        <v>8.25</v>
      </c>
      <c r="E85" s="118">
        <f t="shared" si="7"/>
        <v>55.5</v>
      </c>
      <c r="F85" s="422"/>
      <c r="G85" s="177">
        <f>360*0.7-252/8*4</f>
        <v>125.99999999999997</v>
      </c>
      <c r="H85" s="120"/>
    </row>
    <row r="86" spans="2:8" x14ac:dyDescent="0.2">
      <c r="B86" s="81">
        <v>46</v>
      </c>
      <c r="C86" s="115">
        <f t="shared" si="5"/>
        <v>70</v>
      </c>
      <c r="D86" s="116">
        <f t="shared" si="6"/>
        <v>8.25</v>
      </c>
      <c r="E86" s="118">
        <f t="shared" si="7"/>
        <v>55.5</v>
      </c>
      <c r="F86" s="422"/>
      <c r="G86" s="177">
        <f>360*0.7-252/8*5</f>
        <v>94.499999999999972</v>
      </c>
      <c r="H86" s="120"/>
    </row>
    <row r="87" spans="2:8" x14ac:dyDescent="0.2">
      <c r="B87" s="81">
        <v>47</v>
      </c>
      <c r="C87" s="115">
        <f t="shared" si="5"/>
        <v>71</v>
      </c>
      <c r="D87" s="116">
        <f t="shared" si="6"/>
        <v>8.25</v>
      </c>
      <c r="E87" s="118">
        <f t="shared" si="7"/>
        <v>55.5</v>
      </c>
      <c r="F87" s="422"/>
      <c r="G87" s="177">
        <f>360*0.7-252/8*6</f>
        <v>62.999999999999972</v>
      </c>
      <c r="H87" s="120"/>
    </row>
    <row r="88" spans="2:8" ht="15" thickBot="1" x14ac:dyDescent="0.25">
      <c r="B88" s="81">
        <v>48</v>
      </c>
      <c r="C88" s="121">
        <f t="shared" si="5"/>
        <v>72</v>
      </c>
      <c r="D88" s="122">
        <f t="shared" si="6"/>
        <v>8.25</v>
      </c>
      <c r="E88" s="123">
        <f t="shared" si="7"/>
        <v>55.5</v>
      </c>
      <c r="F88" s="422"/>
      <c r="G88" s="177">
        <v>35</v>
      </c>
      <c r="H88" s="120"/>
    </row>
    <row r="89" spans="2:8" ht="15.75" thickBot="1" x14ac:dyDescent="0.3">
      <c r="B89" s="81">
        <f>+B88*G88</f>
        <v>1680</v>
      </c>
      <c r="C89" s="124" t="s">
        <v>19</v>
      </c>
      <c r="D89" s="125">
        <f>SUM(D17:D88)</f>
        <v>264</v>
      </c>
      <c r="E89" s="126">
        <f>SUM(E17:E88)</f>
        <v>3324</v>
      </c>
      <c r="F89" s="126"/>
      <c r="G89" s="127">
        <f>SUM(G41:G88)</f>
        <v>9351</v>
      </c>
      <c r="H89" s="178"/>
    </row>
    <row r="91" spans="2:8" x14ac:dyDescent="0.2">
      <c r="G91" s="178"/>
      <c r="H91" s="178"/>
    </row>
    <row r="92" spans="2:8" x14ac:dyDescent="0.2">
      <c r="G92" s="81">
        <f>+G89*8</f>
        <v>74808</v>
      </c>
    </row>
  </sheetData>
  <mergeCells count="10">
    <mergeCell ref="C15:G15"/>
    <mergeCell ref="F17:F40"/>
    <mergeCell ref="G17:G40"/>
    <mergeCell ref="F41:F88"/>
    <mergeCell ref="J2:K2"/>
    <mergeCell ref="B6:B8"/>
    <mergeCell ref="P6:Q6"/>
    <mergeCell ref="N7:N9"/>
    <mergeCell ref="B9:B11"/>
    <mergeCell ref="N11:N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7"/>
  <sheetViews>
    <sheetView rightToLeft="1" tabSelected="1" zoomScale="85" zoomScaleNormal="85" workbookViewId="0">
      <selection activeCell="C20" sqref="C20"/>
    </sheetView>
  </sheetViews>
  <sheetFormatPr defaultRowHeight="14.25" x14ac:dyDescent="0.2"/>
  <cols>
    <col min="1" max="1" width="0.875" customWidth="1"/>
    <col min="2" max="2" width="14.125" customWidth="1"/>
    <col min="3" max="3" width="7.75" bestFit="1" customWidth="1"/>
    <col min="4" max="4" width="7.5" bestFit="1" customWidth="1"/>
    <col min="5" max="5" width="5.375" bestFit="1" customWidth="1"/>
    <col min="6" max="6" width="2.125" customWidth="1"/>
    <col min="7" max="7" width="17" customWidth="1"/>
    <col min="8" max="8" width="11.875" bestFit="1" customWidth="1"/>
    <col min="9" max="10" width="10.875" bestFit="1" customWidth="1"/>
    <col min="11" max="11" width="2" bestFit="1" customWidth="1"/>
    <col min="12" max="12" width="6.375" bestFit="1" customWidth="1"/>
    <col min="13" max="13" width="5.375" bestFit="1" customWidth="1"/>
    <col min="14" max="14" width="12.125" bestFit="1" customWidth="1"/>
    <col min="15" max="15" width="6.625" customWidth="1"/>
    <col min="17" max="17" width="10.75" bestFit="1" customWidth="1"/>
    <col min="18" max="18" width="6.75" bestFit="1" customWidth="1"/>
    <col min="19" max="19" width="10.75" bestFit="1" customWidth="1"/>
    <col min="20" max="20" width="1.875" customWidth="1"/>
    <col min="23" max="23" width="11.5" customWidth="1"/>
  </cols>
  <sheetData>
    <row r="1" spans="2:24" ht="17.25" customHeight="1" thickBot="1" x14ac:dyDescent="0.25">
      <c r="B1" s="51"/>
      <c r="C1" s="397" t="s">
        <v>213</v>
      </c>
      <c r="D1" s="398"/>
      <c r="E1" s="208"/>
    </row>
    <row r="2" spans="2:24" ht="15" customHeight="1" thickBot="1" x14ac:dyDescent="0.3">
      <c r="B2" s="194" t="s">
        <v>157</v>
      </c>
      <c r="C2" s="64" t="s">
        <v>188</v>
      </c>
      <c r="D2" s="66" t="s">
        <v>187</v>
      </c>
      <c r="E2" s="24" t="s">
        <v>1</v>
      </c>
      <c r="F2" s="19"/>
      <c r="G2" s="52"/>
      <c r="H2" s="278"/>
      <c r="I2" s="279"/>
      <c r="J2" s="208"/>
      <c r="L2" s="1" t="s">
        <v>54</v>
      </c>
      <c r="M2" s="435" t="s">
        <v>8</v>
      </c>
      <c r="N2" s="435"/>
      <c r="O2" s="435"/>
      <c r="P2" s="435"/>
      <c r="Q2" s="18"/>
      <c r="R2" s="18"/>
      <c r="S2" s="18"/>
      <c r="U2" s="429" t="s">
        <v>280</v>
      </c>
      <c r="V2" s="430"/>
      <c r="W2" s="430"/>
      <c r="X2" s="431"/>
    </row>
    <row r="3" spans="2:24" ht="15" x14ac:dyDescent="0.25">
      <c r="B3" s="186">
        <v>2026</v>
      </c>
      <c r="C3" s="187">
        <f t="shared" ref="C3:C12" si="0">(($J$33*4+$H$12)/10^6)*(1+$C$30)^(B3-$C$29)</f>
        <v>104.68676964719424</v>
      </c>
      <c r="D3" s="79">
        <f t="shared" ref="D3:D12" si="1">(($J$33*2+$I$12)/10^6)*(1+$C$30)^(B3-$C$29)</f>
        <v>53.982231561708566</v>
      </c>
      <c r="E3" s="24">
        <f t="shared" ref="E3:E12" si="2">(($J$12)/10^6)*(1+$C$30)^(B3-$C$29)</f>
        <v>3.2776934762229</v>
      </c>
      <c r="F3" s="185"/>
      <c r="G3" s="188" t="s">
        <v>75</v>
      </c>
      <c r="H3" s="190" t="s">
        <v>188</v>
      </c>
      <c r="I3" s="52" t="s">
        <v>187</v>
      </c>
      <c r="J3" s="195" t="s">
        <v>1</v>
      </c>
      <c r="L3" s="1"/>
      <c r="M3" s="1" t="s">
        <v>7</v>
      </c>
      <c r="N3" s="1" t="s">
        <v>9</v>
      </c>
      <c r="O3" s="1" t="s">
        <v>10</v>
      </c>
      <c r="P3" s="1" t="s">
        <v>11</v>
      </c>
      <c r="Q3" s="19"/>
      <c r="R3" s="19"/>
      <c r="S3" s="19"/>
      <c r="U3" s="77"/>
      <c r="V3" s="19"/>
      <c r="W3" s="19"/>
      <c r="X3" s="78"/>
    </row>
    <row r="4" spans="2:24" ht="15" x14ac:dyDescent="0.25">
      <c r="B4" s="186">
        <v>2027</v>
      </c>
      <c r="C4" s="187">
        <f>(($J$33*4+$H$12)/10^6)*(1+$C$30)^(B4-$C$29)</f>
        <v>108.87424043308201</v>
      </c>
      <c r="D4" s="79">
        <f t="shared" si="1"/>
        <v>56.141520824176908</v>
      </c>
      <c r="E4" s="24">
        <f t="shared" si="2"/>
        <v>3.4088012152718159</v>
      </c>
      <c r="F4" s="19"/>
      <c r="G4" s="53" t="s">
        <v>54</v>
      </c>
      <c r="H4" s="196">
        <f>דלקים!M5-H5</f>
        <v>149616</v>
      </c>
      <c r="I4" s="280">
        <f>דלקים!M11</f>
        <v>74808</v>
      </c>
      <c r="J4" s="197">
        <f>0</f>
        <v>0</v>
      </c>
      <c r="K4" s="6"/>
      <c r="L4" s="1" t="s">
        <v>3</v>
      </c>
      <c r="M4" s="1">
        <v>954</v>
      </c>
      <c r="N4" s="1">
        <v>4.26</v>
      </c>
      <c r="O4" s="1">
        <v>3.1</v>
      </c>
      <c r="P4" s="1">
        <v>0.15</v>
      </c>
      <c r="Q4" s="19"/>
      <c r="R4" s="19"/>
      <c r="S4" s="19"/>
      <c r="U4" s="373" t="s">
        <v>62</v>
      </c>
      <c r="V4" s="372" t="s">
        <v>63</v>
      </c>
      <c r="W4" s="372" t="s">
        <v>64</v>
      </c>
      <c r="X4" s="374" t="s">
        <v>65</v>
      </c>
    </row>
    <row r="5" spans="2:24" ht="15" x14ac:dyDescent="0.25">
      <c r="B5" s="186">
        <v>2028</v>
      </c>
      <c r="C5" s="187">
        <f t="shared" si="0"/>
        <v>113.2292100504053</v>
      </c>
      <c r="D5" s="79">
        <f t="shared" si="1"/>
        <v>58.387181657143991</v>
      </c>
      <c r="E5" s="24">
        <f t="shared" si="2"/>
        <v>3.5451532638826886</v>
      </c>
      <c r="F5" s="19"/>
      <c r="G5" s="53" t="s">
        <v>61</v>
      </c>
      <c r="H5" s="198"/>
      <c r="I5" s="281"/>
      <c r="J5" s="199"/>
      <c r="K5" s="4"/>
      <c r="L5" s="1" t="s">
        <v>4</v>
      </c>
      <c r="M5" s="1">
        <v>937</v>
      </c>
      <c r="N5" s="1">
        <v>4.26</v>
      </c>
      <c r="O5" s="1">
        <v>3.1</v>
      </c>
      <c r="P5" s="1">
        <v>0.15</v>
      </c>
      <c r="Q5" s="19"/>
      <c r="R5" s="19"/>
      <c r="S5" s="19"/>
      <c r="U5" s="375" t="s">
        <v>66</v>
      </c>
      <c r="V5" s="371">
        <v>121441.69078288965</v>
      </c>
      <c r="W5" s="371">
        <v>169667.95758641599</v>
      </c>
      <c r="X5" s="376">
        <v>260858.89894545401</v>
      </c>
    </row>
    <row r="6" spans="2:24" ht="15.75" thickBot="1" x14ac:dyDescent="0.3">
      <c r="B6" s="186">
        <v>2029</v>
      </c>
      <c r="C6" s="187">
        <f t="shared" si="0"/>
        <v>117.75837845242152</v>
      </c>
      <c r="D6" s="79">
        <f t="shared" si="1"/>
        <v>60.722668923429758</v>
      </c>
      <c r="E6" s="24">
        <f t="shared" si="2"/>
        <v>3.6869593944379968</v>
      </c>
      <c r="F6" s="19"/>
      <c r="G6" s="207" t="s">
        <v>55</v>
      </c>
      <c r="H6" s="205"/>
      <c r="I6" s="282">
        <f>H4-I4</f>
        <v>74808</v>
      </c>
      <c r="J6" s="206">
        <f>H4</f>
        <v>149616</v>
      </c>
      <c r="L6" s="1" t="s">
        <v>5</v>
      </c>
      <c r="M6" s="1">
        <v>961</v>
      </c>
      <c r="N6" s="1">
        <v>4.01</v>
      </c>
      <c r="O6" s="1">
        <v>2.87</v>
      </c>
      <c r="P6" s="1">
        <v>0.154</v>
      </c>
      <c r="Q6" s="19"/>
      <c r="R6" s="19"/>
      <c r="S6" s="19"/>
      <c r="U6" s="375" t="s">
        <v>67</v>
      </c>
      <c r="V6" s="371">
        <v>8306.5582434346543</v>
      </c>
      <c r="W6" s="371">
        <v>11633.541223665492</v>
      </c>
      <c r="X6" s="376">
        <v>20765.714408140233</v>
      </c>
    </row>
    <row r="7" spans="2:24" ht="15.75" thickBot="1" x14ac:dyDescent="0.3">
      <c r="B7" s="186">
        <v>2030</v>
      </c>
      <c r="C7" s="187">
        <f t="shared" si="0"/>
        <v>122.46871359051838</v>
      </c>
      <c r="D7" s="79">
        <f t="shared" si="1"/>
        <v>63.151575680366946</v>
      </c>
      <c r="E7" s="24">
        <f t="shared" si="2"/>
        <v>3.8344377702155166</v>
      </c>
      <c r="F7" s="19"/>
      <c r="G7" s="53"/>
      <c r="H7" s="77"/>
      <c r="I7" s="53"/>
      <c r="J7" s="78"/>
      <c r="L7" s="1" t="s">
        <v>6</v>
      </c>
      <c r="M7" s="1">
        <v>957</v>
      </c>
      <c r="N7" s="1">
        <v>4.01</v>
      </c>
      <c r="O7" s="1">
        <v>2.87</v>
      </c>
      <c r="P7" s="1">
        <v>0.154</v>
      </c>
      <c r="Q7" s="19"/>
      <c r="R7" s="19"/>
      <c r="S7" s="19"/>
      <c r="U7" s="375" t="s">
        <v>68</v>
      </c>
      <c r="V7" s="371">
        <v>74941.585910547816</v>
      </c>
      <c r="W7" s="371">
        <v>104918.49275494549</v>
      </c>
      <c r="X7" s="376">
        <v>161716.98597600349</v>
      </c>
    </row>
    <row r="8" spans="2:24" ht="15" x14ac:dyDescent="0.25">
      <c r="B8" s="186">
        <v>2031</v>
      </c>
      <c r="C8" s="187">
        <f t="shared" si="0"/>
        <v>127.3674621341391</v>
      </c>
      <c r="D8" s="79">
        <f t="shared" si="1"/>
        <v>65.677638707581622</v>
      </c>
      <c r="E8" s="24">
        <f t="shared" si="2"/>
        <v>3.9878152810241367</v>
      </c>
      <c r="F8" s="19"/>
      <c r="G8" s="188" t="s">
        <v>153</v>
      </c>
      <c r="H8" s="190" t="s">
        <v>188</v>
      </c>
      <c r="I8" s="52" t="s">
        <v>187</v>
      </c>
      <c r="J8" s="195" t="s">
        <v>1</v>
      </c>
      <c r="K8" s="6"/>
      <c r="M8" s="11"/>
      <c r="N8" s="11"/>
      <c r="U8" s="375" t="s">
        <v>9</v>
      </c>
      <c r="V8" s="371">
        <v>49798.477433823755</v>
      </c>
      <c r="W8" s="371">
        <v>73922.510042729351</v>
      </c>
      <c r="X8" s="376">
        <v>110385.80753777365</v>
      </c>
    </row>
    <row r="9" spans="2:24" ht="15" x14ac:dyDescent="0.25">
      <c r="B9" s="186">
        <v>2032</v>
      </c>
      <c r="C9" s="187">
        <f t="shared" si="0"/>
        <v>132.46216061950469</v>
      </c>
      <c r="D9" s="79">
        <f t="shared" si="1"/>
        <v>68.304744255884899</v>
      </c>
      <c r="E9" s="24">
        <f t="shared" si="2"/>
        <v>4.1473278922651033</v>
      </c>
      <c r="F9" s="19"/>
      <c r="G9" s="53" t="s">
        <v>54</v>
      </c>
      <c r="H9" s="200">
        <f>Q15*H4*1000</f>
        <v>73475764.234832406</v>
      </c>
      <c r="I9" s="283">
        <f>Q15*I4*1000</f>
        <v>36737882.117416203</v>
      </c>
      <c r="J9" s="41"/>
      <c r="L9" s="1" t="s">
        <v>54</v>
      </c>
      <c r="M9" s="436" t="s">
        <v>76</v>
      </c>
      <c r="N9" s="436"/>
      <c r="O9" s="436"/>
      <c r="P9" s="436"/>
      <c r="Q9" s="18"/>
      <c r="R9" s="18"/>
      <c r="S9" s="18"/>
      <c r="U9" s="375" t="s">
        <v>10</v>
      </c>
      <c r="V9" s="371">
        <v>38603.629297641615</v>
      </c>
      <c r="W9" s="371">
        <v>53486.496650648034</v>
      </c>
      <c r="X9" s="376">
        <v>83253.593757553681</v>
      </c>
    </row>
    <row r="10" spans="2:24" ht="15" x14ac:dyDescent="0.25">
      <c r="B10" s="186">
        <v>2033</v>
      </c>
      <c r="C10" s="187">
        <f t="shared" si="0"/>
        <v>137.76064704428489</v>
      </c>
      <c r="D10" s="79">
        <f t="shared" si="1"/>
        <v>71.036934026120292</v>
      </c>
      <c r="E10" s="24">
        <f t="shared" si="2"/>
        <v>4.3132210079557076</v>
      </c>
      <c r="F10" s="19"/>
      <c r="G10" s="53" t="s">
        <v>61</v>
      </c>
      <c r="H10" s="201">
        <f>H5*S25</f>
        <v>0</v>
      </c>
      <c r="I10" s="284"/>
      <c r="J10" s="202"/>
      <c r="L10" s="1"/>
      <c r="M10" s="1" t="s">
        <v>7</v>
      </c>
      <c r="N10" s="1" t="s">
        <v>9</v>
      </c>
      <c r="O10" s="1" t="s">
        <v>10</v>
      </c>
      <c r="P10" s="1" t="s">
        <v>11</v>
      </c>
      <c r="Q10" s="5" t="s">
        <v>155</v>
      </c>
      <c r="R10" s="136"/>
      <c r="S10" s="136"/>
      <c r="U10" s="375" t="s">
        <v>69</v>
      </c>
      <c r="V10" s="371">
        <v>7182.5775068701814</v>
      </c>
      <c r="W10" s="371">
        <v>9832.447243376726</v>
      </c>
      <c r="X10" s="376">
        <v>15733.005510117006</v>
      </c>
    </row>
    <row r="11" spans="2:24" ht="15" x14ac:dyDescent="0.25">
      <c r="B11" s="186">
        <v>2034</v>
      </c>
      <c r="C11" s="187">
        <f t="shared" si="0"/>
        <v>143.27107292605629</v>
      </c>
      <c r="D11" s="79">
        <f t="shared" si="1"/>
        <v>73.878411387165116</v>
      </c>
      <c r="E11" s="24">
        <f t="shared" si="2"/>
        <v>4.4857498482739357</v>
      </c>
      <c r="F11" s="19"/>
      <c r="G11" s="53" t="s">
        <v>55</v>
      </c>
      <c r="H11" s="203">
        <f>H6*S24*1000</f>
        <v>0</v>
      </c>
      <c r="I11" s="285">
        <f>I6*S24*1000</f>
        <v>1515205.9339048166</v>
      </c>
      <c r="J11" s="42">
        <f>J6*S24*1000</f>
        <v>3030411.8678096333</v>
      </c>
      <c r="L11" s="1" t="s">
        <v>3</v>
      </c>
      <c r="M11" s="17">
        <f>M4*$Y$28/10^6</f>
        <v>0.20033999999999999</v>
      </c>
      <c r="N11" s="17">
        <f>N4*$W$8/10^6</f>
        <v>0.31490989278202702</v>
      </c>
      <c r="O11" s="17">
        <f>O4*$W$9/10^6</f>
        <v>0.16580813961700891</v>
      </c>
      <c r="P11" s="17">
        <f>P4*($W$7*$O$28+$W$5*$O$29)/10^6</f>
        <v>2.5429797556540481E-2</v>
      </c>
      <c r="Q11" s="17">
        <f>SUM(N11:P11)</f>
        <v>0.50614782995557639</v>
      </c>
      <c r="R11" s="274"/>
      <c r="S11" s="274"/>
      <c r="U11" s="377" t="s">
        <v>70</v>
      </c>
      <c r="V11" s="371">
        <v>37222.154792336922</v>
      </c>
      <c r="W11" s="371">
        <v>65139.111486812813</v>
      </c>
      <c r="X11" s="376">
        <v>93801.301469653248</v>
      </c>
    </row>
    <row r="12" spans="2:24" ht="15" customHeight="1" thickBot="1" x14ac:dyDescent="0.25">
      <c r="B12" s="192">
        <v>2035</v>
      </c>
      <c r="C12" s="338">
        <f t="shared" si="0"/>
        <v>149.00191584309852</v>
      </c>
      <c r="D12" s="339">
        <f t="shared" si="1"/>
        <v>76.833547842651711</v>
      </c>
      <c r="E12" s="191">
        <f t="shared" si="2"/>
        <v>4.6651798422048927</v>
      </c>
      <c r="F12" s="19"/>
      <c r="G12" s="54" t="s">
        <v>155</v>
      </c>
      <c r="H12" s="204">
        <f>SUM(H9:H11)</f>
        <v>73475764.234832406</v>
      </c>
      <c r="I12" s="286">
        <f>SUM(I9:I11)</f>
        <v>38253088.051321022</v>
      </c>
      <c r="J12" s="50">
        <f>SUM(J9:J11)</f>
        <v>3030411.8678096333</v>
      </c>
      <c r="L12" s="1" t="s">
        <v>4</v>
      </c>
      <c r="M12" s="17">
        <f>M5*$Y$28/10^6</f>
        <v>0.19677</v>
      </c>
      <c r="N12" s="17">
        <f t="shared" ref="N12:N14" si="3">N5*$W$8/10^6</f>
        <v>0.31490989278202702</v>
      </c>
      <c r="O12" s="17">
        <f>O5*$W$9/10^6</f>
        <v>0.16580813961700891</v>
      </c>
      <c r="P12" s="17">
        <f>P5*($W$7*$O$28+$W$5*$O$29)/10^6</f>
        <v>2.5429797556540481E-2</v>
      </c>
      <c r="Q12" s="17">
        <f t="shared" ref="Q12:Q14" si="4">SUM(N12:P12)</f>
        <v>0.50614782995557639</v>
      </c>
      <c r="R12" s="274"/>
      <c r="S12" s="274"/>
      <c r="U12" s="77"/>
      <c r="V12" s="19"/>
      <c r="W12" s="19"/>
      <c r="X12" s="78"/>
    </row>
    <row r="13" spans="2:24" ht="15.75" thickBot="1" x14ac:dyDescent="0.3">
      <c r="B13" s="51"/>
      <c r="C13" s="433" t="s">
        <v>213</v>
      </c>
      <c r="D13" s="434"/>
      <c r="E13" s="208"/>
      <c r="G13" s="53"/>
      <c r="H13" s="77"/>
      <c r="I13" s="53"/>
      <c r="J13" s="78"/>
      <c r="K13" s="6"/>
      <c r="L13" s="1" t="s">
        <v>5</v>
      </c>
      <c r="M13" s="17">
        <f>M6*$Y$28/10^6</f>
        <v>0.20180999999999999</v>
      </c>
      <c r="N13" s="17">
        <f t="shared" si="3"/>
        <v>0.29642926527134467</v>
      </c>
      <c r="O13" s="17">
        <f>O6*$W$9/10^6</f>
        <v>0.15350624538735988</v>
      </c>
      <c r="P13" s="17">
        <f>P6*($W$7*$O$28+$W$5*$O$29)/10^6</f>
        <v>2.6107925491381561E-2</v>
      </c>
      <c r="Q13" s="17">
        <f t="shared" si="4"/>
        <v>0.4760434361500861</v>
      </c>
      <c r="R13" s="274"/>
      <c r="S13" s="274"/>
      <c r="U13" s="426" t="s">
        <v>279</v>
      </c>
      <c r="V13" s="427"/>
      <c r="W13" s="427"/>
      <c r="X13" s="428"/>
    </row>
    <row r="14" spans="2:24" ht="15.75" customHeight="1" x14ac:dyDescent="0.25">
      <c r="B14" s="193" t="s">
        <v>154</v>
      </c>
      <c r="C14" s="64" t="s">
        <v>188</v>
      </c>
      <c r="D14" s="66" t="s">
        <v>187</v>
      </c>
      <c r="E14" s="66" t="s">
        <v>1</v>
      </c>
      <c r="F14" s="185"/>
      <c r="G14" s="188" t="s">
        <v>154</v>
      </c>
      <c r="H14" s="190"/>
      <c r="I14" s="52"/>
      <c r="J14" s="195"/>
      <c r="L14" s="1" t="s">
        <v>6</v>
      </c>
      <c r="M14" s="17">
        <f>M7*$Y$28/10^6</f>
        <v>0.20097000000000001</v>
      </c>
      <c r="N14" s="17">
        <f t="shared" si="3"/>
        <v>0.29642926527134467</v>
      </c>
      <c r="O14" s="17">
        <f>O7*$W$9/10^6</f>
        <v>0.15350624538735988</v>
      </c>
      <c r="P14" s="17">
        <f>P7*($W$7*$O$28+$W$5*$O$29)/10^6</f>
        <v>2.6107925491381561E-2</v>
      </c>
      <c r="Q14" s="17">
        <f t="shared" si="4"/>
        <v>0.4760434361500861</v>
      </c>
      <c r="R14" s="274"/>
      <c r="S14" s="274"/>
      <c r="U14" s="77"/>
      <c r="V14" s="19"/>
      <c r="W14" s="19"/>
      <c r="X14" s="78"/>
    </row>
    <row r="15" spans="2:24" ht="15" x14ac:dyDescent="0.25">
      <c r="B15" s="186">
        <v>2026</v>
      </c>
      <c r="C15" s="187">
        <f t="shared" ref="C15:C24" si="5">(($J$33*4+$H$18)/10^6)*(1+$C$30)^(B15-$C$29)</f>
        <v>57.57586599249548</v>
      </c>
      <c r="D15" s="79">
        <f t="shared" ref="D15:D24" si="6">(($J$33*2+$I$18)/10^6)*(1+$C$30)^(B15-$C$29)</f>
        <v>35.278720333463752</v>
      </c>
      <c r="E15" s="24">
        <f t="shared" ref="E15:E24" si="7">(($J$18)/10^6)*(1+$C$30)^(B15-$C$29)</f>
        <v>12.981574674432</v>
      </c>
      <c r="G15" s="53" t="s">
        <v>54</v>
      </c>
      <c r="H15" s="200">
        <f>M15*H4*1000</f>
        <v>29919085.559999995</v>
      </c>
      <c r="I15" s="283">
        <f>M15*I4*1000</f>
        <v>14959542.779999997</v>
      </c>
      <c r="J15" s="41"/>
      <c r="L15" s="5" t="s">
        <v>56</v>
      </c>
      <c r="M15" s="17">
        <f>AVERAGE(M11:M14)</f>
        <v>0.19997249999999997</v>
      </c>
      <c r="N15" s="17">
        <f t="shared" ref="N15:O15" si="8">AVERAGE(N11:N14)</f>
        <v>0.30566957902668584</v>
      </c>
      <c r="O15" s="17">
        <f t="shared" si="8"/>
        <v>0.15965719250218441</v>
      </c>
      <c r="P15" s="17">
        <f>AVERAGE(P11:P14)</f>
        <v>2.5768861523961021E-2</v>
      </c>
      <c r="Q15" s="17">
        <f>SUM(N15:P15)</f>
        <v>0.49109563305283127</v>
      </c>
      <c r="R15" s="274">
        <f>+P15/Q15</f>
        <v>5.247218624969701E-2</v>
      </c>
      <c r="S15" s="274"/>
      <c r="U15" s="378" t="s">
        <v>62</v>
      </c>
      <c r="V15" s="370" t="s">
        <v>63</v>
      </c>
      <c r="W15" s="370" t="s">
        <v>64</v>
      </c>
      <c r="X15" s="379" t="s">
        <v>65</v>
      </c>
    </row>
    <row r="16" spans="2:24" ht="15" x14ac:dyDescent="0.25">
      <c r="B16" s="186">
        <v>2027</v>
      </c>
      <c r="C16" s="187">
        <f t="shared" si="5"/>
        <v>59.878900632195297</v>
      </c>
      <c r="D16" s="79">
        <f t="shared" si="6"/>
        <v>36.689869146802295</v>
      </c>
      <c r="E16" s="24">
        <f t="shared" si="7"/>
        <v>13.50083766140928</v>
      </c>
      <c r="G16" s="53" t="s">
        <v>61</v>
      </c>
      <c r="H16" s="201">
        <f>H5*O25</f>
        <v>0</v>
      </c>
      <c r="I16" s="284"/>
      <c r="J16" s="202"/>
      <c r="U16" s="375" t="s">
        <v>66</v>
      </c>
      <c r="V16" s="371">
        <v>264033.29302569065</v>
      </c>
      <c r="W16" s="371">
        <v>368883.66573599592</v>
      </c>
      <c r="X16" s="376">
        <v>567147.05566150486</v>
      </c>
    </row>
    <row r="17" spans="2:26" ht="15" x14ac:dyDescent="0.25">
      <c r="B17" s="186">
        <v>2028</v>
      </c>
      <c r="C17" s="187">
        <f t="shared" si="5"/>
        <v>62.274056657483115</v>
      </c>
      <c r="D17" s="79">
        <f t="shared" si="6"/>
        <v>38.157463912674395</v>
      </c>
      <c r="E17" s="24">
        <f t="shared" si="7"/>
        <v>14.040871167865653</v>
      </c>
      <c r="G17" s="53" t="s">
        <v>55</v>
      </c>
      <c r="H17" s="200">
        <f>H6*O24*1000</f>
        <v>0</v>
      </c>
      <c r="I17" s="283">
        <f>I6*O24*1000</f>
        <v>6001097.7599999998</v>
      </c>
      <c r="J17" s="41">
        <f>J6*O24*1000</f>
        <v>12002195.52</v>
      </c>
      <c r="L17" s="437" t="s">
        <v>8</v>
      </c>
      <c r="M17" s="437"/>
      <c r="N17" s="437"/>
      <c r="O17" s="437"/>
      <c r="P17" s="437"/>
      <c r="Q17" s="437"/>
      <c r="R17" s="437"/>
      <c r="S17" s="18"/>
      <c r="U17" s="375" t="s">
        <v>67</v>
      </c>
      <c r="V17" s="371">
        <v>16316.113092237725</v>
      </c>
      <c r="W17" s="371">
        <v>22851.550175025375</v>
      </c>
      <c r="X17" s="376">
        <v>40788.920329701505</v>
      </c>
    </row>
    <row r="18" spans="2:26" ht="14.25" customHeight="1" thickBot="1" x14ac:dyDescent="0.3">
      <c r="B18" s="186">
        <v>2029</v>
      </c>
      <c r="C18" s="187">
        <f t="shared" si="5"/>
        <v>64.765018923782449</v>
      </c>
      <c r="D18" s="79">
        <f t="shared" si="6"/>
        <v>39.683762469181374</v>
      </c>
      <c r="E18" s="24">
        <f t="shared" si="7"/>
        <v>14.60250601458028</v>
      </c>
      <c r="G18" s="54" t="s">
        <v>156</v>
      </c>
      <c r="H18" s="204">
        <f>SUM(H15:H17)</f>
        <v>29919085.559999995</v>
      </c>
      <c r="I18" s="286">
        <f>SUM(I15:I17)</f>
        <v>20960640.539999999</v>
      </c>
      <c r="J18" s="50">
        <f>SUM(J15:J17)</f>
        <v>12002195.52</v>
      </c>
      <c r="L18" s="5"/>
      <c r="M18" s="20"/>
      <c r="N18" s="275"/>
      <c r="O18" s="275" t="s">
        <v>7</v>
      </c>
      <c r="P18" s="5" t="s">
        <v>9</v>
      </c>
      <c r="Q18" s="5" t="s">
        <v>10</v>
      </c>
      <c r="R18" s="5" t="s">
        <v>11</v>
      </c>
      <c r="S18" s="19"/>
      <c r="U18" s="375" t="s">
        <v>68</v>
      </c>
      <c r="V18" s="371">
        <v>147663.82076671559</v>
      </c>
      <c r="W18" s="371">
        <v>206727.98667250903</v>
      </c>
      <c r="X18" s="376">
        <v>318642.40801201033</v>
      </c>
    </row>
    <row r="19" spans="2:26" ht="14.25" customHeight="1" x14ac:dyDescent="0.25">
      <c r="B19" s="186">
        <v>2030</v>
      </c>
      <c r="C19" s="187">
        <f t="shared" si="5"/>
        <v>67.355619680733753</v>
      </c>
      <c r="D19" s="79">
        <f t="shared" si="6"/>
        <v>41.271112967948632</v>
      </c>
      <c r="E19" s="24">
        <f t="shared" si="7"/>
        <v>15.186606255163491</v>
      </c>
      <c r="G19" s="8"/>
      <c r="L19" s="5" t="s">
        <v>60</v>
      </c>
      <c r="M19" s="5" t="s">
        <v>59</v>
      </c>
      <c r="N19" s="5" t="s">
        <v>58</v>
      </c>
      <c r="O19" s="5">
        <v>382</v>
      </c>
      <c r="P19" s="5">
        <v>0.08</v>
      </c>
      <c r="Q19" s="5">
        <v>0</v>
      </c>
      <c r="R19" s="5">
        <v>0.02</v>
      </c>
      <c r="S19" s="18"/>
      <c r="U19" s="375" t="s">
        <v>9</v>
      </c>
      <c r="V19" s="371">
        <v>108489.34549498851</v>
      </c>
      <c r="W19" s="371">
        <v>161046.68473674325</v>
      </c>
      <c r="X19" s="376">
        <v>240481.46879176333</v>
      </c>
    </row>
    <row r="20" spans="2:26" ht="14.25" customHeight="1" x14ac:dyDescent="0.25">
      <c r="B20" s="186">
        <v>2031</v>
      </c>
      <c r="C20" s="187">
        <f t="shared" si="5"/>
        <v>70.049844467963084</v>
      </c>
      <c r="D20" s="79">
        <f t="shared" si="6"/>
        <v>42.921957486666571</v>
      </c>
      <c r="E20" s="24">
        <f t="shared" si="7"/>
        <v>15.79407050537003</v>
      </c>
      <c r="H20" s="6"/>
      <c r="I20" s="6"/>
      <c r="J20" s="6"/>
      <c r="L20" s="5" t="s">
        <v>61</v>
      </c>
      <c r="M20" s="5" t="s">
        <v>59</v>
      </c>
      <c r="N20" s="5" t="s">
        <v>58</v>
      </c>
      <c r="O20" s="5">
        <v>521</v>
      </c>
      <c r="P20" s="5">
        <v>0.57999999999999996</v>
      </c>
      <c r="Q20" s="5">
        <v>0.22</v>
      </c>
      <c r="R20" s="5">
        <v>0.13</v>
      </c>
      <c r="S20" s="19"/>
      <c r="U20" s="375" t="s">
        <v>10</v>
      </c>
      <c r="V20" s="371">
        <v>83955.230217348479</v>
      </c>
      <c r="W20" s="371">
        <v>116323.15062861967</v>
      </c>
      <c r="X20" s="376">
        <v>181058.99145116206</v>
      </c>
    </row>
    <row r="21" spans="2:26" ht="14.25" customHeight="1" x14ac:dyDescent="0.25">
      <c r="B21" s="186">
        <v>2032</v>
      </c>
      <c r="C21" s="187">
        <f t="shared" si="5"/>
        <v>72.851838246681623</v>
      </c>
      <c r="D21" s="79">
        <f t="shared" si="6"/>
        <v>44.638835786133242</v>
      </c>
      <c r="E21" s="24">
        <f t="shared" si="7"/>
        <v>16.425833325584833</v>
      </c>
      <c r="G21" s="432" t="s">
        <v>111</v>
      </c>
      <c r="H21" s="432"/>
      <c r="I21" s="432"/>
      <c r="S21" s="18"/>
      <c r="U21" s="375" t="s">
        <v>69</v>
      </c>
      <c r="V21" s="371">
        <v>7182.5775068701814</v>
      </c>
      <c r="W21" s="371">
        <v>9832.447243376726</v>
      </c>
      <c r="X21" s="376">
        <v>15733.005510117006</v>
      </c>
    </row>
    <row r="22" spans="2:26" ht="15" customHeight="1" thickBot="1" x14ac:dyDescent="0.3">
      <c r="B22" s="186">
        <v>2033</v>
      </c>
      <c r="C22" s="187">
        <f t="shared" si="5"/>
        <v>75.76591177654889</v>
      </c>
      <c r="D22" s="79">
        <f t="shared" si="6"/>
        <v>46.424389217578572</v>
      </c>
      <c r="E22" s="24">
        <f t="shared" si="7"/>
        <v>17.082866658608229</v>
      </c>
      <c r="G22" s="1" t="s">
        <v>110</v>
      </c>
      <c r="H22" s="1" t="s">
        <v>108</v>
      </c>
      <c r="I22" s="1" t="s">
        <v>109</v>
      </c>
      <c r="L22" s="435" t="s">
        <v>76</v>
      </c>
      <c r="M22" s="435"/>
      <c r="N22" s="435"/>
      <c r="O22" s="435"/>
      <c r="P22" s="435"/>
      <c r="Q22" s="435"/>
      <c r="R22" s="435"/>
      <c r="S22" s="435"/>
      <c r="U22" s="380" t="s">
        <v>70</v>
      </c>
      <c r="V22" s="381">
        <v>80812.171357646366</v>
      </c>
      <c r="W22" s="381">
        <v>141421.29987588114</v>
      </c>
      <c r="X22" s="382">
        <v>203647.59825387597</v>
      </c>
    </row>
    <row r="23" spans="2:26" x14ac:dyDescent="0.2">
      <c r="B23" s="186">
        <v>2034</v>
      </c>
      <c r="C23" s="187">
        <f t="shared" si="5"/>
        <v>78.796548247610858</v>
      </c>
      <c r="D23" s="79">
        <f t="shared" si="6"/>
        <v>48.281364786281713</v>
      </c>
      <c r="E23" s="24">
        <f t="shared" si="7"/>
        <v>17.766181324952559</v>
      </c>
      <c r="G23" s="322" t="s">
        <v>105</v>
      </c>
      <c r="H23" s="1">
        <v>35.200000000000003</v>
      </c>
      <c r="I23" s="1">
        <v>23.4</v>
      </c>
      <c r="L23" s="1"/>
      <c r="N23" s="276"/>
      <c r="O23" s="276" t="s">
        <v>7</v>
      </c>
      <c r="P23" s="276" t="s">
        <v>9</v>
      </c>
      <c r="Q23" s="276" t="s">
        <v>10</v>
      </c>
      <c r="R23" s="276" t="s">
        <v>11</v>
      </c>
      <c r="S23" s="275" t="s">
        <v>155</v>
      </c>
    </row>
    <row r="24" spans="2:26" ht="15" thickBot="1" x14ac:dyDescent="0.25">
      <c r="B24" s="192">
        <v>2035</v>
      </c>
      <c r="C24" s="340">
        <f t="shared" si="5"/>
        <v>81.948410177515285</v>
      </c>
      <c r="D24" s="80">
        <f t="shared" si="6"/>
        <v>50.212619377732985</v>
      </c>
      <c r="E24" s="191">
        <f t="shared" si="7"/>
        <v>18.476828577950659</v>
      </c>
      <c r="G24" s="322" t="s">
        <v>106</v>
      </c>
      <c r="H24" s="1">
        <v>16.399999999999999</v>
      </c>
      <c r="I24" s="1">
        <v>15.1</v>
      </c>
      <c r="L24" s="1" t="s">
        <v>60</v>
      </c>
      <c r="M24" s="1" t="s">
        <v>59</v>
      </c>
      <c r="N24" s="1" t="s">
        <v>58</v>
      </c>
      <c r="O24" s="17">
        <f>O19*$Y$28/10^6</f>
        <v>8.022E-2</v>
      </c>
      <c r="P24" s="17">
        <f>P19*$W$19/10^6</f>
        <v>1.2883734778939461E-2</v>
      </c>
      <c r="Q24" s="17">
        <f>Q19*$W$20/10^6</f>
        <v>0</v>
      </c>
      <c r="R24" s="17">
        <f>R19*($W$18*$O$28+$W$16*$O$29)/10^6</f>
        <v>7.3708627761992522E-3</v>
      </c>
      <c r="S24" s="17">
        <f>SUM(P24:R24)</f>
        <v>2.0254597555138712E-2</v>
      </c>
    </row>
    <row r="25" spans="2:26" ht="15" thickBot="1" x14ac:dyDescent="0.25">
      <c r="G25" s="322" t="s">
        <v>68</v>
      </c>
      <c r="H25" s="1">
        <v>1.36</v>
      </c>
      <c r="I25" s="1">
        <v>1.1199999999999999</v>
      </c>
      <c r="L25" s="5" t="s">
        <v>61</v>
      </c>
      <c r="M25" s="5" t="s">
        <v>59</v>
      </c>
      <c r="N25" s="5" t="s">
        <v>58</v>
      </c>
      <c r="O25" s="17">
        <f>O20*$Y$28/10^6</f>
        <v>0.10940999999999999</v>
      </c>
      <c r="P25" s="17">
        <f>P20*$W$19/10^6</f>
        <v>9.3407077147311085E-2</v>
      </c>
      <c r="Q25" s="17">
        <f>Q20*$W$20/10^6</f>
        <v>2.5591093138296328E-2</v>
      </c>
      <c r="R25" s="17">
        <f>R20*($W$18*$O$28+$W$16*$O$29)/10^6</f>
        <v>4.7910608045295143E-2</v>
      </c>
      <c r="S25" s="17">
        <f>SUM(P25:R25)</f>
        <v>0.16690877833090256</v>
      </c>
    </row>
    <row r="26" spans="2:26" ht="15.75" thickBot="1" x14ac:dyDescent="0.25">
      <c r="G26" s="322" t="s">
        <v>107</v>
      </c>
      <c r="H26" s="1">
        <v>0.34</v>
      </c>
      <c r="I26" s="1">
        <v>0.27999999999999997</v>
      </c>
      <c r="V26" s="450" t="s">
        <v>291</v>
      </c>
      <c r="W26" s="451"/>
      <c r="X26" s="448" t="s">
        <v>281</v>
      </c>
      <c r="Y26" s="447"/>
      <c r="Z26" s="449"/>
    </row>
    <row r="27" spans="2:26" ht="15.75" thickBot="1" x14ac:dyDescent="0.25">
      <c r="G27" s="323"/>
      <c r="L27" s="399" t="s">
        <v>287</v>
      </c>
      <c r="M27" s="400"/>
      <c r="N27" s="401"/>
      <c r="V27" s="452"/>
      <c r="W27" s="453"/>
      <c r="X27" s="383">
        <v>0.05</v>
      </c>
      <c r="Y27" s="446">
        <v>0.03</v>
      </c>
      <c r="Z27" s="454">
        <v>2.5000000000000001E-2</v>
      </c>
    </row>
    <row r="28" spans="2:26" ht="19.5" thickBot="1" x14ac:dyDescent="0.3">
      <c r="B28" s="3" t="s">
        <v>101</v>
      </c>
      <c r="C28" s="1"/>
      <c r="D28" s="1"/>
      <c r="G28" s="322" t="s">
        <v>53</v>
      </c>
      <c r="H28" s="1" t="s">
        <v>108</v>
      </c>
      <c r="I28" s="1" t="s">
        <v>109</v>
      </c>
      <c r="J28" s="1" t="s">
        <v>19</v>
      </c>
      <c r="L28" s="438" t="s">
        <v>117</v>
      </c>
      <c r="M28" s="438"/>
      <c r="N28" s="438"/>
      <c r="O28" s="179">
        <f>1-O29</f>
        <v>2.0999999999999908E-3</v>
      </c>
      <c r="V28" s="384" t="s">
        <v>282</v>
      </c>
      <c r="W28" s="385" t="s">
        <v>71</v>
      </c>
      <c r="X28" s="386">
        <v>57</v>
      </c>
      <c r="Y28" s="384">
        <v>210</v>
      </c>
      <c r="Z28" s="384">
        <v>312</v>
      </c>
    </row>
    <row r="29" spans="2:26" ht="18.75" thickBot="1" x14ac:dyDescent="0.25">
      <c r="B29" s="1" t="s">
        <v>100</v>
      </c>
      <c r="C29" s="1">
        <v>2024</v>
      </c>
      <c r="D29" s="17"/>
      <c r="G29" s="322" t="s">
        <v>105</v>
      </c>
      <c r="H29" s="36">
        <f>H23*W9</f>
        <v>1882724.6821028111</v>
      </c>
      <c r="I29" s="36">
        <f>I23*W9</f>
        <v>1251584.021625164</v>
      </c>
      <c r="J29" s="36">
        <f>H29+I29</f>
        <v>3134308.703727975</v>
      </c>
      <c r="L29" s="438" t="s">
        <v>118</v>
      </c>
      <c r="M29" s="438"/>
      <c r="N29" s="438"/>
      <c r="O29" s="179">
        <v>0.99790000000000001</v>
      </c>
      <c r="V29" s="387" t="s">
        <v>283</v>
      </c>
      <c r="W29" s="385" t="s">
        <v>72</v>
      </c>
      <c r="X29" s="388">
        <v>15183</v>
      </c>
      <c r="Y29" s="388">
        <v>55562</v>
      </c>
      <c r="Z29" s="455">
        <v>82712</v>
      </c>
    </row>
    <row r="30" spans="2:26" ht="18.75" thickBot="1" x14ac:dyDescent="0.25">
      <c r="B30" s="1" t="s">
        <v>99</v>
      </c>
      <c r="C30" s="10">
        <v>0.04</v>
      </c>
      <c r="D30" s="1"/>
      <c r="G30" s="322" t="s">
        <v>106</v>
      </c>
      <c r="H30" s="36">
        <f>H24*W8</f>
        <v>1212329.1647007612</v>
      </c>
      <c r="I30" s="36">
        <f>I24*W8</f>
        <v>1116229.9016452131</v>
      </c>
      <c r="J30" s="36">
        <f t="shared" ref="J30:J32" si="9">H30+I30</f>
        <v>2328559.0663459743</v>
      </c>
      <c r="V30" s="384" t="s">
        <v>284</v>
      </c>
      <c r="W30" s="385" t="s">
        <v>73</v>
      </c>
      <c r="X30" s="388">
        <v>1604</v>
      </c>
      <c r="Y30" s="388">
        <v>5871</v>
      </c>
      <c r="Z30" s="455">
        <v>8739</v>
      </c>
    </row>
    <row r="31" spans="2:26" ht="30.75" thickBot="1" x14ac:dyDescent="0.25">
      <c r="G31" s="322" t="s">
        <v>68</v>
      </c>
      <c r="H31" s="36">
        <f>H25*W7</f>
        <v>142689.15014672588</v>
      </c>
      <c r="I31" s="36">
        <f>I25*W7</f>
        <v>117508.71188553893</v>
      </c>
      <c r="J31" s="36">
        <f t="shared" si="9"/>
        <v>260197.86203226482</v>
      </c>
      <c r="V31" s="384" t="s">
        <v>285</v>
      </c>
      <c r="W31" s="389" t="s">
        <v>74</v>
      </c>
      <c r="X31" s="388">
        <v>1346400</v>
      </c>
      <c r="Y31" s="388">
        <v>4927232</v>
      </c>
      <c r="Z31" s="455">
        <v>7334857</v>
      </c>
    </row>
    <row r="32" spans="2:26" x14ac:dyDescent="0.2">
      <c r="G32" s="322" t="s">
        <v>107</v>
      </c>
      <c r="H32" s="36">
        <f>H26*W5</f>
        <v>57687.105579381438</v>
      </c>
      <c r="I32" s="36">
        <f>I26*W5</f>
        <v>47507.028124196469</v>
      </c>
      <c r="J32" s="36">
        <f t="shared" si="9"/>
        <v>105194.13370357791</v>
      </c>
    </row>
    <row r="33" spans="2:26" ht="17.25" thickBot="1" x14ac:dyDescent="0.4">
      <c r="B33" s="435" t="s">
        <v>180</v>
      </c>
      <c r="C33" s="435"/>
      <c r="D33" s="435"/>
      <c r="G33" s="324" t="s">
        <v>19</v>
      </c>
      <c r="H33" s="128">
        <f>SUM(H29:H32)</f>
        <v>3295430.1025296794</v>
      </c>
      <c r="I33" s="128">
        <f>SUM(I29:I32)</f>
        <v>2532829.6632801127</v>
      </c>
      <c r="J33" s="277">
        <f>SUM(J29:J32)</f>
        <v>5828259.7658097921</v>
      </c>
    </row>
    <row r="34" spans="2:26" ht="15.75" thickBot="1" x14ac:dyDescent="0.25">
      <c r="B34" s="1" t="s">
        <v>178</v>
      </c>
      <c r="C34" s="1" t="s">
        <v>9</v>
      </c>
      <c r="D34" s="1" t="s">
        <v>176</v>
      </c>
      <c r="V34" s="450" t="s">
        <v>291</v>
      </c>
      <c r="W34" s="451"/>
      <c r="X34" s="448" t="s">
        <v>281</v>
      </c>
      <c r="Y34" s="447"/>
      <c r="Z34" s="449"/>
    </row>
    <row r="35" spans="2:26" ht="15.75" thickBot="1" x14ac:dyDescent="0.25">
      <c r="B35" s="1">
        <v>0.3</v>
      </c>
      <c r="C35" s="1" t="s">
        <v>177</v>
      </c>
      <c r="D35" s="1" t="s">
        <v>179</v>
      </c>
      <c r="V35" s="452"/>
      <c r="W35" s="453"/>
      <c r="X35" s="383">
        <v>0.05</v>
      </c>
      <c r="Y35" s="383">
        <v>0.03</v>
      </c>
      <c r="Z35" s="454">
        <v>2.5000000000000001E-2</v>
      </c>
    </row>
    <row r="36" spans="2:26" ht="19.5" thickBot="1" x14ac:dyDescent="0.25">
      <c r="B36" s="1">
        <v>0.4</v>
      </c>
      <c r="C36" s="1" t="s">
        <v>177</v>
      </c>
      <c r="D36" s="1">
        <v>0</v>
      </c>
      <c r="V36" s="384" t="s">
        <v>282</v>
      </c>
      <c r="W36" s="385" t="s">
        <v>71</v>
      </c>
      <c r="X36" s="386">
        <v>57</v>
      </c>
      <c r="Y36" s="386">
        <v>210</v>
      </c>
      <c r="Z36" s="384">
        <v>312</v>
      </c>
    </row>
    <row r="37" spans="2:26" ht="18.75" thickBot="1" x14ac:dyDescent="0.25">
      <c r="V37" s="384" t="s">
        <v>284</v>
      </c>
      <c r="W37" s="385" t="s">
        <v>73</v>
      </c>
      <c r="X37" s="388">
        <v>4813</v>
      </c>
      <c r="Y37" s="388">
        <v>17612</v>
      </c>
      <c r="Z37" s="455">
        <v>26218</v>
      </c>
    </row>
  </sheetData>
  <mergeCells count="17">
    <mergeCell ref="V34:W35"/>
    <mergeCell ref="V26:W27"/>
    <mergeCell ref="X26:Z26"/>
    <mergeCell ref="X34:Z34"/>
    <mergeCell ref="B33:D33"/>
    <mergeCell ref="M9:P9"/>
    <mergeCell ref="M2:P2"/>
    <mergeCell ref="L17:R17"/>
    <mergeCell ref="L28:N28"/>
    <mergeCell ref="L29:N29"/>
    <mergeCell ref="L22:S22"/>
    <mergeCell ref="L27:N27"/>
    <mergeCell ref="U13:X13"/>
    <mergeCell ref="U2:X2"/>
    <mergeCell ref="G21:I21"/>
    <mergeCell ref="C1:D1"/>
    <mergeCell ref="C13:D1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4"/>
  <sheetViews>
    <sheetView rightToLeft="1" workbookViewId="0">
      <selection activeCell="E27" sqref="E27"/>
    </sheetView>
  </sheetViews>
  <sheetFormatPr defaultRowHeight="14.25" x14ac:dyDescent="0.2"/>
  <cols>
    <col min="1" max="1" width="1.5" customWidth="1"/>
    <col min="2" max="2" width="10.5" bestFit="1" customWidth="1"/>
    <col min="3" max="3" width="11" bestFit="1" customWidth="1"/>
    <col min="4" max="4" width="11.875" bestFit="1" customWidth="1"/>
    <col min="6" max="6" width="2" customWidth="1"/>
    <col min="7" max="7" width="5.25" bestFit="1" customWidth="1"/>
    <col min="8" max="8" width="11" customWidth="1"/>
    <col min="9" max="9" width="5.625" customWidth="1"/>
    <col min="10" max="11" width="14.5" bestFit="1" customWidth="1"/>
    <col min="12" max="12" width="15.5" bestFit="1" customWidth="1"/>
    <col min="13" max="13" width="5.25" bestFit="1" customWidth="1"/>
    <col min="14" max="14" width="13.125" customWidth="1"/>
    <col min="15" max="15" width="13" bestFit="1" customWidth="1"/>
    <col min="16" max="16" width="6.625" bestFit="1" customWidth="1"/>
    <col min="17" max="17" width="6.875" customWidth="1"/>
    <col min="18" max="18" width="9.875" bestFit="1" customWidth="1"/>
    <col min="19" max="19" width="4.25" customWidth="1"/>
    <col min="20" max="20" width="22.375" customWidth="1"/>
    <col min="21" max="21" width="20.5" customWidth="1"/>
    <col min="22" max="22" width="19.125" customWidth="1"/>
  </cols>
  <sheetData>
    <row r="1" spans="2:22" ht="15.75" thickBot="1" x14ac:dyDescent="0.3">
      <c r="B1" s="15" t="s">
        <v>267</v>
      </c>
      <c r="C1" s="15"/>
      <c r="D1" s="15">
        <f>+מרכז!D23</f>
        <v>28</v>
      </c>
      <c r="N1" s="8" t="s">
        <v>188</v>
      </c>
    </row>
    <row r="2" spans="2:22" ht="15" thickBot="1" x14ac:dyDescent="0.25">
      <c r="G2" s="37"/>
      <c r="H2" s="38"/>
      <c r="I2" s="51" t="s">
        <v>115</v>
      </c>
      <c r="J2" s="45" t="s">
        <v>188</v>
      </c>
      <c r="K2" s="45" t="s">
        <v>187</v>
      </c>
      <c r="L2" s="38" t="s">
        <v>1</v>
      </c>
      <c r="N2" s="1" t="s">
        <v>103</v>
      </c>
      <c r="O2" s="1" t="s">
        <v>96</v>
      </c>
      <c r="P2" s="1" t="s">
        <v>97</v>
      </c>
      <c r="Q2" s="1" t="s">
        <v>95</v>
      </c>
      <c r="R2" s="1" t="s">
        <v>94</v>
      </c>
      <c r="T2" s="1" t="s">
        <v>98</v>
      </c>
      <c r="U2" s="10">
        <v>0.85</v>
      </c>
    </row>
    <row r="3" spans="2:22" ht="15" x14ac:dyDescent="0.25">
      <c r="B3" s="55" t="s">
        <v>53</v>
      </c>
      <c r="G3" s="445" t="s">
        <v>104</v>
      </c>
      <c r="H3" s="394" t="s">
        <v>87</v>
      </c>
      <c r="I3" s="52" t="s">
        <v>54</v>
      </c>
      <c r="J3" s="46">
        <f>R8*דלקים!M17*דלקים!S25</f>
        <v>195231854.0970822</v>
      </c>
      <c r="K3" s="47">
        <f>R15*דלקים!M17*דלקים!S24</f>
        <v>54083427.747450806</v>
      </c>
      <c r="L3" s="48">
        <v>0</v>
      </c>
      <c r="N3" s="1">
        <v>0</v>
      </c>
      <c r="O3" s="1">
        <v>0</v>
      </c>
      <c r="P3" s="1">
        <v>3</v>
      </c>
      <c r="Q3" s="1">
        <f>P3-O3</f>
        <v>3</v>
      </c>
      <c r="R3" s="1">
        <f>Q3*24</f>
        <v>72</v>
      </c>
      <c r="T3" s="1" t="s">
        <v>93</v>
      </c>
      <c r="U3" s="1">
        <f>דלקים!Q1/4</f>
        <v>360</v>
      </c>
    </row>
    <row r="4" spans="2:22" ht="15" x14ac:dyDescent="0.25">
      <c r="B4" s="2" t="s">
        <v>87</v>
      </c>
      <c r="C4" s="1" t="s">
        <v>188</v>
      </c>
      <c r="D4" s="1" t="s">
        <v>187</v>
      </c>
      <c r="E4" s="1" t="s">
        <v>1</v>
      </c>
      <c r="G4" s="440"/>
      <c r="H4" s="395"/>
      <c r="I4" s="53" t="s">
        <v>61</v>
      </c>
      <c r="J4" s="40"/>
      <c r="K4" s="39">
        <f>(R8-R15)*דלקים!M18*דלקים!J4</f>
        <v>532520677.14034122</v>
      </c>
      <c r="L4" s="42">
        <f>R8*דלקים!M18*דלקים!J4</f>
        <v>761035297.21588993</v>
      </c>
      <c r="N4" s="1">
        <f>U3*U2</f>
        <v>306</v>
      </c>
      <c r="O4" s="1">
        <f>P3</f>
        <v>3</v>
      </c>
      <c r="P4" s="1">
        <f>IF($U$4&gt;O4,IF($U$4&gt;3.75,3.75,$U$4))</f>
        <v>3.75</v>
      </c>
      <c r="Q4" s="1">
        <f>IF($U$4-O4&gt;0,P4-O4,0)</f>
        <v>0.75</v>
      </c>
      <c r="R4" s="1">
        <f>Q4*24</f>
        <v>18</v>
      </c>
      <c r="T4" s="1" t="s">
        <v>102</v>
      </c>
      <c r="U4" s="1">
        <f>מרכז!D23</f>
        <v>28</v>
      </c>
    </row>
    <row r="5" spans="2:22" ht="15" thickBot="1" x14ac:dyDescent="0.25">
      <c r="B5" s="1" t="s">
        <v>104</v>
      </c>
      <c r="C5" s="17">
        <f>J5/10^6</f>
        <v>195.23185409708219</v>
      </c>
      <c r="D5" s="17">
        <f>K5/10^6</f>
        <v>586.604104887792</v>
      </c>
      <c r="E5" s="17">
        <f>L5/10^6</f>
        <v>761.03529721588995</v>
      </c>
      <c r="G5" s="440"/>
      <c r="H5" s="396"/>
      <c r="I5" s="54" t="s">
        <v>19</v>
      </c>
      <c r="J5" s="49">
        <f>SUM(J3:J4)</f>
        <v>195231854.0970822</v>
      </c>
      <c r="K5" s="49">
        <f>SUM(K3:K4)</f>
        <v>586604104.88779199</v>
      </c>
      <c r="L5" s="50">
        <f>SUM(L3:L4)</f>
        <v>761035297.21588993</v>
      </c>
      <c r="N5" s="1">
        <f>N4+U3*U2</f>
        <v>612</v>
      </c>
      <c r="O5" s="1">
        <f>P4</f>
        <v>3.75</v>
      </c>
      <c r="P5" s="1">
        <f>IF($U$4&gt;O5,IF($U$4&gt;5.5,5.5,$U$4))</f>
        <v>5.5</v>
      </c>
      <c r="Q5" s="1">
        <f>IF($U$4-O5&gt;0,P5-O5,0)</f>
        <v>1.75</v>
      </c>
      <c r="R5" s="1">
        <f t="shared" ref="R5:R7" si="0">Q5*24</f>
        <v>42</v>
      </c>
    </row>
    <row r="6" spans="2:22" ht="15" x14ac:dyDescent="0.25">
      <c r="B6" s="1" t="s">
        <v>164</v>
      </c>
      <c r="C6" s="56">
        <f>J11*(1+$C$20)^(מרכז!$D$45-$C$19)/10^6</f>
        <v>378.30980623487625</v>
      </c>
      <c r="D6" s="56">
        <f>K11*(1+$C$20)^(מרכז!$D$45-$C$19)/10^6</f>
        <v>203.56325916511949</v>
      </c>
      <c r="E6" s="56">
        <f>L11*(1+$C$20)^(מרכז!$D$45-$C$19)/10^6</f>
        <v>128.57623513518561</v>
      </c>
      <c r="G6" s="440"/>
      <c r="H6" s="395" t="s">
        <v>79</v>
      </c>
      <c r="I6" s="52" t="s">
        <v>54</v>
      </c>
      <c r="J6" s="46">
        <f>R8*דלקים!M17*דלקים!R25</f>
        <v>130994276.29739709</v>
      </c>
      <c r="K6" s="47">
        <f>R15*דלקים!M17*דלקים!R24</f>
        <v>39333401.998146042</v>
      </c>
      <c r="L6" s="48">
        <v>0</v>
      </c>
      <c r="N6" s="1">
        <f>N5+U3*U2</f>
        <v>918</v>
      </c>
      <c r="O6" s="1">
        <f>P5</f>
        <v>5.5</v>
      </c>
      <c r="P6" s="1">
        <f>IF($U$4&gt;O6,IF($U$4&gt;6.5,6.5,$U$4))</f>
        <v>6.5</v>
      </c>
      <c r="Q6" s="1">
        <f>IF($U$4-O6&gt;0,P6-O6,0)</f>
        <v>1</v>
      </c>
      <c r="R6" s="1">
        <f t="shared" si="0"/>
        <v>24</v>
      </c>
      <c r="T6" s="8" t="s">
        <v>195</v>
      </c>
    </row>
    <row r="7" spans="2:22" x14ac:dyDescent="0.2">
      <c r="B7" s="1" t="s">
        <v>159</v>
      </c>
      <c r="C7" s="56">
        <f>C13</f>
        <v>154.04648837340667</v>
      </c>
      <c r="D7" s="56">
        <f t="shared" ref="D7:E7" si="1">D13</f>
        <v>105.23055417219071</v>
      </c>
      <c r="E7" s="56">
        <f t="shared" si="1"/>
        <v>84.282720338718718</v>
      </c>
      <c r="G7" s="440"/>
      <c r="H7" s="395"/>
      <c r="I7" s="53" t="s">
        <v>61</v>
      </c>
      <c r="J7" s="40"/>
      <c r="K7" s="39">
        <f>(R8-R15)*דלקים!M18*דלקים!Q10</f>
        <v>213842457.9592869</v>
      </c>
      <c r="L7" s="42">
        <f>R8*דלקים!M18*דלקים!Q10</f>
        <v>305606271.33645213</v>
      </c>
      <c r="N7" s="1">
        <f>N6+U3*U2</f>
        <v>1224</v>
      </c>
      <c r="O7" s="1">
        <v>6.5</v>
      </c>
      <c r="P7" s="1">
        <f>U4</f>
        <v>28</v>
      </c>
      <c r="Q7" s="1">
        <f>IF(P7-O7&gt;0,P7-O7,0)</f>
        <v>21.5</v>
      </c>
      <c r="R7" s="1">
        <f t="shared" si="0"/>
        <v>516</v>
      </c>
      <c r="T7" s="444" t="s">
        <v>20</v>
      </c>
      <c r="U7" s="7" t="s">
        <v>21</v>
      </c>
      <c r="V7" s="444" t="s">
        <v>23</v>
      </c>
    </row>
    <row r="8" spans="2:22" ht="17.25" thickBot="1" x14ac:dyDescent="0.4">
      <c r="B8" s="1" t="s">
        <v>19</v>
      </c>
      <c r="C8" s="56">
        <f>C5+C6</f>
        <v>573.54166033195838</v>
      </c>
      <c r="D8" s="56">
        <f>D5+D6</f>
        <v>790.16736405291147</v>
      </c>
      <c r="E8" s="1">
        <v>0</v>
      </c>
      <c r="G8" s="442"/>
      <c r="H8" s="396"/>
      <c r="I8" s="54" t="s">
        <v>19</v>
      </c>
      <c r="J8" s="49">
        <f>SUM(J6:J7)</f>
        <v>130994276.29739709</v>
      </c>
      <c r="K8" s="49">
        <f>SUM(K6:K7)</f>
        <v>253175859.95743293</v>
      </c>
      <c r="L8" s="50">
        <f>SUM(L6:L7)</f>
        <v>305606271.33645213</v>
      </c>
      <c r="N8" s="1" t="s">
        <v>197</v>
      </c>
      <c r="O8" s="1"/>
      <c r="P8" s="1"/>
      <c r="Q8" s="1"/>
      <c r="R8" s="60">
        <f>SUMPRODUCT(R3:R7,N3:N7)</f>
        <v>684828</v>
      </c>
      <c r="T8" s="444"/>
      <c r="U8" s="7" t="s">
        <v>22</v>
      </c>
      <c r="V8" s="444"/>
    </row>
    <row r="9" spans="2:22" ht="16.5" x14ac:dyDescent="0.35">
      <c r="G9" s="440" t="s">
        <v>247</v>
      </c>
      <c r="H9" s="441"/>
      <c r="I9" s="53" t="s">
        <v>54</v>
      </c>
      <c r="J9" s="40">
        <f>R8*'זיהום ופליטות'!Q15*1000</f>
        <v>336316040.19230437</v>
      </c>
      <c r="K9" s="40">
        <f>R15*'זיהום ופליטות'!Q15*1000</f>
        <v>100984977.21591981</v>
      </c>
      <c r="L9" s="41"/>
      <c r="R9" s="35"/>
      <c r="T9" s="444" t="s">
        <v>24</v>
      </c>
      <c r="U9" s="7" t="s">
        <v>21</v>
      </c>
      <c r="V9" s="444" t="s">
        <v>26</v>
      </c>
    </row>
    <row r="10" spans="2:22" ht="15" x14ac:dyDescent="0.25">
      <c r="B10" s="2" t="s">
        <v>79</v>
      </c>
      <c r="C10" s="1" t="s">
        <v>188</v>
      </c>
      <c r="D10" s="1" t="s">
        <v>187</v>
      </c>
      <c r="E10" s="1" t="s">
        <v>1</v>
      </c>
      <c r="G10" s="440"/>
      <c r="H10" s="441"/>
      <c r="I10" s="53" t="s">
        <v>61</v>
      </c>
      <c r="J10" s="40"/>
      <c r="K10" s="40">
        <f>(R8-R15)*'זיהום ופליטות'!S25*1000</f>
        <v>79982018.941055179</v>
      </c>
      <c r="L10" s="41">
        <f>R8*'זיהום ופליטות'!S25*1000</f>
        <v>114303804.84679534</v>
      </c>
      <c r="N10" s="8" t="s">
        <v>187</v>
      </c>
      <c r="T10" s="444"/>
      <c r="U10" s="7" t="s">
        <v>25</v>
      </c>
      <c r="V10" s="444"/>
    </row>
    <row r="11" spans="2:22" ht="15" thickBot="1" x14ac:dyDescent="0.25">
      <c r="B11" s="1" t="s">
        <v>104</v>
      </c>
      <c r="C11" s="17">
        <f>J8/10^6</f>
        <v>130.99427629739708</v>
      </c>
      <c r="D11" s="17">
        <f>K8/10^6</f>
        <v>253.17585995743292</v>
      </c>
      <c r="E11" s="17">
        <f>L8/10^6</f>
        <v>305.60627133645215</v>
      </c>
      <c r="G11" s="442"/>
      <c r="H11" s="443"/>
      <c r="I11" s="54" t="s">
        <v>19</v>
      </c>
      <c r="J11" s="43">
        <f>SUM(J9:J10)</f>
        <v>336316040.19230437</v>
      </c>
      <c r="K11" s="43">
        <f>SUM(K9:K10)</f>
        <v>180966996.15697497</v>
      </c>
      <c r="L11" s="44">
        <f>SUM(L9:L10)</f>
        <v>114303804.84679534</v>
      </c>
      <c r="N11" s="1" t="s">
        <v>103</v>
      </c>
      <c r="O11" s="1" t="s">
        <v>96</v>
      </c>
      <c r="P11" s="1" t="s">
        <v>97</v>
      </c>
      <c r="Q11" s="1" t="s">
        <v>95</v>
      </c>
      <c r="R11" s="1" t="s">
        <v>94</v>
      </c>
      <c r="T11" s="444" t="s">
        <v>27</v>
      </c>
      <c r="U11" s="7" t="s">
        <v>21</v>
      </c>
      <c r="V11" s="444" t="s">
        <v>30</v>
      </c>
    </row>
    <row r="12" spans="2:22" x14ac:dyDescent="0.2">
      <c r="B12" s="1" t="s">
        <v>158</v>
      </c>
      <c r="C12" s="56">
        <f>J11*(1+$C$20)^(מרכז!$D$45-$C$19)/10^6</f>
        <v>378.30980623487625</v>
      </c>
      <c r="D12" s="56">
        <f>K11*(1+$C$20)^(מרכז!$D$45-$C$19)/10^6</f>
        <v>203.56325916511949</v>
      </c>
      <c r="E12" s="56">
        <f>L11*(1+$C$20)^(מרכז!$D$45-$C$19)/10^6</f>
        <v>128.57623513518561</v>
      </c>
      <c r="G12" s="440" t="s">
        <v>248</v>
      </c>
      <c r="H12" s="441"/>
      <c r="I12" s="53" t="s">
        <v>54</v>
      </c>
      <c r="J12" s="40">
        <f>R8*'זיהום ופליטות'!M15*1000</f>
        <v>136946767.22999996</v>
      </c>
      <c r="K12" s="40">
        <f>R15*'זיהום ופליטות'!M15*1000</f>
        <v>41120745.11999999</v>
      </c>
      <c r="L12" s="41"/>
      <c r="N12" s="1">
        <v>0</v>
      </c>
      <c r="O12" s="1">
        <v>0</v>
      </c>
      <c r="P12" s="1">
        <v>14</v>
      </c>
      <c r="Q12" s="1">
        <f>IF(P12-O12&gt;0,P12-O12,0)</f>
        <v>14</v>
      </c>
      <c r="R12" s="1">
        <f>Q12*24</f>
        <v>336</v>
      </c>
      <c r="T12" s="444"/>
      <c r="U12" s="7" t="s">
        <v>28</v>
      </c>
      <c r="V12" s="444"/>
    </row>
    <row r="13" spans="2:22" ht="28.5" x14ac:dyDescent="0.2">
      <c r="B13" s="1" t="s">
        <v>159</v>
      </c>
      <c r="C13" s="56">
        <f>J14*(1+$C$20)^(מרכז!$D$45-$C$19)/10^6</f>
        <v>154.04648837340667</v>
      </c>
      <c r="D13" s="56">
        <f>K14*(1+$C$20)^(מרכז!$D$45-$C$19)/10^6</f>
        <v>105.23055417219071</v>
      </c>
      <c r="E13" s="56">
        <f>L14*(1+$C$20)^(מרכז!$D$45-$C$19)/10^6</f>
        <v>84.282720338718718</v>
      </c>
      <c r="G13" s="440"/>
      <c r="H13" s="441"/>
      <c r="I13" s="53" t="s">
        <v>61</v>
      </c>
      <c r="J13" s="40"/>
      <c r="K13" s="40">
        <f>(R8-R15)*'זיהום ופליטות'!O25*1000</f>
        <v>52428834.359999992</v>
      </c>
      <c r="L13" s="41">
        <f>R8*'זיהום ופליטות'!O25*1000</f>
        <v>74927031.479999989</v>
      </c>
      <c r="N13" s="1">
        <f>N5</f>
        <v>612</v>
      </c>
      <c r="O13" s="1">
        <v>14</v>
      </c>
      <c r="P13" s="1">
        <f>IF(U4&gt;O13,IF(U4&gt;28,28,U4))</f>
        <v>28</v>
      </c>
      <c r="Q13" s="1">
        <f>IF(P13-O13&gt;0,P13-O13,0)</f>
        <v>14</v>
      </c>
      <c r="R13" s="1">
        <f>Q13*24</f>
        <v>336</v>
      </c>
      <c r="T13" s="444"/>
      <c r="U13" s="7" t="s">
        <v>29</v>
      </c>
      <c r="V13" s="444"/>
    </row>
    <row r="14" spans="2:22" ht="15" thickBot="1" x14ac:dyDescent="0.25">
      <c r="B14" s="1" t="s">
        <v>19</v>
      </c>
      <c r="C14" s="56">
        <f>C11+C12</f>
        <v>509.30408253227336</v>
      </c>
      <c r="D14" s="56">
        <f>D11+D12</f>
        <v>456.73911912255244</v>
      </c>
      <c r="E14" s="1">
        <v>0</v>
      </c>
      <c r="G14" s="442"/>
      <c r="H14" s="443"/>
      <c r="I14" s="54" t="s">
        <v>19</v>
      </c>
      <c r="J14" s="43">
        <f>SUM(J12:J13)</f>
        <v>136946767.22999996</v>
      </c>
      <c r="K14" s="43">
        <f>SUM(K12:K13)</f>
        <v>93549579.479999989</v>
      </c>
      <c r="L14" s="44">
        <f>SUM(L12:L13)</f>
        <v>74927031.479999989</v>
      </c>
      <c r="N14" s="1">
        <f>N7</f>
        <v>1224</v>
      </c>
      <c r="O14" s="1">
        <v>28</v>
      </c>
      <c r="P14" s="1">
        <f>U4</f>
        <v>28</v>
      </c>
      <c r="Q14" s="1">
        <f>IF(P14-O14&gt;0,P14-O14,0)</f>
        <v>0</v>
      </c>
      <c r="R14" s="1">
        <f>Q14*24</f>
        <v>0</v>
      </c>
      <c r="T14" s="444" t="s">
        <v>31</v>
      </c>
      <c r="U14" s="7" t="s">
        <v>21</v>
      </c>
      <c r="V14" s="444" t="s">
        <v>35</v>
      </c>
    </row>
    <row r="15" spans="2:22" ht="16.5" x14ac:dyDescent="0.35">
      <c r="K15" s="13"/>
      <c r="N15" s="1" t="s">
        <v>198</v>
      </c>
      <c r="O15" s="1"/>
      <c r="P15" s="1"/>
      <c r="Q15" s="1"/>
      <c r="R15" s="60">
        <f>SUMPRODUCT(R12:R14,N12:N14)</f>
        <v>205632</v>
      </c>
      <c r="T15" s="444"/>
      <c r="U15" s="7" t="s">
        <v>32</v>
      </c>
      <c r="V15" s="444"/>
    </row>
    <row r="16" spans="2:22" ht="28.5" x14ac:dyDescent="0.2">
      <c r="G16" s="19"/>
      <c r="H16" s="148"/>
      <c r="I16" s="181"/>
      <c r="K16" s="182"/>
      <c r="L16" s="181"/>
      <c r="M16" s="19"/>
      <c r="N16" s="19"/>
      <c r="O16" s="19"/>
      <c r="P16" s="19"/>
      <c r="Q16" s="19"/>
      <c r="R16" s="19"/>
      <c r="T16" s="444"/>
      <c r="U16" s="7" t="s">
        <v>33</v>
      </c>
      <c r="V16" s="444"/>
    </row>
    <row r="17" spans="2:22" x14ac:dyDescent="0.2">
      <c r="G17" s="19"/>
      <c r="H17" s="439"/>
      <c r="I17" s="439"/>
      <c r="K17" s="181"/>
      <c r="L17" s="181"/>
      <c r="M17" s="19"/>
      <c r="N17" s="19"/>
      <c r="O17" s="40"/>
      <c r="P17" s="19"/>
      <c r="Q17" s="19"/>
      <c r="R17" s="19"/>
      <c r="T17" s="444"/>
      <c r="U17" s="7" t="s">
        <v>34</v>
      </c>
      <c r="V17" s="444"/>
    </row>
    <row r="18" spans="2:22" ht="15" x14ac:dyDescent="0.25">
      <c r="B18" s="15" t="s">
        <v>101</v>
      </c>
      <c r="G18" s="19"/>
      <c r="H18" s="439"/>
      <c r="I18" s="439"/>
      <c r="J18" s="182"/>
      <c r="K18" s="182"/>
      <c r="L18" s="333"/>
      <c r="M18" s="19"/>
      <c r="N18" s="19"/>
      <c r="O18" s="182"/>
      <c r="P18" s="19"/>
      <c r="Q18" s="19"/>
      <c r="R18" s="19"/>
    </row>
    <row r="19" spans="2:22" ht="15" x14ac:dyDescent="0.25">
      <c r="B19" t="s">
        <v>100</v>
      </c>
      <c r="C19">
        <v>2024</v>
      </c>
      <c r="G19" s="19"/>
      <c r="H19" s="148"/>
      <c r="I19" s="148"/>
      <c r="J19" s="148"/>
      <c r="K19" s="148"/>
      <c r="L19" s="148"/>
      <c r="M19" s="19"/>
      <c r="N19" s="19"/>
      <c r="O19" s="19"/>
      <c r="P19" s="19"/>
      <c r="Q19" s="19"/>
      <c r="R19" s="19"/>
      <c r="T19" s="8" t="s">
        <v>196</v>
      </c>
    </row>
    <row r="20" spans="2:22" x14ac:dyDescent="0.2">
      <c r="B20" t="s">
        <v>99</v>
      </c>
      <c r="C20" s="12">
        <v>0.04</v>
      </c>
      <c r="G20" s="19"/>
      <c r="H20" s="19"/>
      <c r="I20" s="19"/>
      <c r="J20" s="148"/>
      <c r="K20" s="19"/>
      <c r="L20" s="19"/>
      <c r="M20" s="19"/>
      <c r="N20" s="19"/>
      <c r="O20" s="19"/>
      <c r="P20" s="19"/>
      <c r="Q20" s="19"/>
      <c r="R20" s="19"/>
      <c r="T20" s="1" t="s">
        <v>39</v>
      </c>
      <c r="U20" s="9" t="s">
        <v>40</v>
      </c>
      <c r="V20" s="1" t="s">
        <v>41</v>
      </c>
    </row>
    <row r="21" spans="2:22" x14ac:dyDescent="0.2">
      <c r="G21" s="19"/>
      <c r="N21" s="19"/>
      <c r="O21" s="19"/>
      <c r="P21" s="19"/>
      <c r="Q21" s="19"/>
      <c r="R21" s="19"/>
      <c r="T21" s="1">
        <v>1</v>
      </c>
      <c r="U21" s="9" t="s">
        <v>42</v>
      </c>
      <c r="V21" s="10">
        <v>1</v>
      </c>
    </row>
    <row r="22" spans="2:22" x14ac:dyDescent="0.2">
      <c r="T22" s="1">
        <v>2</v>
      </c>
      <c r="U22" s="9" t="s">
        <v>42</v>
      </c>
      <c r="V22" s="10">
        <v>1</v>
      </c>
    </row>
    <row r="23" spans="2:22" x14ac:dyDescent="0.2">
      <c r="T23" s="1">
        <v>3</v>
      </c>
      <c r="U23" s="9" t="s">
        <v>268</v>
      </c>
      <c r="V23" s="10">
        <v>0.9</v>
      </c>
    </row>
    <row r="24" spans="2:22" x14ac:dyDescent="0.2">
      <c r="T24" s="1">
        <v>4</v>
      </c>
      <c r="U24" s="9" t="s">
        <v>268</v>
      </c>
      <c r="V24" s="10">
        <v>0.8</v>
      </c>
    </row>
  </sheetData>
  <mergeCells count="15">
    <mergeCell ref="H18:I18"/>
    <mergeCell ref="G9:H11"/>
    <mergeCell ref="T14:T17"/>
    <mergeCell ref="V14:V17"/>
    <mergeCell ref="T7:T8"/>
    <mergeCell ref="V7:V8"/>
    <mergeCell ref="T9:T10"/>
    <mergeCell ref="V9:V10"/>
    <mergeCell ref="T11:T13"/>
    <mergeCell ref="V11:V13"/>
    <mergeCell ref="G3:G8"/>
    <mergeCell ref="H3:H5"/>
    <mergeCell ref="H6:H8"/>
    <mergeCell ref="G12:H14"/>
    <mergeCell ref="H17:I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מרכז</vt:lpstr>
      <vt:lpstr>הון</vt:lpstr>
      <vt:lpstr>תפעול</vt:lpstr>
      <vt:lpstr>דלקים</vt:lpstr>
      <vt:lpstr>צריכת דלק לבדיקות</vt:lpstr>
      <vt:lpstr>זיהום ופליטות</vt:lpstr>
      <vt:lpstr>חירום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אדיר לוי</dc:creator>
  <cp:lastModifiedBy>איתי יחיא</cp:lastModifiedBy>
  <cp:lastPrinted>2025-04-27T09:33:43Z</cp:lastPrinted>
  <dcterms:created xsi:type="dcterms:W3CDTF">2025-01-20T14:37:03Z</dcterms:created>
  <dcterms:modified xsi:type="dcterms:W3CDTF">2025-11-24T13:31:37Z</dcterms:modified>
</cp:coreProperties>
</file>