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nuritgal/Documents/עתיד הפחם במשק החשמל בישראל/"/>
    </mc:Choice>
  </mc:AlternateContent>
  <xr:revisionPtr revIDLastSave="0" documentId="8_{1E55E5A6-7490-F44B-9297-CE95957D0750}" xr6:coauthVersionLast="45" xr6:coauthVersionMax="45" xr10:uidLastSave="{00000000-0000-0000-0000-000000000000}"/>
  <bookViews>
    <workbookView xWindow="0" yWindow="460" windowWidth="25600" windowHeight="14440" firstSheet="7" activeTab="14" xr2:uid="{00000000-000D-0000-FFFF-FFFF00000000}"/>
  </bookViews>
  <sheets>
    <sheet name="סיכום" sheetId="23" r:id="rId1"/>
    <sheet name="הנחות עבודה" sheetId="4" r:id="rId2"/>
    <sheet name="הספק לפי חלופה" sheetId="38" r:id="rId3"/>
    <sheet name="תמהיל יצור" sheetId="1" r:id="rId4"/>
    <sheet name="צריכת פחם וגז" sheetId="2" r:id="rId5"/>
    <sheet name=" פליטות - גזי חממה" sheetId="17" r:id="rId6"/>
    <sheet name="פליטות - SO2" sheetId="41" r:id="rId7"/>
    <sheet name="פליטות - NOX" sheetId="39" r:id="rId8"/>
    <sheet name="פליטות- חלקיקים" sheetId="42" r:id="rId9"/>
    <sheet name=" עלויות חח&quot;י" sheetId="20" r:id="rId10"/>
    <sheet name="עלויות הקמת יחידות חדשות" sheetId="43" r:id="rId11"/>
    <sheet name=" עלות דלקים - אג לקוט&quot;ש" sheetId="3" r:id="rId12"/>
    <sheet name=" עלות דלקים - לתקופה" sheetId="26" r:id="rId13"/>
    <sheet name=" עלויות תפעול" sheetId="37" r:id="rId14"/>
    <sheet name=" ביטחון אנרגטי" sheetId="14" r:id="rId15"/>
  </sheets>
  <definedNames>
    <definedName name="_xlnm._FilterDatabase" localSheetId="1" hidden="1">'הנחות עבודה'!$E$72:$E$79</definedName>
    <definedName name="Cap_mahzam">' עלויות חח"י'!$N$40</definedName>
    <definedName name="Cap_piker">' עלויות חח"י'!$N$41</definedName>
    <definedName name="FC_mahzam">' עלויות חח"י'!$M$40</definedName>
    <definedName name="FC_piker">' עלויות חח"י'!$M$41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0" i="23" l="1"/>
  <c r="F29" i="23"/>
  <c r="K30" i="3" l="1"/>
  <c r="B60" i="39"/>
  <c r="B59" i="39"/>
  <c r="B58" i="39"/>
  <c r="C13" i="3"/>
  <c r="D5" i="37"/>
  <c r="D6" i="37" s="1"/>
  <c r="D7" i="37" s="1"/>
  <c r="D8" i="37" s="1"/>
  <c r="D9" i="37" s="1"/>
  <c r="D10" i="37" s="1"/>
  <c r="D11" i="37" s="1"/>
  <c r="D12" i="37" s="1"/>
  <c r="D13" i="37" s="1"/>
  <c r="D14" i="37" s="1"/>
  <c r="D15" i="37" s="1"/>
  <c r="D16" i="37" s="1"/>
  <c r="D17" i="37" s="1"/>
  <c r="D18" i="37" s="1"/>
  <c r="D19" i="37" s="1"/>
  <c r="D20" i="37" s="1"/>
  <c r="D21" i="37" s="1"/>
  <c r="D22" i="37" s="1"/>
  <c r="D23" i="37" s="1"/>
  <c r="D24" i="37" s="1"/>
  <c r="D25" i="37" s="1"/>
  <c r="D26" i="37" s="1"/>
  <c r="D27" i="37" s="1"/>
  <c r="D28" i="37" s="1"/>
  <c r="D29" i="37" s="1"/>
  <c r="D30" i="37" s="1"/>
  <c r="A80" i="26"/>
  <c r="A81" i="26" s="1"/>
  <c r="A82" i="26" s="1"/>
  <c r="A83" i="26" s="1"/>
  <c r="A84" i="26" s="1"/>
  <c r="A85" i="26" s="1"/>
  <c r="A86" i="26" s="1"/>
  <c r="A87" i="26" s="1"/>
  <c r="A88" i="26" s="1"/>
  <c r="A89" i="26" s="1"/>
  <c r="A90" i="26" s="1"/>
  <c r="A91" i="26" s="1"/>
  <c r="A92" i="26" s="1"/>
  <c r="A93" i="26" s="1"/>
  <c r="A94" i="26" s="1"/>
  <c r="A95" i="26" s="1"/>
  <c r="A96" i="26" s="1"/>
  <c r="A97" i="26" s="1"/>
  <c r="A98" i="26" s="1"/>
  <c r="A99" i="26" s="1"/>
  <c r="A100" i="26" s="1"/>
  <c r="A101" i="26" s="1"/>
  <c r="A102" i="26" s="1"/>
  <c r="A103" i="26" s="1"/>
  <c r="A104" i="26" s="1"/>
  <c r="A105" i="26" s="1"/>
  <c r="A47" i="26"/>
  <c r="A48" i="26" s="1"/>
  <c r="A49" i="26" s="1"/>
  <c r="A50" i="26" s="1"/>
  <c r="A51" i="26" s="1"/>
  <c r="A52" i="26" s="1"/>
  <c r="A53" i="26" s="1"/>
  <c r="A54" i="26" s="1"/>
  <c r="A55" i="26" s="1"/>
  <c r="A56" i="26" s="1"/>
  <c r="A57" i="26" s="1"/>
  <c r="A58" i="26" s="1"/>
  <c r="A59" i="26" s="1"/>
  <c r="A60" i="26" s="1"/>
  <c r="A61" i="26" s="1"/>
  <c r="A62" i="26" s="1"/>
  <c r="A63" i="26" s="1"/>
  <c r="A64" i="26" s="1"/>
  <c r="A65" i="26" s="1"/>
  <c r="A66" i="26" s="1"/>
  <c r="A67" i="26" s="1"/>
  <c r="A68" i="26" s="1"/>
  <c r="A69" i="26" s="1"/>
  <c r="A70" i="26" s="1"/>
  <c r="A71" i="26" s="1"/>
  <c r="A72" i="26" s="1"/>
  <c r="A14" i="26"/>
  <c r="A15" i="26" s="1"/>
  <c r="A16" i="26" s="1"/>
  <c r="A17" i="26" s="1"/>
  <c r="A18" i="26" s="1"/>
  <c r="A19" i="26" s="1"/>
  <c r="A20" i="26" s="1"/>
  <c r="A21" i="26" s="1"/>
  <c r="A22" i="26" s="1"/>
  <c r="A23" i="26" s="1"/>
  <c r="A24" i="26" s="1"/>
  <c r="A25" i="26" s="1"/>
  <c r="A26" i="26" s="1"/>
  <c r="A27" i="26" s="1"/>
  <c r="A28" i="26" s="1"/>
  <c r="A29" i="26" s="1"/>
  <c r="A30" i="26" s="1"/>
  <c r="A31" i="26" s="1"/>
  <c r="A32" i="26" s="1"/>
  <c r="A33" i="26" s="1"/>
  <c r="A34" i="26" s="1"/>
  <c r="A35" i="26" s="1"/>
  <c r="A36" i="26" s="1"/>
  <c r="A37" i="26" s="1"/>
  <c r="A38" i="26" s="1"/>
  <c r="A39" i="26" s="1"/>
  <c r="A7" i="42"/>
  <c r="A8" i="42" s="1"/>
  <c r="A9" i="42" s="1"/>
  <c r="A10" i="42" s="1"/>
  <c r="A11" i="42" s="1"/>
  <c r="A12" i="42" s="1"/>
  <c r="A13" i="42" s="1"/>
  <c r="A14" i="42" s="1"/>
  <c r="A15" i="42" s="1"/>
  <c r="A16" i="42" s="1"/>
  <c r="A17" i="42" s="1"/>
  <c r="A18" i="42" s="1"/>
  <c r="A19" i="42" s="1"/>
  <c r="A20" i="42" s="1"/>
  <c r="A21" i="42" s="1"/>
  <c r="A22" i="42" s="1"/>
  <c r="A23" i="42" s="1"/>
  <c r="A24" i="42" s="1"/>
  <c r="A25" i="42" s="1"/>
  <c r="A26" i="42" s="1"/>
  <c r="A27" i="42" s="1"/>
  <c r="A28" i="42" s="1"/>
  <c r="A29" i="42" s="1"/>
  <c r="A30" i="42" s="1"/>
  <c r="A6" i="42"/>
  <c r="A6" i="39"/>
  <c r="A7" i="39" s="1"/>
  <c r="A8" i="39" s="1"/>
  <c r="A9" i="39" s="1"/>
  <c r="A10" i="39" s="1"/>
  <c r="A11" i="39" s="1"/>
  <c r="A12" i="39" s="1"/>
  <c r="A13" i="39" s="1"/>
  <c r="A14" i="39" s="1"/>
  <c r="A15" i="39" s="1"/>
  <c r="A16" i="39" s="1"/>
  <c r="A17" i="39" s="1"/>
  <c r="A18" i="39" s="1"/>
  <c r="A19" i="39" s="1"/>
  <c r="A20" i="39" s="1"/>
  <c r="A21" i="39" s="1"/>
  <c r="A22" i="39" s="1"/>
  <c r="A23" i="39" s="1"/>
  <c r="A24" i="39" s="1"/>
  <c r="A25" i="39" s="1"/>
  <c r="A26" i="39" s="1"/>
  <c r="A27" i="39" s="1"/>
  <c r="A28" i="39" s="1"/>
  <c r="A29" i="39" s="1"/>
  <c r="A30" i="39" s="1"/>
  <c r="A5" i="41"/>
  <c r="A6" i="41" s="1"/>
  <c r="A7" i="41" s="1"/>
  <c r="A8" i="41" s="1"/>
  <c r="A9" i="41" s="1"/>
  <c r="A10" i="41" s="1"/>
  <c r="A11" i="41" s="1"/>
  <c r="A12" i="41" s="1"/>
  <c r="A13" i="41" s="1"/>
  <c r="A14" i="41" s="1"/>
  <c r="A15" i="41" s="1"/>
  <c r="A16" i="41" s="1"/>
  <c r="A17" i="41" s="1"/>
  <c r="A18" i="41" s="1"/>
  <c r="A19" i="41" s="1"/>
  <c r="A20" i="41" s="1"/>
  <c r="A21" i="41" s="1"/>
  <c r="A22" i="41" s="1"/>
  <c r="A23" i="41" s="1"/>
  <c r="A24" i="41" s="1"/>
  <c r="A25" i="41" s="1"/>
  <c r="A26" i="41" s="1"/>
  <c r="A27" i="41" s="1"/>
  <c r="A28" i="41" s="1"/>
  <c r="A29" i="41" s="1"/>
  <c r="B5" i="2" l="1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D24" i="1"/>
  <c r="D25" i="1"/>
  <c r="D26" i="1"/>
  <c r="D27" i="1"/>
  <c r="D28" i="1"/>
  <c r="D29" i="1"/>
  <c r="H11" i="38"/>
  <c r="H12" i="38" s="1"/>
  <c r="H13" i="38" s="1"/>
  <c r="H14" i="38" s="1"/>
  <c r="H15" i="38" s="1"/>
  <c r="H16" i="38" s="1"/>
  <c r="H17" i="38" s="1"/>
  <c r="H18" i="38" s="1"/>
  <c r="H19" i="38" s="1"/>
  <c r="H20" i="38" s="1"/>
  <c r="H21" i="38" s="1"/>
  <c r="H22" i="38" s="1"/>
  <c r="H23" i="38" s="1"/>
  <c r="H24" i="38" s="1"/>
  <c r="H25" i="38" s="1"/>
  <c r="H26" i="38" s="1"/>
  <c r="H27" i="38" s="1"/>
  <c r="H28" i="38" s="1"/>
  <c r="H29" i="38" s="1"/>
  <c r="C25" i="38"/>
  <c r="F25" i="38" s="1"/>
  <c r="J25" i="38" s="1"/>
  <c r="C26" i="38"/>
  <c r="F26" i="38" s="1"/>
  <c r="C27" i="38"/>
  <c r="F27" i="38" s="1"/>
  <c r="S27" i="38" s="1"/>
  <c r="C28" i="38"/>
  <c r="F28" i="38" s="1"/>
  <c r="F5" i="38"/>
  <c r="J5" i="38" s="1"/>
  <c r="F6" i="38"/>
  <c r="J6" i="38" s="1"/>
  <c r="F7" i="38"/>
  <c r="J7" i="38" s="1"/>
  <c r="F8" i="38"/>
  <c r="J8" i="38" s="1"/>
  <c r="F9" i="38"/>
  <c r="J9" i="38" s="1"/>
  <c r="F10" i="38"/>
  <c r="J10" i="38" s="1"/>
  <c r="F11" i="38"/>
  <c r="J11" i="38" s="1"/>
  <c r="F12" i="38"/>
  <c r="J12" i="38" s="1"/>
  <c r="F13" i="38"/>
  <c r="J13" i="38" s="1"/>
  <c r="F14" i="38"/>
  <c r="J14" i="38" s="1"/>
  <c r="F15" i="38"/>
  <c r="J15" i="38" s="1"/>
  <c r="F16" i="38"/>
  <c r="J16" i="38" s="1"/>
  <c r="F17" i="38"/>
  <c r="J17" i="38" s="1"/>
  <c r="F18" i="38"/>
  <c r="J18" i="38" s="1"/>
  <c r="F19" i="38"/>
  <c r="J19" i="38" s="1"/>
  <c r="F20" i="38"/>
  <c r="J20" i="38" s="1"/>
  <c r="F21" i="38"/>
  <c r="J21" i="38" s="1"/>
  <c r="F22" i="38"/>
  <c r="J22" i="38" s="1"/>
  <c r="F23" i="38"/>
  <c r="J23" i="38" s="1"/>
  <c r="F4" i="38"/>
  <c r="J4" i="38" s="1"/>
  <c r="C29" i="38"/>
  <c r="F29" i="38" s="1"/>
  <c r="J29" i="38" s="1"/>
  <c r="C24" i="38"/>
  <c r="F24" i="38" s="1"/>
  <c r="A25" i="17"/>
  <c r="A26" i="17" s="1"/>
  <c r="A27" i="17" s="1"/>
  <c r="A28" i="17" s="1"/>
  <c r="A29" i="17" s="1"/>
  <c r="A30" i="17" s="1"/>
  <c r="E32" i="4"/>
  <c r="E29" i="4"/>
  <c r="N8" i="4"/>
  <c r="E33" i="4"/>
  <c r="S24" i="38" l="1"/>
  <c r="J24" i="38"/>
  <c r="S28" i="38"/>
  <c r="J28" i="38"/>
  <c r="S26" i="38"/>
  <c r="J26" i="38"/>
  <c r="S25" i="38"/>
  <c r="J27" i="38"/>
  <c r="E53" i="2"/>
  <c r="B7" i="14"/>
  <c r="C7" i="14"/>
  <c r="D7" i="14"/>
  <c r="E7" i="14"/>
  <c r="F7" i="14"/>
  <c r="N20" i="3"/>
  <c r="N19" i="3"/>
  <c r="E27" i="4"/>
  <c r="E30" i="4" l="1"/>
  <c r="B78" i="4" s="1"/>
  <c r="B77" i="4"/>
  <c r="O20" i="3"/>
  <c r="L21" i="3"/>
  <c r="S3" i="1"/>
  <c r="AC78" i="26"/>
  <c r="AD78" i="26"/>
  <c r="AE78" i="26"/>
  <c r="C45" i="26"/>
  <c r="C78" i="26" s="1"/>
  <c r="D45" i="26"/>
  <c r="D78" i="26" s="1"/>
  <c r="E45" i="26"/>
  <c r="E78" i="26" s="1"/>
  <c r="F45" i="26"/>
  <c r="F78" i="26" s="1"/>
  <c r="G45" i="26"/>
  <c r="G78" i="26" s="1"/>
  <c r="H45" i="26"/>
  <c r="H78" i="26" s="1"/>
  <c r="I45" i="26"/>
  <c r="I78" i="26" s="1"/>
  <c r="J45" i="26"/>
  <c r="J78" i="26" s="1"/>
  <c r="K45" i="26"/>
  <c r="K78" i="26" s="1"/>
  <c r="L45" i="26"/>
  <c r="L78" i="26" s="1"/>
  <c r="M45" i="26"/>
  <c r="M78" i="26" s="1"/>
  <c r="N45" i="26"/>
  <c r="N78" i="26" s="1"/>
  <c r="O45" i="26"/>
  <c r="O78" i="26" s="1"/>
  <c r="P45" i="26"/>
  <c r="P78" i="26" s="1"/>
  <c r="Q45" i="26"/>
  <c r="Q78" i="26" s="1"/>
  <c r="R45" i="26"/>
  <c r="R78" i="26" s="1"/>
  <c r="S45" i="26"/>
  <c r="S78" i="26" s="1"/>
  <c r="T45" i="26"/>
  <c r="T78" i="26" s="1"/>
  <c r="U45" i="26"/>
  <c r="U78" i="26" s="1"/>
  <c r="V45" i="26"/>
  <c r="V78" i="26" s="1"/>
  <c r="W45" i="26"/>
  <c r="W78" i="26" s="1"/>
  <c r="X45" i="26"/>
  <c r="X78" i="26" s="1"/>
  <c r="Y45" i="26"/>
  <c r="Y78" i="26" s="1"/>
  <c r="Z45" i="26"/>
  <c r="Z78" i="26" s="1"/>
  <c r="AA45" i="26"/>
  <c r="AA78" i="26" s="1"/>
  <c r="AB45" i="26"/>
  <c r="AB78" i="26" s="1"/>
  <c r="B45" i="26"/>
  <c r="B78" i="26" s="1"/>
  <c r="N4" i="42"/>
  <c r="H4" i="42"/>
  <c r="E4" i="42"/>
  <c r="C4" i="42" s="1"/>
  <c r="R4" i="42" s="1"/>
  <c r="N4" i="39"/>
  <c r="H4" i="39"/>
  <c r="E4" i="39" s="1"/>
  <c r="C4" i="39" s="1"/>
  <c r="R4" i="39" s="1"/>
  <c r="N3" i="41"/>
  <c r="H3" i="41"/>
  <c r="E3" i="41" s="1"/>
  <c r="C3" i="41" s="1"/>
  <c r="R3" i="41" s="1"/>
  <c r="H4" i="17"/>
  <c r="E4" i="17" s="1"/>
  <c r="C4" i="17" s="1"/>
  <c r="R4" i="17" s="1"/>
  <c r="E50" i="2" l="1"/>
  <c r="O19" i="3"/>
  <c r="N4" i="17"/>
  <c r="B62" i="17"/>
  <c r="B61" i="17"/>
  <c r="S3" i="2"/>
  <c r="R3" i="2"/>
  <c r="E26" i="4"/>
  <c r="AE6" i="1" s="1"/>
  <c r="Z6" i="1"/>
  <c r="AE7" i="1" l="1"/>
  <c r="O8" i="17" s="1"/>
  <c r="AE5" i="1"/>
  <c r="O6" i="17" s="1"/>
  <c r="Y7" i="1"/>
  <c r="K8" i="17" s="1"/>
  <c r="O7" i="39"/>
  <c r="O7" i="17"/>
  <c r="L7" i="39"/>
  <c r="Y6" i="1"/>
  <c r="K7" i="17" s="1"/>
  <c r="Z4" i="1"/>
  <c r="Z5" i="1"/>
  <c r="L6" i="17" s="1"/>
  <c r="AE4" i="1"/>
  <c r="AF7" i="1"/>
  <c r="AF5" i="1"/>
  <c r="AF4" i="1"/>
  <c r="AF6" i="1"/>
  <c r="L7" i="17"/>
  <c r="Z7" i="1"/>
  <c r="Y5" i="1"/>
  <c r="Y4" i="1"/>
  <c r="O6" i="39" l="1"/>
  <c r="P7" i="17"/>
  <c r="L5" i="17"/>
  <c r="P5" i="17"/>
  <c r="O8" i="39"/>
  <c r="P6" i="17"/>
  <c r="L8" i="17"/>
  <c r="P8" i="17"/>
  <c r="K8" i="39"/>
  <c r="K5" i="39"/>
  <c r="K5" i="17"/>
  <c r="P8" i="39"/>
  <c r="K7" i="39"/>
  <c r="O5" i="39"/>
  <c r="K6" i="39"/>
  <c r="K6" i="17"/>
  <c r="P5" i="39"/>
  <c r="L8" i="39"/>
  <c r="O5" i="17"/>
  <c r="L6" i="39"/>
  <c r="P7" i="39"/>
  <c r="P6" i="39"/>
  <c r="L5" i="39"/>
  <c r="S3" i="42"/>
  <c r="S3" i="39"/>
  <c r="S2" i="41"/>
  <c r="S3" i="17"/>
  <c r="S24" i="42" l="1"/>
  <c r="S26" i="42"/>
  <c r="S30" i="42"/>
  <c r="S28" i="42"/>
  <c r="S27" i="42"/>
  <c r="S25" i="42"/>
  <c r="S29" i="42"/>
  <c r="S6" i="17"/>
  <c r="S30" i="17"/>
  <c r="S28" i="17"/>
  <c r="S25" i="17"/>
  <c r="S29" i="17"/>
  <c r="S26" i="17"/>
  <c r="S27" i="17"/>
  <c r="S5" i="41"/>
  <c r="S26" i="41"/>
  <c r="S25" i="41"/>
  <c r="S27" i="41"/>
  <c r="S24" i="41"/>
  <c r="S28" i="41"/>
  <c r="S29" i="41"/>
  <c r="S6" i="39"/>
  <c r="S27" i="39"/>
  <c r="S26" i="39"/>
  <c r="S28" i="39"/>
  <c r="S30" i="39"/>
  <c r="S29" i="39"/>
  <c r="S25" i="39"/>
  <c r="S9" i="42"/>
  <c r="S21" i="42"/>
  <c r="S19" i="42"/>
  <c r="S15" i="42"/>
  <c r="S6" i="42"/>
  <c r="S11" i="42"/>
  <c r="S17" i="42"/>
  <c r="S22" i="42"/>
  <c r="S14" i="42"/>
  <c r="S5" i="42"/>
  <c r="S10" i="42"/>
  <c r="S7" i="42"/>
  <c r="S13" i="42"/>
  <c r="S18" i="42"/>
  <c r="S23" i="42"/>
  <c r="S8" i="42"/>
  <c r="S12" i="42"/>
  <c r="S16" i="42"/>
  <c r="S20" i="42"/>
  <c r="S21" i="39"/>
  <c r="S5" i="39"/>
  <c r="S20" i="39"/>
  <c r="S15" i="39"/>
  <c r="S9" i="39"/>
  <c r="S11" i="39"/>
  <c r="S24" i="39"/>
  <c r="S19" i="39"/>
  <c r="S13" i="39"/>
  <c r="S8" i="39"/>
  <c r="S16" i="39"/>
  <c r="S23" i="39"/>
  <c r="S17" i="39"/>
  <c r="S12" i="39"/>
  <c r="S7" i="39"/>
  <c r="S22" i="39"/>
  <c r="S18" i="39"/>
  <c r="S14" i="39"/>
  <c r="S10" i="39"/>
  <c r="S11" i="41"/>
  <c r="S20" i="41"/>
  <c r="S12" i="41"/>
  <c r="S19" i="41"/>
  <c r="S16" i="41"/>
  <c r="S8" i="41"/>
  <c r="S23" i="41"/>
  <c r="S15" i="41"/>
  <c r="S7" i="41"/>
  <c r="S22" i="41"/>
  <c r="S18" i="41"/>
  <c r="S14" i="41"/>
  <c r="S10" i="41"/>
  <c r="S6" i="41"/>
  <c r="S4" i="41"/>
  <c r="S21" i="41"/>
  <c r="S17" i="41"/>
  <c r="S13" i="41"/>
  <c r="S9" i="41"/>
  <c r="S20" i="17"/>
  <c r="S12" i="17"/>
  <c r="S9" i="17"/>
  <c r="S24" i="17"/>
  <c r="S16" i="17"/>
  <c r="S17" i="17"/>
  <c r="S21" i="17"/>
  <c r="S13" i="17"/>
  <c r="S23" i="17"/>
  <c r="S19" i="17"/>
  <c r="S15" i="17"/>
  <c r="S11" i="17"/>
  <c r="S7" i="17"/>
  <c r="S8" i="17"/>
  <c r="S5" i="17"/>
  <c r="S22" i="17"/>
  <c r="S18" i="17"/>
  <c r="S14" i="17"/>
  <c r="S10" i="17"/>
  <c r="E23" i="23" l="1"/>
  <c r="F23" i="23"/>
  <c r="G23" i="23"/>
  <c r="H23" i="23"/>
  <c r="I23" i="23"/>
  <c r="D23" i="23"/>
  <c r="B6" i="43"/>
  <c r="G4" i="43" l="1"/>
  <c r="E13" i="20"/>
  <c r="I13" i="20" s="1"/>
  <c r="E12" i="20"/>
  <c r="I12" i="20" s="1"/>
  <c r="E11" i="20"/>
  <c r="I11" i="20" s="1"/>
  <c r="D69" i="4" l="1"/>
  <c r="B69" i="4"/>
  <c r="B59" i="42" l="1"/>
  <c r="B58" i="42"/>
  <c r="B59" i="41"/>
  <c r="B58" i="41"/>
  <c r="B57" i="41"/>
  <c r="E93" i="4"/>
  <c r="B60" i="42" s="1"/>
  <c r="P7" i="42" l="1"/>
  <c r="L6" i="42"/>
  <c r="L8" i="42"/>
  <c r="L5" i="42"/>
  <c r="O6" i="42"/>
  <c r="O8" i="42"/>
  <c r="O5" i="42"/>
  <c r="K7" i="42"/>
  <c r="P6" i="42"/>
  <c r="P8" i="42"/>
  <c r="P5" i="42"/>
  <c r="L7" i="42"/>
  <c r="O7" i="42"/>
  <c r="K6" i="42"/>
  <c r="K8" i="42"/>
  <c r="K5" i="42"/>
  <c r="O6" i="41"/>
  <c r="K6" i="41"/>
  <c r="K4" i="41"/>
  <c r="O5" i="41"/>
  <c r="O7" i="41"/>
  <c r="K7" i="41"/>
  <c r="O4" i="41"/>
  <c r="P4" i="41"/>
  <c r="P6" i="41"/>
  <c r="L6" i="41"/>
  <c r="L4" i="41"/>
  <c r="K5" i="41"/>
  <c r="P5" i="41"/>
  <c r="P7" i="41"/>
  <c r="L5" i="41"/>
  <c r="L7" i="41"/>
  <c r="D79" i="4" l="1"/>
  <c r="C79" i="4" l="1"/>
  <c r="E79" i="4"/>
  <c r="A60" i="42" l="1"/>
  <c r="A60" i="39"/>
  <c r="A59" i="41"/>
  <c r="A60" i="17"/>
  <c r="B60" i="17"/>
  <c r="A57" i="17"/>
  <c r="B58" i="17"/>
  <c r="B59" i="17"/>
  <c r="E7" i="4" l="1"/>
  <c r="C62" i="4"/>
  <c r="E62" i="4" s="1"/>
  <c r="F62" i="4" s="1"/>
  <c r="C61" i="4"/>
  <c r="E61" i="4" s="1"/>
  <c r="F61" i="4" s="1"/>
  <c r="E20" i="4"/>
  <c r="E19" i="4"/>
  <c r="E6" i="4"/>
  <c r="E5" i="4"/>
  <c r="E12" i="4"/>
  <c r="E11" i="4"/>
  <c r="E37" i="4" l="1"/>
  <c r="E38" i="4" s="1"/>
  <c r="E21" i="4"/>
  <c r="E8" i="4"/>
  <c r="B5" i="43" s="1"/>
  <c r="E40" i="4" l="1"/>
  <c r="E42" i="2" s="1"/>
  <c r="E38" i="2"/>
  <c r="B4" i="43"/>
  <c r="E37" i="2"/>
  <c r="E41" i="1"/>
  <c r="E40" i="1"/>
  <c r="O13" i="3" l="1"/>
  <c r="M8" i="38"/>
  <c r="B7" i="43"/>
  <c r="Z8" i="1" l="1"/>
  <c r="Y8" i="1"/>
  <c r="B9" i="37"/>
  <c r="B10" i="37"/>
  <c r="B8" i="37"/>
  <c r="K9" i="39" l="1"/>
  <c r="K9" i="17"/>
  <c r="K8" i="41"/>
  <c r="K9" i="42"/>
  <c r="L9" i="39"/>
  <c r="L9" i="17"/>
  <c r="L8" i="41"/>
  <c r="L9" i="42"/>
  <c r="H4" i="43"/>
  <c r="F4" i="43"/>
  <c r="E5" i="43"/>
  <c r="E6" i="43" l="1"/>
  <c r="G5" i="43"/>
  <c r="H5" i="43" s="1"/>
  <c r="F5" i="43"/>
  <c r="G6" i="43" l="1"/>
  <c r="H6" i="43" s="1"/>
  <c r="F6" i="43"/>
  <c r="E7" i="43"/>
  <c r="B50" i="42"/>
  <c r="B44" i="42"/>
  <c r="W5" i="42"/>
  <c r="V5" i="42"/>
  <c r="AD4" i="42"/>
  <c r="AC4" i="42"/>
  <c r="AB4" i="42"/>
  <c r="AA4" i="42"/>
  <c r="F7" i="43" l="1"/>
  <c r="G7" i="43"/>
  <c r="H7" i="43" s="1"/>
  <c r="E8" i="43"/>
  <c r="A58" i="39"/>
  <c r="A59" i="39"/>
  <c r="G8" i="43" l="1"/>
  <c r="H8" i="43" s="1"/>
  <c r="F8" i="43"/>
  <c r="E9" i="43"/>
  <c r="E10" i="43" l="1"/>
  <c r="G9" i="43"/>
  <c r="H9" i="43" s="1"/>
  <c r="F9" i="43"/>
  <c r="E18" i="4"/>
  <c r="E11" i="43" l="1"/>
  <c r="G10" i="43"/>
  <c r="H10" i="43" s="1"/>
  <c r="F10" i="43"/>
  <c r="B13" i="37"/>
  <c r="B14" i="37"/>
  <c r="B12" i="37"/>
  <c r="E12" i="43" l="1"/>
  <c r="G11" i="43"/>
  <c r="H11" i="43" s="1"/>
  <c r="F11" i="43"/>
  <c r="B44" i="39"/>
  <c r="B50" i="39"/>
  <c r="B49" i="41"/>
  <c r="B43" i="41"/>
  <c r="B50" i="17"/>
  <c r="B45" i="17"/>
  <c r="AH5" i="1"/>
  <c r="AH4" i="1"/>
  <c r="AH7" i="1"/>
  <c r="AH8" i="1" s="1"/>
  <c r="C4" i="1"/>
  <c r="C5" i="1"/>
  <c r="S4" i="38"/>
  <c r="S5" i="38"/>
  <c r="I6" i="38"/>
  <c r="E13" i="43" l="1"/>
  <c r="G12" i="43"/>
  <c r="H12" i="43" s="1"/>
  <c r="F12" i="43"/>
  <c r="E4" i="1"/>
  <c r="O4" i="1" s="1"/>
  <c r="AH9" i="1"/>
  <c r="E5" i="1"/>
  <c r="E14" i="43" l="1"/>
  <c r="F13" i="43"/>
  <c r="G13" i="43"/>
  <c r="H13" i="43" s="1"/>
  <c r="G4" i="1"/>
  <c r="U4" i="1"/>
  <c r="AB4" i="1"/>
  <c r="K4" i="1"/>
  <c r="AB5" i="1"/>
  <c r="O5" i="1"/>
  <c r="U5" i="1"/>
  <c r="G5" i="1"/>
  <c r="K5" i="1"/>
  <c r="AJ4" i="1" l="1"/>
  <c r="AI4" i="1" s="1"/>
  <c r="E15" i="43"/>
  <c r="G14" i="43"/>
  <c r="H14" i="43" s="1"/>
  <c r="F14" i="43"/>
  <c r="AJ5" i="1"/>
  <c r="AI5" i="1" s="1"/>
  <c r="E16" i="43" l="1"/>
  <c r="G15" i="43"/>
  <c r="H15" i="43" s="1"/>
  <c r="F15" i="43"/>
  <c r="E17" i="43" l="1"/>
  <c r="G16" i="43"/>
  <c r="H16" i="43" s="1"/>
  <c r="F16" i="43"/>
  <c r="S7" i="38"/>
  <c r="S8" i="38"/>
  <c r="S9" i="38"/>
  <c r="S10" i="38"/>
  <c r="S11" i="38"/>
  <c r="S12" i="38"/>
  <c r="S13" i="38"/>
  <c r="S14" i="38"/>
  <c r="S15" i="38"/>
  <c r="S16" i="38"/>
  <c r="S17" i="38"/>
  <c r="S18" i="38"/>
  <c r="S19" i="38"/>
  <c r="S20" i="38"/>
  <c r="S21" i="38"/>
  <c r="S22" i="38"/>
  <c r="S23" i="38"/>
  <c r="S29" i="38"/>
  <c r="S6" i="38"/>
  <c r="L8" i="38"/>
  <c r="E18" i="43" l="1"/>
  <c r="F17" i="43"/>
  <c r="G17" i="43"/>
  <c r="H17" i="43" s="1"/>
  <c r="L9" i="38"/>
  <c r="L10" i="38" s="1"/>
  <c r="K8" i="38"/>
  <c r="E19" i="43" l="1"/>
  <c r="G18" i="43"/>
  <c r="H18" i="43" s="1"/>
  <c r="F18" i="43"/>
  <c r="K9" i="38"/>
  <c r="K10" i="38"/>
  <c r="L11" i="38"/>
  <c r="E20" i="43" l="1"/>
  <c r="F19" i="43"/>
  <c r="G19" i="43"/>
  <c r="H19" i="43" s="1"/>
  <c r="K11" i="38"/>
  <c r="F20" i="43" l="1"/>
  <c r="I20" i="43" s="1"/>
  <c r="G20" i="43"/>
  <c r="E21" i="43"/>
  <c r="K12" i="38"/>
  <c r="K13" i="38" s="1"/>
  <c r="K14" i="38" s="1"/>
  <c r="K15" i="38" s="1"/>
  <c r="K16" i="38" s="1"/>
  <c r="K17" i="38" s="1"/>
  <c r="K18" i="38" s="1"/>
  <c r="K19" i="38" s="1"/>
  <c r="K20" i="38" s="1"/>
  <c r="K21" i="38" s="1"/>
  <c r="K22" i="38" s="1"/>
  <c r="K23" i="38" s="1"/>
  <c r="K24" i="38" s="1"/>
  <c r="F21" i="43" l="1"/>
  <c r="I21" i="43" s="1"/>
  <c r="G21" i="43"/>
  <c r="H20" i="43"/>
  <c r="K20" i="43" s="1"/>
  <c r="J20" i="43"/>
  <c r="K25" i="38"/>
  <c r="E22" i="43"/>
  <c r="F22" i="43" l="1"/>
  <c r="I22" i="43" s="1"/>
  <c r="G22" i="43"/>
  <c r="J21" i="43"/>
  <c r="H21" i="43"/>
  <c r="K21" i="43" s="1"/>
  <c r="K26" i="38"/>
  <c r="E23" i="43"/>
  <c r="G23" i="43" l="1"/>
  <c r="F23" i="43"/>
  <c r="I23" i="43" s="1"/>
  <c r="H22" i="43"/>
  <c r="K22" i="43" s="1"/>
  <c r="J22" i="43"/>
  <c r="K27" i="38"/>
  <c r="E24" i="43"/>
  <c r="G24" i="43" l="1"/>
  <c r="F24" i="43"/>
  <c r="I24" i="43" s="1"/>
  <c r="E25" i="43"/>
  <c r="H23" i="43"/>
  <c r="K23" i="43" s="1"/>
  <c r="J23" i="43"/>
  <c r="K28" i="38"/>
  <c r="J24" i="43" l="1"/>
  <c r="H24" i="43"/>
  <c r="K24" i="43" s="1"/>
  <c r="F25" i="43"/>
  <c r="I25" i="43" s="1"/>
  <c r="G25" i="43"/>
  <c r="E26" i="43"/>
  <c r="K29" i="38"/>
  <c r="K32" i="3"/>
  <c r="K31" i="3"/>
  <c r="H25" i="43" l="1"/>
  <c r="K25" i="43" s="1"/>
  <c r="J25" i="43"/>
  <c r="F26" i="43"/>
  <c r="I26" i="43" s="1"/>
  <c r="G26" i="43"/>
  <c r="E27" i="43"/>
  <c r="K34" i="3"/>
  <c r="F27" i="43" l="1"/>
  <c r="I27" i="43" s="1"/>
  <c r="G27" i="43"/>
  <c r="E28" i="43"/>
  <c r="H26" i="43"/>
  <c r="K26" i="43" s="1"/>
  <c r="J26" i="43"/>
  <c r="O24" i="38"/>
  <c r="J5" i="26"/>
  <c r="AA15" i="26" s="1"/>
  <c r="F28" i="43" l="1"/>
  <c r="I28" i="43" s="1"/>
  <c r="G28" i="43"/>
  <c r="E29" i="43"/>
  <c r="J27" i="43"/>
  <c r="H27" i="43"/>
  <c r="K27" i="43" s="1"/>
  <c r="O25" i="38"/>
  <c r="AA14" i="26"/>
  <c r="M9" i="38"/>
  <c r="AA3" i="41"/>
  <c r="AB3" i="41"/>
  <c r="J6" i="26"/>
  <c r="AA48" i="26" s="1"/>
  <c r="J28" i="43" l="1"/>
  <c r="H28" i="43"/>
  <c r="K28" i="43" s="1"/>
  <c r="F29" i="43"/>
  <c r="I29" i="43" s="1"/>
  <c r="G29" i="43"/>
  <c r="E30" i="43"/>
  <c r="O26" i="38"/>
  <c r="Y9" i="1"/>
  <c r="Z9" i="1"/>
  <c r="AA47" i="26"/>
  <c r="M10" i="38"/>
  <c r="M12" i="38"/>
  <c r="E18" i="23"/>
  <c r="E31" i="23" s="1"/>
  <c r="O32" i="23" s="1"/>
  <c r="E17" i="23"/>
  <c r="E30" i="23" s="1"/>
  <c r="O31" i="23" s="1"/>
  <c r="E16" i="23"/>
  <c r="E29" i="23" s="1"/>
  <c r="O30" i="23" s="1"/>
  <c r="H29" i="43" l="1"/>
  <c r="K29" i="43" s="1"/>
  <c r="J29" i="43"/>
  <c r="F30" i="43"/>
  <c r="I30" i="43" s="1"/>
  <c r="G30" i="43"/>
  <c r="O28" i="38"/>
  <c r="O27" i="38"/>
  <c r="Z12" i="1"/>
  <c r="Y12" i="1"/>
  <c r="L10" i="39"/>
  <c r="L10" i="17"/>
  <c r="L10" i="42"/>
  <c r="L9" i="41"/>
  <c r="Z10" i="1"/>
  <c r="Y10" i="1"/>
  <c r="K10" i="39"/>
  <c r="K10" i="17"/>
  <c r="K9" i="41"/>
  <c r="K10" i="42"/>
  <c r="M11" i="38"/>
  <c r="M13" i="38"/>
  <c r="F20" i="20"/>
  <c r="K5" i="20"/>
  <c r="G5" i="20"/>
  <c r="G6" i="20" s="1"/>
  <c r="H30" i="43" l="1"/>
  <c r="K30" i="43" s="1"/>
  <c r="J30" i="43"/>
  <c r="Y13" i="1"/>
  <c r="Z13" i="1"/>
  <c r="K11" i="39"/>
  <c r="K11" i="17"/>
  <c r="K10" i="41"/>
  <c r="K11" i="42"/>
  <c r="Z11" i="1"/>
  <c r="Y11" i="1"/>
  <c r="L11" i="39"/>
  <c r="L11" i="17"/>
  <c r="L10" i="41"/>
  <c r="L11" i="42"/>
  <c r="K13" i="39"/>
  <c r="K13" i="17"/>
  <c r="K12" i="41"/>
  <c r="K13" i="42"/>
  <c r="L13" i="39"/>
  <c r="L13" i="17"/>
  <c r="L13" i="42"/>
  <c r="L12" i="41"/>
  <c r="M14" i="38"/>
  <c r="J16" i="14"/>
  <c r="B19" i="14"/>
  <c r="L4" i="26"/>
  <c r="D7" i="26"/>
  <c r="C7" i="26"/>
  <c r="D5" i="26"/>
  <c r="C5" i="26"/>
  <c r="Z14" i="1" l="1"/>
  <c r="Y14" i="1"/>
  <c r="K12" i="39"/>
  <c r="K12" i="17"/>
  <c r="K12" i="42"/>
  <c r="K11" i="41"/>
  <c r="L12" i="39"/>
  <c r="L12" i="17"/>
  <c r="L11" i="41"/>
  <c r="L12" i="42"/>
  <c r="L14" i="39"/>
  <c r="L14" i="17"/>
  <c r="L13" i="41"/>
  <c r="L14" i="42"/>
  <c r="K14" i="39"/>
  <c r="K14" i="17"/>
  <c r="K13" i="41"/>
  <c r="K14" i="42"/>
  <c r="J7" i="26"/>
  <c r="AA81" i="26" s="1"/>
  <c r="B11" i="4"/>
  <c r="K15" i="39" l="1"/>
  <c r="K15" i="17"/>
  <c r="K15" i="42"/>
  <c r="K14" i="41"/>
  <c r="L15" i="39"/>
  <c r="L15" i="17"/>
  <c r="L14" i="41"/>
  <c r="L15" i="42"/>
  <c r="B12" i="4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AA80" i="26"/>
  <c r="O17" i="3"/>
  <c r="E17" i="4"/>
  <c r="I7" i="4"/>
  <c r="E36" i="1" s="1"/>
  <c r="P26" i="1" l="1"/>
  <c r="P29" i="1"/>
  <c r="P28" i="1"/>
  <c r="P24" i="1"/>
  <c r="P25" i="1"/>
  <c r="P27" i="1"/>
  <c r="B31" i="4"/>
  <c r="B25" i="4"/>
  <c r="H22" i="3"/>
  <c r="I22" i="3"/>
  <c r="J22" i="3"/>
  <c r="K22" i="3"/>
  <c r="G22" i="3"/>
  <c r="L22" i="3"/>
  <c r="P5" i="1"/>
  <c r="P10" i="1"/>
  <c r="P4" i="1"/>
  <c r="M15" i="38"/>
  <c r="B43" i="4"/>
  <c r="O18" i="3"/>
  <c r="B26" i="4" l="1"/>
  <c r="C24" i="1"/>
  <c r="V27" i="1"/>
  <c r="V29" i="1"/>
  <c r="V24" i="1"/>
  <c r="V28" i="1"/>
  <c r="V25" i="1"/>
  <c r="V26" i="1"/>
  <c r="Z15" i="1"/>
  <c r="Y15" i="1"/>
  <c r="C68" i="4"/>
  <c r="C67" i="4"/>
  <c r="E67" i="4" s="1"/>
  <c r="V5" i="1"/>
  <c r="V4" i="1"/>
  <c r="M16" i="38"/>
  <c r="AC27" i="1" l="1"/>
  <c r="AC28" i="1"/>
  <c r="AC24" i="1"/>
  <c r="E24" i="1"/>
  <c r="AJ24" i="1"/>
  <c r="AC26" i="1"/>
  <c r="AC25" i="1"/>
  <c r="AC29" i="1"/>
  <c r="B27" i="4"/>
  <c r="C25" i="1"/>
  <c r="K16" i="39"/>
  <c r="K16" i="17"/>
  <c r="K16" i="42"/>
  <c r="K15" i="41"/>
  <c r="Z16" i="1"/>
  <c r="Y16" i="1"/>
  <c r="L16" i="39"/>
  <c r="L16" i="17"/>
  <c r="L15" i="41"/>
  <c r="L16" i="42"/>
  <c r="E68" i="4"/>
  <c r="F68" i="4" s="1"/>
  <c r="C69" i="4"/>
  <c r="E69" i="4" s="1"/>
  <c r="F69" i="4" s="1"/>
  <c r="E41" i="4" s="1"/>
  <c r="F67" i="4"/>
  <c r="AC5" i="1"/>
  <c r="AC4" i="1"/>
  <c r="M17" i="38"/>
  <c r="W4" i="41"/>
  <c r="V4" i="41"/>
  <c r="AI24" i="1" l="1"/>
  <c r="AA34" i="26" s="1"/>
  <c r="AA67" i="26"/>
  <c r="M29" i="39"/>
  <c r="M28" i="41"/>
  <c r="M29" i="42"/>
  <c r="M29" i="17"/>
  <c r="M27" i="39"/>
  <c r="M27" i="42"/>
  <c r="M26" i="41"/>
  <c r="M27" i="17"/>
  <c r="B28" i="4"/>
  <c r="C26" i="1"/>
  <c r="M30" i="39"/>
  <c r="M30" i="42"/>
  <c r="M29" i="41"/>
  <c r="M30" i="17"/>
  <c r="M25" i="39"/>
  <c r="M25" i="42"/>
  <c r="M24" i="41"/>
  <c r="M25" i="17"/>
  <c r="M26" i="39"/>
  <c r="M25" i="41"/>
  <c r="M26" i="42"/>
  <c r="M26" i="17"/>
  <c r="M28" i="39"/>
  <c r="M27" i="41"/>
  <c r="M28" i="42"/>
  <c r="M28" i="17"/>
  <c r="AJ25" i="1"/>
  <c r="E25" i="1"/>
  <c r="G24" i="1"/>
  <c r="AB24" i="1"/>
  <c r="O24" i="1"/>
  <c r="U24" i="1"/>
  <c r="K24" i="1"/>
  <c r="AD4" i="1"/>
  <c r="AD5" i="1"/>
  <c r="L17" i="39"/>
  <c r="L17" i="17"/>
  <c r="L17" i="42"/>
  <c r="L16" i="41"/>
  <c r="Y17" i="1"/>
  <c r="Z17" i="1"/>
  <c r="K17" i="39"/>
  <c r="K17" i="17"/>
  <c r="K17" i="42"/>
  <c r="K16" i="41"/>
  <c r="M5" i="42"/>
  <c r="M6" i="42"/>
  <c r="E39" i="4"/>
  <c r="O12" i="3" s="1"/>
  <c r="E42" i="4"/>
  <c r="M5" i="41"/>
  <c r="M6" i="39"/>
  <c r="M4" i="41"/>
  <c r="M5" i="39"/>
  <c r="M18" i="38"/>
  <c r="K6" i="20"/>
  <c r="AA100" i="26" l="1"/>
  <c r="AJ26" i="1"/>
  <c r="E26" i="1"/>
  <c r="AI25" i="1"/>
  <c r="G25" i="1"/>
  <c r="AB25" i="1"/>
  <c r="K25" i="1"/>
  <c r="O25" i="1"/>
  <c r="U25" i="1"/>
  <c r="B29" i="4"/>
  <c r="C27" i="1"/>
  <c r="N6" i="39"/>
  <c r="Z18" i="1"/>
  <c r="Y18" i="1"/>
  <c r="K18" i="39"/>
  <c r="K18" i="17"/>
  <c r="K18" i="42"/>
  <c r="K17" i="41"/>
  <c r="L18" i="39"/>
  <c r="L18" i="17"/>
  <c r="L18" i="42"/>
  <c r="L17" i="41"/>
  <c r="M19" i="38"/>
  <c r="AI26" i="1" l="1"/>
  <c r="AA36" i="26" s="1"/>
  <c r="AA69" i="26"/>
  <c r="AA102" i="26"/>
  <c r="AJ27" i="1"/>
  <c r="E27" i="1"/>
  <c r="AA68" i="26"/>
  <c r="AA35" i="26"/>
  <c r="AA101" i="26"/>
  <c r="B30" i="4"/>
  <c r="C28" i="1"/>
  <c r="O26" i="1"/>
  <c r="AB26" i="1"/>
  <c r="U26" i="1"/>
  <c r="G26" i="1"/>
  <c r="K26" i="1"/>
  <c r="K19" i="39"/>
  <c r="K19" i="17"/>
  <c r="K18" i="41"/>
  <c r="K19" i="42"/>
  <c r="Y19" i="1"/>
  <c r="Z19" i="1"/>
  <c r="L19" i="39"/>
  <c r="L19" i="17"/>
  <c r="L18" i="41"/>
  <c r="L19" i="42"/>
  <c r="M20" i="38"/>
  <c r="I9" i="43"/>
  <c r="E9" i="4"/>
  <c r="E10" i="4" s="1"/>
  <c r="C29" i="1" l="1"/>
  <c r="B32" i="4"/>
  <c r="O27" i="1"/>
  <c r="U27" i="1"/>
  <c r="AB27" i="1"/>
  <c r="K27" i="1"/>
  <c r="G27" i="1"/>
  <c r="AJ28" i="1"/>
  <c r="E28" i="1"/>
  <c r="AI27" i="1"/>
  <c r="K20" i="39"/>
  <c r="K20" i="17"/>
  <c r="K20" i="42"/>
  <c r="K19" i="41"/>
  <c r="Y20" i="1"/>
  <c r="Z20" i="1"/>
  <c r="L20" i="39"/>
  <c r="L20" i="17"/>
  <c r="L20" i="42"/>
  <c r="L19" i="41"/>
  <c r="K4" i="43"/>
  <c r="K5" i="43"/>
  <c r="J4" i="43"/>
  <c r="I4" i="43"/>
  <c r="I5" i="43"/>
  <c r="K6" i="43"/>
  <c r="J5" i="43"/>
  <c r="J6" i="43"/>
  <c r="M30" i="43" s="1"/>
  <c r="I6" i="43"/>
  <c r="I7" i="43"/>
  <c r="K7" i="43"/>
  <c r="J7" i="43"/>
  <c r="K8" i="43"/>
  <c r="J8" i="43"/>
  <c r="I8" i="43"/>
  <c r="J9" i="43"/>
  <c r="K9" i="43"/>
  <c r="I10" i="43"/>
  <c r="K10" i="43"/>
  <c r="J10" i="43"/>
  <c r="K11" i="43"/>
  <c r="J11" i="43"/>
  <c r="I11" i="43"/>
  <c r="J12" i="43"/>
  <c r="K12" i="43"/>
  <c r="I12" i="43"/>
  <c r="J13" i="43"/>
  <c r="K13" i="43"/>
  <c r="I13" i="43"/>
  <c r="I14" i="43"/>
  <c r="J14" i="43"/>
  <c r="K14" i="43"/>
  <c r="K15" i="43"/>
  <c r="I15" i="43"/>
  <c r="J15" i="43"/>
  <c r="K16" i="43"/>
  <c r="J16" i="43"/>
  <c r="I16" i="43"/>
  <c r="I17" i="43"/>
  <c r="K17" i="43"/>
  <c r="J17" i="43"/>
  <c r="I18" i="43"/>
  <c r="K18" i="43"/>
  <c r="J18" i="43"/>
  <c r="K19" i="43"/>
  <c r="J19" i="43"/>
  <c r="I19" i="43"/>
  <c r="M21" i="38"/>
  <c r="B5" i="37"/>
  <c r="E43" i="1"/>
  <c r="E42" i="1"/>
  <c r="M20" i="43" l="1"/>
  <c r="M21" i="43"/>
  <c r="M22" i="43"/>
  <c r="M23" i="43"/>
  <c r="M24" i="43"/>
  <c r="M25" i="43"/>
  <c r="M26" i="43"/>
  <c r="M27" i="43"/>
  <c r="M28" i="43"/>
  <c r="N30" i="43"/>
  <c r="N29" i="43"/>
  <c r="L20" i="43"/>
  <c r="L21" i="43"/>
  <c r="L22" i="43"/>
  <c r="L23" i="43"/>
  <c r="L24" i="43"/>
  <c r="L25" i="43"/>
  <c r="L26" i="43"/>
  <c r="L27" i="43"/>
  <c r="L28" i="43"/>
  <c r="M29" i="43"/>
  <c r="L30" i="43"/>
  <c r="L29" i="43"/>
  <c r="N20" i="43"/>
  <c r="N21" i="43"/>
  <c r="N22" i="43"/>
  <c r="N23" i="43"/>
  <c r="N24" i="43"/>
  <c r="N25" i="43"/>
  <c r="N26" i="43"/>
  <c r="N27" i="43"/>
  <c r="N28" i="43"/>
  <c r="O28" i="1"/>
  <c r="U28" i="1"/>
  <c r="AB28" i="1"/>
  <c r="G28" i="1"/>
  <c r="K28" i="1"/>
  <c r="AJ29" i="1"/>
  <c r="E29" i="1"/>
  <c r="AA37" i="26"/>
  <c r="AA103" i="26"/>
  <c r="AA70" i="26"/>
  <c r="I31" i="43"/>
  <c r="AI28" i="1"/>
  <c r="L9" i="43"/>
  <c r="K21" i="39"/>
  <c r="K21" i="17"/>
  <c r="K21" i="42"/>
  <c r="K20" i="41"/>
  <c r="Y21" i="1"/>
  <c r="Z21" i="1"/>
  <c r="L21" i="39"/>
  <c r="L21" i="17"/>
  <c r="L21" i="42"/>
  <c r="L20" i="41"/>
  <c r="K31" i="43"/>
  <c r="J31" i="43"/>
  <c r="Q11" i="1"/>
  <c r="Q5" i="1"/>
  <c r="F6" i="42" s="1"/>
  <c r="Q6" i="1"/>
  <c r="N5" i="43"/>
  <c r="N11" i="43"/>
  <c r="N12" i="43"/>
  <c r="N18" i="43"/>
  <c r="N4" i="43"/>
  <c r="N10" i="43"/>
  <c r="N13" i="43"/>
  <c r="N17" i="43"/>
  <c r="N6" i="43"/>
  <c r="N16" i="43"/>
  <c r="N7" i="43"/>
  <c r="N9" i="43"/>
  <c r="N15" i="43"/>
  <c r="N19" i="43"/>
  <c r="N8" i="43"/>
  <c r="N14" i="43"/>
  <c r="J7" i="37"/>
  <c r="J5" i="37"/>
  <c r="J12" i="37"/>
  <c r="J6" i="37"/>
  <c r="Q4" i="1"/>
  <c r="F5" i="42" s="1"/>
  <c r="W7" i="1"/>
  <c r="W4" i="1"/>
  <c r="X4" i="1" s="1"/>
  <c r="W12" i="1"/>
  <c r="W6" i="1"/>
  <c r="W5" i="1"/>
  <c r="X5" i="1" s="1"/>
  <c r="J6" i="39" s="1"/>
  <c r="W8" i="1"/>
  <c r="W10" i="1"/>
  <c r="W9" i="1"/>
  <c r="W11" i="1"/>
  <c r="M22" i="38"/>
  <c r="AD3" i="41"/>
  <c r="AC3" i="41"/>
  <c r="AI29" i="1" l="1"/>
  <c r="AA39" i="26" s="1"/>
  <c r="G29" i="1"/>
  <c r="U29" i="1"/>
  <c r="K29" i="1"/>
  <c r="AB29" i="1"/>
  <c r="O29" i="1"/>
  <c r="AA38" i="26"/>
  <c r="AA71" i="26"/>
  <c r="AA104" i="26"/>
  <c r="AA105" i="26"/>
  <c r="K22" i="39"/>
  <c r="K22" i="17"/>
  <c r="K21" i="41"/>
  <c r="K22" i="42"/>
  <c r="Z22" i="1"/>
  <c r="Y22" i="1"/>
  <c r="L22" i="39"/>
  <c r="L22" i="17"/>
  <c r="L22" i="42"/>
  <c r="L21" i="41"/>
  <c r="I5" i="42"/>
  <c r="I6" i="42"/>
  <c r="K32" i="43"/>
  <c r="I32" i="43"/>
  <c r="N31" i="43"/>
  <c r="F6" i="39"/>
  <c r="F5" i="41"/>
  <c r="F5" i="39"/>
  <c r="F4" i="41"/>
  <c r="I5" i="39"/>
  <c r="I4" i="41"/>
  <c r="I6" i="39"/>
  <c r="I5" i="41"/>
  <c r="M23" i="38"/>
  <c r="W5" i="39"/>
  <c r="V5" i="39"/>
  <c r="AD4" i="39"/>
  <c r="AC4" i="39"/>
  <c r="AB4" i="39"/>
  <c r="AA4" i="39"/>
  <c r="X5" i="17"/>
  <c r="W5" i="17"/>
  <c r="AA72" i="26" l="1"/>
  <c r="M24" i="38"/>
  <c r="P24" i="38" s="1"/>
  <c r="Y23" i="1"/>
  <c r="L23" i="39"/>
  <c r="L23" i="17"/>
  <c r="L22" i="41"/>
  <c r="L23" i="42"/>
  <c r="Z23" i="1"/>
  <c r="K23" i="39"/>
  <c r="K23" i="17"/>
  <c r="K23" i="42"/>
  <c r="K22" i="41"/>
  <c r="M29" i="38"/>
  <c r="K3" i="1"/>
  <c r="G3" i="1"/>
  <c r="P3" i="38"/>
  <c r="S3" i="38" s="1"/>
  <c r="B4" i="38"/>
  <c r="E4" i="38" s="1"/>
  <c r="A7" i="38"/>
  <c r="A8" i="38" s="1"/>
  <c r="A9" i="38" s="1"/>
  <c r="A10" i="38" s="1"/>
  <c r="A11" i="38" s="1"/>
  <c r="A12" i="38" s="1"/>
  <c r="A13" i="38" s="1"/>
  <c r="A14" i="38" s="1"/>
  <c r="A15" i="38" s="1"/>
  <c r="A16" i="38" s="1"/>
  <c r="A17" i="38" s="1"/>
  <c r="A18" i="38" s="1"/>
  <c r="A19" i="38" s="1"/>
  <c r="A20" i="38" s="1"/>
  <c r="A21" i="38" s="1"/>
  <c r="A22" i="38" s="1"/>
  <c r="A23" i="38" s="1"/>
  <c r="A24" i="38" s="1"/>
  <c r="A25" i="38" s="1"/>
  <c r="A26" i="38" s="1"/>
  <c r="A27" i="38" s="1"/>
  <c r="A28" i="38" s="1"/>
  <c r="A29" i="38" s="1"/>
  <c r="AF24" i="1" l="1"/>
  <c r="AE24" i="1"/>
  <c r="Y24" i="1"/>
  <c r="Z24" i="1"/>
  <c r="Y29" i="1"/>
  <c r="Z29" i="1"/>
  <c r="M25" i="38"/>
  <c r="P25" i="38" s="1"/>
  <c r="K24" i="39"/>
  <c r="K24" i="17"/>
  <c r="K23" i="41"/>
  <c r="K24" i="42"/>
  <c r="L24" i="39"/>
  <c r="L24" i="17"/>
  <c r="L23" i="41"/>
  <c r="L24" i="42"/>
  <c r="F5" i="17"/>
  <c r="M6" i="17"/>
  <c r="M5" i="17"/>
  <c r="I6" i="17"/>
  <c r="I5" i="17"/>
  <c r="F6" i="17"/>
  <c r="B5" i="38"/>
  <c r="E5" i="38" s="1"/>
  <c r="I7" i="38"/>
  <c r="H6" i="38"/>
  <c r="B7" i="38"/>
  <c r="E7" i="38" s="1"/>
  <c r="AF25" i="1" l="1"/>
  <c r="AE25" i="1"/>
  <c r="L30" i="39"/>
  <c r="L30" i="17"/>
  <c r="L30" i="42"/>
  <c r="L29" i="41"/>
  <c r="K25" i="39"/>
  <c r="K25" i="17"/>
  <c r="K24" i="41"/>
  <c r="K25" i="42"/>
  <c r="M26" i="38"/>
  <c r="K30" i="39"/>
  <c r="K30" i="17"/>
  <c r="K29" i="41"/>
  <c r="K30" i="42"/>
  <c r="O25" i="39"/>
  <c r="O25" i="17"/>
  <c r="O24" i="41"/>
  <c r="O25" i="42"/>
  <c r="AD24" i="1"/>
  <c r="Z25" i="1"/>
  <c r="Y25" i="1"/>
  <c r="L25" i="39"/>
  <c r="L25" i="17"/>
  <c r="L25" i="42"/>
  <c r="L24" i="41"/>
  <c r="P25" i="39"/>
  <c r="P25" i="17"/>
  <c r="P24" i="41"/>
  <c r="P25" i="42"/>
  <c r="P26" i="38"/>
  <c r="J8" i="37"/>
  <c r="Q7" i="1"/>
  <c r="P6" i="1"/>
  <c r="R4" i="38"/>
  <c r="L4" i="1"/>
  <c r="B6" i="38"/>
  <c r="E6" i="38" s="1"/>
  <c r="R6" i="38" s="1"/>
  <c r="P9" i="38"/>
  <c r="I8" i="38"/>
  <c r="H7" i="38"/>
  <c r="P8" i="38"/>
  <c r="B8" i="38"/>
  <c r="E8" i="38" s="1"/>
  <c r="K26" i="39" l="1"/>
  <c r="K26" i="17"/>
  <c r="K26" i="42"/>
  <c r="K25" i="41"/>
  <c r="Y26" i="1"/>
  <c r="Z26" i="1"/>
  <c r="L26" i="39"/>
  <c r="L26" i="17"/>
  <c r="L25" i="41"/>
  <c r="L26" i="42"/>
  <c r="O26" i="39"/>
  <c r="O26" i="17"/>
  <c r="O25" i="41"/>
  <c r="O26" i="42"/>
  <c r="AD25" i="1"/>
  <c r="AE26" i="1"/>
  <c r="AF26" i="1"/>
  <c r="N25" i="39"/>
  <c r="M52" i="39" s="1"/>
  <c r="N25" i="42"/>
  <c r="M52" i="42" s="1"/>
  <c r="N24" i="41"/>
  <c r="M51" i="41" s="1"/>
  <c r="N25" i="17"/>
  <c r="M52" i="17" s="1"/>
  <c r="M27" i="38"/>
  <c r="P27" i="38" s="1"/>
  <c r="P26" i="39"/>
  <c r="P26" i="17"/>
  <c r="P26" i="42"/>
  <c r="P25" i="41"/>
  <c r="L6" i="1"/>
  <c r="D5" i="42"/>
  <c r="AE9" i="1"/>
  <c r="AF9" i="1"/>
  <c r="AE8" i="1"/>
  <c r="AF8" i="1"/>
  <c r="P7" i="1"/>
  <c r="F8" i="39" s="1"/>
  <c r="AK6" i="1"/>
  <c r="D7" i="42"/>
  <c r="J9" i="37"/>
  <c r="Q8" i="1"/>
  <c r="V6" i="1"/>
  <c r="F7" i="42"/>
  <c r="R7" i="38"/>
  <c r="L7" i="1"/>
  <c r="AK4" i="1"/>
  <c r="D4" i="41"/>
  <c r="M4" i="1"/>
  <c r="D5" i="39"/>
  <c r="D5" i="17"/>
  <c r="R5" i="38"/>
  <c r="L5" i="1"/>
  <c r="F7" i="39"/>
  <c r="F6" i="41"/>
  <c r="F7" i="17"/>
  <c r="H8" i="38"/>
  <c r="P8" i="1" s="1"/>
  <c r="V8" i="1" s="1"/>
  <c r="P10" i="38"/>
  <c r="I9" i="38"/>
  <c r="F11" i="20"/>
  <c r="G11" i="20" s="1"/>
  <c r="B9" i="38"/>
  <c r="E9" i="38" s="1"/>
  <c r="AE27" i="1" l="1"/>
  <c r="AF27" i="1"/>
  <c r="L27" i="39"/>
  <c r="L27" i="17"/>
  <c r="L27" i="42"/>
  <c r="L26" i="41"/>
  <c r="M28" i="38"/>
  <c r="P27" i="39"/>
  <c r="P27" i="17"/>
  <c r="P26" i="41"/>
  <c r="P27" i="42"/>
  <c r="K27" i="39"/>
  <c r="K27" i="17"/>
  <c r="K27" i="42"/>
  <c r="K26" i="41"/>
  <c r="O27" i="39"/>
  <c r="O27" i="17"/>
  <c r="O27" i="42"/>
  <c r="O26" i="41"/>
  <c r="AD26" i="1"/>
  <c r="Y27" i="1"/>
  <c r="Z27" i="1"/>
  <c r="N26" i="39"/>
  <c r="N25" i="41"/>
  <c r="N26" i="42"/>
  <c r="N26" i="17"/>
  <c r="I7" i="42"/>
  <c r="Q7" i="42"/>
  <c r="D6" i="42"/>
  <c r="P10" i="39"/>
  <c r="P10" i="17"/>
  <c r="P10" i="42"/>
  <c r="P9" i="41"/>
  <c r="O10" i="39"/>
  <c r="O10" i="17"/>
  <c r="O10" i="42"/>
  <c r="O9" i="41"/>
  <c r="P9" i="39"/>
  <c r="P9" i="17"/>
  <c r="P9" i="42"/>
  <c r="P8" i="41"/>
  <c r="J12" i="20"/>
  <c r="K12" i="20" s="1"/>
  <c r="AE10" i="1"/>
  <c r="AF10" i="1"/>
  <c r="O9" i="39"/>
  <c r="O9" i="17"/>
  <c r="O9" i="42"/>
  <c r="O8" i="41"/>
  <c r="Q5" i="42"/>
  <c r="AL4" i="1"/>
  <c r="F8" i="17"/>
  <c r="AC6" i="1"/>
  <c r="I9" i="42"/>
  <c r="AC8" i="1"/>
  <c r="J10" i="37"/>
  <c r="Q9" i="1"/>
  <c r="F8" i="42"/>
  <c r="V7" i="1"/>
  <c r="F7" i="41"/>
  <c r="F9" i="42"/>
  <c r="AK7" i="1"/>
  <c r="D8" i="42"/>
  <c r="Q4" i="41"/>
  <c r="Q5" i="39"/>
  <c r="Q5" i="17"/>
  <c r="M5" i="1"/>
  <c r="AK5" i="1"/>
  <c r="D5" i="41"/>
  <c r="D6" i="39"/>
  <c r="D6" i="17"/>
  <c r="L8" i="1"/>
  <c r="R8" i="38"/>
  <c r="F9" i="17"/>
  <c r="F9" i="39"/>
  <c r="F8" i="41"/>
  <c r="I10" i="38"/>
  <c r="O9" i="38"/>
  <c r="H9" i="38"/>
  <c r="P9" i="1" s="1"/>
  <c r="P11" i="38"/>
  <c r="I7" i="39"/>
  <c r="O8" i="38"/>
  <c r="J11" i="20" s="1"/>
  <c r="K11" i="20" s="1"/>
  <c r="I6" i="41"/>
  <c r="I7" i="17"/>
  <c r="B10" i="38"/>
  <c r="E10" i="38" s="1"/>
  <c r="P28" i="38" l="1"/>
  <c r="Z28" i="1"/>
  <c r="Y28" i="1"/>
  <c r="P28" i="39"/>
  <c r="P28" i="17"/>
  <c r="P27" i="41"/>
  <c r="P28" i="42"/>
  <c r="K28" i="39"/>
  <c r="K28" i="17"/>
  <c r="K28" i="42"/>
  <c r="K27" i="41"/>
  <c r="O28" i="39"/>
  <c r="O28" i="17"/>
  <c r="O28" i="42"/>
  <c r="O27" i="41"/>
  <c r="AD27" i="1"/>
  <c r="L28" i="39"/>
  <c r="L28" i="17"/>
  <c r="L28" i="42"/>
  <c r="L27" i="41"/>
  <c r="N27" i="39"/>
  <c r="N26" i="41"/>
  <c r="N27" i="42"/>
  <c r="N27" i="17"/>
  <c r="M7" i="42"/>
  <c r="Q8" i="42"/>
  <c r="Q6" i="42"/>
  <c r="I7" i="41"/>
  <c r="M9" i="42"/>
  <c r="P11" i="39"/>
  <c r="P11" i="17"/>
  <c r="P10" i="41"/>
  <c r="P11" i="42"/>
  <c r="O11" i="39"/>
  <c r="O11" i="17"/>
  <c r="O10" i="41"/>
  <c r="O11" i="42"/>
  <c r="AE11" i="1"/>
  <c r="AF11" i="1"/>
  <c r="F10" i="42"/>
  <c r="I8" i="17"/>
  <c r="M6" i="41"/>
  <c r="M7" i="39"/>
  <c r="M7" i="17"/>
  <c r="M9" i="17"/>
  <c r="I8" i="39"/>
  <c r="M8" i="41"/>
  <c r="M9" i="39"/>
  <c r="AK8" i="1"/>
  <c r="D9" i="42"/>
  <c r="I8" i="42"/>
  <c r="AC7" i="1"/>
  <c r="J11" i="37"/>
  <c r="Q10" i="1"/>
  <c r="Q5" i="41"/>
  <c r="AL5" i="1"/>
  <c r="Q6" i="39"/>
  <c r="Q6" i="17"/>
  <c r="V9" i="1"/>
  <c r="V10" i="1"/>
  <c r="R9" i="38"/>
  <c r="L9" i="1"/>
  <c r="I12" i="38"/>
  <c r="J13" i="20"/>
  <c r="K13" i="20" s="1"/>
  <c r="F12" i="20"/>
  <c r="G12" i="20" s="1"/>
  <c r="F10" i="17"/>
  <c r="F9" i="41"/>
  <c r="F10" i="39"/>
  <c r="O10" i="38"/>
  <c r="B11" i="38"/>
  <c r="E11" i="38" s="1"/>
  <c r="AF28" i="1" l="1"/>
  <c r="AE28" i="1"/>
  <c r="K29" i="39"/>
  <c r="K32" i="39" s="1"/>
  <c r="K29" i="17"/>
  <c r="K29" i="42"/>
  <c r="K28" i="41"/>
  <c r="K30" i="41" s="1"/>
  <c r="N28" i="39"/>
  <c r="N28" i="42"/>
  <c r="N27" i="41"/>
  <c r="N28" i="17"/>
  <c r="Y30" i="1"/>
  <c r="L29" i="39"/>
  <c r="L32" i="39" s="1"/>
  <c r="L29" i="17"/>
  <c r="L32" i="17" s="1"/>
  <c r="L28" i="41"/>
  <c r="L31" i="41" s="1"/>
  <c r="L29" i="42"/>
  <c r="L31" i="42" s="1"/>
  <c r="Z30" i="1"/>
  <c r="Q9" i="42"/>
  <c r="I10" i="42"/>
  <c r="F11" i="42"/>
  <c r="P12" i="39"/>
  <c r="P12" i="17"/>
  <c r="P11" i="41"/>
  <c r="P12" i="42"/>
  <c r="O12" i="39"/>
  <c r="O12" i="17"/>
  <c r="O12" i="42"/>
  <c r="O11" i="41"/>
  <c r="AK9" i="1"/>
  <c r="D10" i="42"/>
  <c r="M8" i="17"/>
  <c r="M8" i="42"/>
  <c r="M8" i="39"/>
  <c r="M7" i="41"/>
  <c r="J13" i="37"/>
  <c r="Q12" i="1"/>
  <c r="AC10" i="1"/>
  <c r="I11" i="42"/>
  <c r="L10" i="1"/>
  <c r="R10" i="38"/>
  <c r="I13" i="38"/>
  <c r="AC9" i="1"/>
  <c r="P12" i="38"/>
  <c r="F11" i="17"/>
  <c r="F10" i="41"/>
  <c r="F11" i="39"/>
  <c r="P11" i="1"/>
  <c r="J14" i="20"/>
  <c r="I8" i="41"/>
  <c r="K14" i="20"/>
  <c r="F13" i="20"/>
  <c r="G13" i="20" s="1"/>
  <c r="I9" i="17"/>
  <c r="I9" i="39"/>
  <c r="B12" i="38"/>
  <c r="K31" i="39" l="1"/>
  <c r="K32" i="17"/>
  <c r="K31" i="17"/>
  <c r="L30" i="41"/>
  <c r="K31" i="41"/>
  <c r="O29" i="39"/>
  <c r="O29" i="17"/>
  <c r="O29" i="42"/>
  <c r="O28" i="41"/>
  <c r="AD28" i="1"/>
  <c r="L31" i="39"/>
  <c r="L32" i="42"/>
  <c r="K31" i="42"/>
  <c r="K32" i="42"/>
  <c r="P29" i="39"/>
  <c r="P29" i="17"/>
  <c r="P29" i="42"/>
  <c r="P28" i="41"/>
  <c r="L31" i="17"/>
  <c r="L13" i="38"/>
  <c r="E12" i="38"/>
  <c r="M10" i="41"/>
  <c r="Q10" i="42"/>
  <c r="F12" i="42"/>
  <c r="D11" i="42"/>
  <c r="M10" i="42"/>
  <c r="AE12" i="1"/>
  <c r="AF12" i="1"/>
  <c r="M11" i="17"/>
  <c r="Q13" i="1"/>
  <c r="M11" i="39"/>
  <c r="M11" i="42"/>
  <c r="J14" i="37"/>
  <c r="L11" i="1"/>
  <c r="R11" i="38"/>
  <c r="F12" i="17"/>
  <c r="M9" i="41"/>
  <c r="M10" i="39"/>
  <c r="M10" i="17"/>
  <c r="I6" i="23"/>
  <c r="K7" i="20"/>
  <c r="P13" i="38"/>
  <c r="G14" i="20"/>
  <c r="F14" i="20"/>
  <c r="I14" i="38"/>
  <c r="I10" i="41"/>
  <c r="I11" i="17"/>
  <c r="I11" i="39"/>
  <c r="B13" i="38"/>
  <c r="N29" i="39" l="1"/>
  <c r="N29" i="42"/>
  <c r="N28" i="41"/>
  <c r="N29" i="17"/>
  <c r="L14" i="38"/>
  <c r="E13" i="38"/>
  <c r="D12" i="42"/>
  <c r="AE13" i="1"/>
  <c r="AF13" i="1"/>
  <c r="P13" i="39"/>
  <c r="P13" i="17"/>
  <c r="P13" i="42"/>
  <c r="P12" i="41"/>
  <c r="O13" i="39"/>
  <c r="O13" i="17"/>
  <c r="O13" i="42"/>
  <c r="O12" i="41"/>
  <c r="P13" i="1"/>
  <c r="F14" i="42" s="1"/>
  <c r="P12" i="1"/>
  <c r="J15" i="37"/>
  <c r="Q14" i="1"/>
  <c r="D6" i="14"/>
  <c r="L12" i="1"/>
  <c r="R12" i="38"/>
  <c r="V11" i="1"/>
  <c r="F11" i="41"/>
  <c r="F12" i="39"/>
  <c r="H6" i="23"/>
  <c r="G7" i="20"/>
  <c r="E6" i="14"/>
  <c r="I15" i="38"/>
  <c r="B14" i="38"/>
  <c r="P14" i="1"/>
  <c r="E14" i="38" l="1"/>
  <c r="L15" i="38"/>
  <c r="I11" i="41"/>
  <c r="D13" i="42"/>
  <c r="F13" i="42"/>
  <c r="P14" i="39"/>
  <c r="P14" i="17"/>
  <c r="P13" i="41"/>
  <c r="P14" i="42"/>
  <c r="O14" i="39"/>
  <c r="O14" i="17"/>
  <c r="O14" i="42"/>
  <c r="O13" i="41"/>
  <c r="F14" i="39"/>
  <c r="F14" i="17"/>
  <c r="F13" i="41"/>
  <c r="F15" i="42"/>
  <c r="I12" i="39"/>
  <c r="F12" i="41"/>
  <c r="V12" i="1"/>
  <c r="F13" i="39"/>
  <c r="J16" i="37"/>
  <c r="Q15" i="1"/>
  <c r="F13" i="17"/>
  <c r="V13" i="1"/>
  <c r="I12" i="17"/>
  <c r="I12" i="42"/>
  <c r="AC11" i="1"/>
  <c r="L13" i="1"/>
  <c r="R13" i="38"/>
  <c r="O12" i="38"/>
  <c r="I16" i="38"/>
  <c r="V14" i="1"/>
  <c r="F6" i="14"/>
  <c r="W13" i="1"/>
  <c r="P14" i="38"/>
  <c r="B15" i="38"/>
  <c r="R14" i="38"/>
  <c r="E15" i="38" l="1"/>
  <c r="L16" i="38"/>
  <c r="M12" i="42"/>
  <c r="I12" i="41"/>
  <c r="D14" i="42"/>
  <c r="AE14" i="1"/>
  <c r="AF14" i="1"/>
  <c r="I13" i="39"/>
  <c r="I13" i="17"/>
  <c r="AC12" i="1"/>
  <c r="I13" i="42"/>
  <c r="I14" i="42"/>
  <c r="AC13" i="1"/>
  <c r="P15" i="1"/>
  <c r="F16" i="42" s="1"/>
  <c r="J17" i="37"/>
  <c r="Q16" i="1"/>
  <c r="AC14" i="1"/>
  <c r="M12" i="39"/>
  <c r="M11" i="41"/>
  <c r="M12" i="17"/>
  <c r="B6" i="14"/>
  <c r="L14" i="1"/>
  <c r="F15" i="17"/>
  <c r="I17" i="38"/>
  <c r="I18" i="38" s="1"/>
  <c r="F15" i="39"/>
  <c r="F14" i="41"/>
  <c r="O13" i="38"/>
  <c r="W14" i="1"/>
  <c r="I15" i="42" s="1"/>
  <c r="P15" i="38"/>
  <c r="I14" i="17"/>
  <c r="I13" i="41"/>
  <c r="I14" i="39"/>
  <c r="B16" i="38"/>
  <c r="L17" i="38" l="1"/>
  <c r="E16" i="38"/>
  <c r="C6" i="14"/>
  <c r="M15" i="42"/>
  <c r="P15" i="39"/>
  <c r="P15" i="17"/>
  <c r="P15" i="42"/>
  <c r="P14" i="41"/>
  <c r="D15" i="42"/>
  <c r="D15" i="17"/>
  <c r="O15" i="39"/>
  <c r="O15" i="17"/>
  <c r="O14" i="41"/>
  <c r="O15" i="42"/>
  <c r="AE15" i="1"/>
  <c r="AF15" i="1"/>
  <c r="F16" i="39"/>
  <c r="M15" i="17"/>
  <c r="F15" i="41"/>
  <c r="F16" i="17"/>
  <c r="M14" i="41"/>
  <c r="J18" i="37"/>
  <c r="Q17" i="1"/>
  <c r="M14" i="42"/>
  <c r="M14" i="39"/>
  <c r="M14" i="17"/>
  <c r="M13" i="41"/>
  <c r="P16" i="1"/>
  <c r="F17" i="42" s="1"/>
  <c r="M15" i="39"/>
  <c r="V15" i="1"/>
  <c r="M13" i="42"/>
  <c r="M12" i="41"/>
  <c r="M13" i="17"/>
  <c r="M13" i="39"/>
  <c r="L15" i="1"/>
  <c r="R15" i="38"/>
  <c r="O14" i="38"/>
  <c r="I14" i="41"/>
  <c r="I15" i="17"/>
  <c r="I15" i="39"/>
  <c r="W15" i="1"/>
  <c r="P16" i="38"/>
  <c r="P17" i="1"/>
  <c r="B17" i="38"/>
  <c r="L18" i="38" l="1"/>
  <c r="E17" i="38"/>
  <c r="D16" i="42"/>
  <c r="O16" i="39"/>
  <c r="O16" i="17"/>
  <c r="O16" i="42"/>
  <c r="O15" i="41"/>
  <c r="P16" i="39"/>
  <c r="P16" i="17"/>
  <c r="P16" i="42"/>
  <c r="P15" i="41"/>
  <c r="AE16" i="1"/>
  <c r="AF16" i="1"/>
  <c r="F17" i="39"/>
  <c r="F18" i="42"/>
  <c r="F16" i="41"/>
  <c r="J19" i="37"/>
  <c r="Q18" i="1"/>
  <c r="F17" i="17"/>
  <c r="V16" i="1"/>
  <c r="I16" i="42"/>
  <c r="AC15" i="1"/>
  <c r="P18" i="1"/>
  <c r="L16" i="1"/>
  <c r="R16" i="38"/>
  <c r="I19" i="38"/>
  <c r="O15" i="38"/>
  <c r="I16" i="39"/>
  <c r="I15" i="41"/>
  <c r="I16" i="17"/>
  <c r="W16" i="1"/>
  <c r="P17" i="38"/>
  <c r="B18" i="38"/>
  <c r="E18" i="38" l="1"/>
  <c r="L19" i="38"/>
  <c r="D17" i="42"/>
  <c r="O17" i="39"/>
  <c r="O17" i="17"/>
  <c r="O17" i="42"/>
  <c r="O16" i="41"/>
  <c r="P17" i="39"/>
  <c r="P17" i="17"/>
  <c r="P16" i="41"/>
  <c r="P17" i="42"/>
  <c r="AE17" i="1"/>
  <c r="AF17" i="1"/>
  <c r="F19" i="42"/>
  <c r="J20" i="37"/>
  <c r="Q19" i="1"/>
  <c r="M16" i="42"/>
  <c r="M16" i="39"/>
  <c r="M15" i="41"/>
  <c r="M16" i="17"/>
  <c r="I17" i="42"/>
  <c r="AC16" i="1"/>
  <c r="L17" i="1"/>
  <c r="R17" i="38"/>
  <c r="V18" i="1"/>
  <c r="F18" i="41"/>
  <c r="V17" i="1"/>
  <c r="F17" i="41"/>
  <c r="F18" i="17"/>
  <c r="I20" i="38"/>
  <c r="O16" i="38"/>
  <c r="F18" i="39"/>
  <c r="P18" i="38"/>
  <c r="F19" i="17"/>
  <c r="F19" i="39"/>
  <c r="I16" i="41"/>
  <c r="I17" i="39"/>
  <c r="I17" i="17"/>
  <c r="W17" i="1"/>
  <c r="P19" i="1"/>
  <c r="F20" i="42" s="1"/>
  <c r="B19" i="38"/>
  <c r="L20" i="38" l="1"/>
  <c r="E19" i="38"/>
  <c r="D18" i="42"/>
  <c r="O18" i="39"/>
  <c r="O18" i="17"/>
  <c r="O17" i="41"/>
  <c r="O18" i="42"/>
  <c r="AE18" i="1"/>
  <c r="AF18" i="1"/>
  <c r="P18" i="39"/>
  <c r="P18" i="17"/>
  <c r="P18" i="42"/>
  <c r="P17" i="41"/>
  <c r="I18" i="42"/>
  <c r="J21" i="37"/>
  <c r="Q20" i="1"/>
  <c r="M17" i="42"/>
  <c r="M17" i="17"/>
  <c r="M16" i="41"/>
  <c r="M17" i="39"/>
  <c r="L18" i="1"/>
  <c r="R18" i="38"/>
  <c r="AC18" i="1"/>
  <c r="AC17" i="1"/>
  <c r="I17" i="41"/>
  <c r="V19" i="1"/>
  <c r="F19" i="41"/>
  <c r="O17" i="38"/>
  <c r="I21" i="38"/>
  <c r="F20" i="17"/>
  <c r="P19" i="38"/>
  <c r="F20" i="39"/>
  <c r="I18" i="39"/>
  <c r="I18" i="17"/>
  <c r="W18" i="1"/>
  <c r="I18" i="41" s="1"/>
  <c r="B20" i="38"/>
  <c r="P20" i="1"/>
  <c r="L21" i="38" l="1"/>
  <c r="E20" i="38"/>
  <c r="M18" i="42"/>
  <c r="M19" i="42"/>
  <c r="D19" i="42"/>
  <c r="O19" i="39"/>
  <c r="O19" i="17"/>
  <c r="O19" i="42"/>
  <c r="O18" i="41"/>
  <c r="AE19" i="1"/>
  <c r="AF19" i="1"/>
  <c r="P19" i="39"/>
  <c r="P19" i="17"/>
  <c r="P18" i="41"/>
  <c r="P19" i="42"/>
  <c r="I19" i="42"/>
  <c r="J22" i="37"/>
  <c r="Q21" i="1"/>
  <c r="F21" i="42"/>
  <c r="L19" i="1"/>
  <c r="R19" i="38"/>
  <c r="M18" i="41"/>
  <c r="M19" i="39"/>
  <c r="M19" i="17"/>
  <c r="AC19" i="1"/>
  <c r="M17" i="41"/>
  <c r="M18" i="17"/>
  <c r="M18" i="39"/>
  <c r="V20" i="1"/>
  <c r="F20" i="41"/>
  <c r="I22" i="38"/>
  <c r="O18" i="38"/>
  <c r="I19" i="39"/>
  <c r="I19" i="17"/>
  <c r="W19" i="1"/>
  <c r="I20" i="42" s="1"/>
  <c r="P20" i="38"/>
  <c r="F21" i="17"/>
  <c r="F21" i="39"/>
  <c r="P21" i="1"/>
  <c r="B21" i="38"/>
  <c r="L22" i="38" l="1"/>
  <c r="E21" i="38"/>
  <c r="D20" i="42"/>
  <c r="M20" i="42"/>
  <c r="O20" i="39"/>
  <c r="O20" i="17"/>
  <c r="O20" i="42"/>
  <c r="O19" i="41"/>
  <c r="AE20" i="1"/>
  <c r="AF20" i="1"/>
  <c r="P20" i="39"/>
  <c r="P20" i="17"/>
  <c r="P20" i="42"/>
  <c r="P19" i="41"/>
  <c r="F22" i="42"/>
  <c r="J23" i="37"/>
  <c r="Q22" i="1"/>
  <c r="L20" i="1"/>
  <c r="R20" i="38"/>
  <c r="V21" i="1"/>
  <c r="F21" i="41"/>
  <c r="AC20" i="1"/>
  <c r="I19" i="41"/>
  <c r="M19" i="41"/>
  <c r="M20" i="39"/>
  <c r="M20" i="17"/>
  <c r="O19" i="38"/>
  <c r="F22" i="17"/>
  <c r="I20" i="39"/>
  <c r="I20" i="17"/>
  <c r="P21" i="38"/>
  <c r="F22" i="39"/>
  <c r="W20" i="1"/>
  <c r="I21" i="42" s="1"/>
  <c r="B22" i="38"/>
  <c r="P22" i="1"/>
  <c r="E22" i="38" l="1"/>
  <c r="L23" i="38"/>
  <c r="W23" i="1" s="1"/>
  <c r="M21" i="42"/>
  <c r="D21" i="42"/>
  <c r="O21" i="39"/>
  <c r="O21" i="17"/>
  <c r="O21" i="42"/>
  <c r="O20" i="41"/>
  <c r="AE21" i="1"/>
  <c r="AF21" i="1"/>
  <c r="P21" i="39"/>
  <c r="P21" i="17"/>
  <c r="P20" i="41"/>
  <c r="P21" i="42"/>
  <c r="F23" i="42"/>
  <c r="L21" i="1"/>
  <c r="AK21" i="1" s="1"/>
  <c r="R21" i="38"/>
  <c r="V22" i="1"/>
  <c r="F22" i="41"/>
  <c r="I20" i="41"/>
  <c r="AC21" i="1"/>
  <c r="M20" i="41"/>
  <c r="M21" i="39"/>
  <c r="M21" i="17"/>
  <c r="O20" i="38"/>
  <c r="F23" i="17"/>
  <c r="P22" i="38"/>
  <c r="I21" i="39"/>
  <c r="I21" i="17"/>
  <c r="F23" i="39"/>
  <c r="W21" i="1"/>
  <c r="I22" i="42" s="1"/>
  <c r="B23" i="38"/>
  <c r="L24" i="38" l="1"/>
  <c r="E23" i="38"/>
  <c r="B24" i="38"/>
  <c r="I23" i="38"/>
  <c r="M22" i="42"/>
  <c r="D22" i="42"/>
  <c r="O22" i="39"/>
  <c r="O22" i="17"/>
  <c r="O21" i="41"/>
  <c r="O22" i="42"/>
  <c r="AE22" i="1"/>
  <c r="AF22" i="1"/>
  <c r="P22" i="39"/>
  <c r="P22" i="17"/>
  <c r="P22" i="42"/>
  <c r="P21" i="41"/>
  <c r="P23" i="1"/>
  <c r="V23" i="1" s="1"/>
  <c r="L6" i="43"/>
  <c r="M5" i="43"/>
  <c r="M6" i="43"/>
  <c r="M4" i="43"/>
  <c r="M7" i="43"/>
  <c r="L5" i="43"/>
  <c r="L4" i="43"/>
  <c r="M10" i="43"/>
  <c r="M8" i="43"/>
  <c r="L7" i="43"/>
  <c r="M9" i="43"/>
  <c r="L8" i="43"/>
  <c r="M11" i="43"/>
  <c r="L10" i="43"/>
  <c r="M12" i="43"/>
  <c r="L12" i="43"/>
  <c r="L13" i="43"/>
  <c r="M13" i="43"/>
  <c r="M14" i="43"/>
  <c r="L11" i="43"/>
  <c r="L15" i="43"/>
  <c r="L16" i="43"/>
  <c r="L17" i="43"/>
  <c r="M17" i="43"/>
  <c r="L18" i="43"/>
  <c r="M18" i="43"/>
  <c r="L14" i="43"/>
  <c r="L19" i="43"/>
  <c r="M16" i="43"/>
  <c r="M15" i="43"/>
  <c r="M19" i="43"/>
  <c r="L22" i="1"/>
  <c r="AK22" i="1" s="1"/>
  <c r="R22" i="38"/>
  <c r="I21" i="41"/>
  <c r="M21" i="41"/>
  <c r="M22" i="39"/>
  <c r="M22" i="17"/>
  <c r="AC22" i="1"/>
  <c r="O21" i="38"/>
  <c r="I22" i="39"/>
  <c r="I22" i="17"/>
  <c r="P23" i="38"/>
  <c r="W22" i="1"/>
  <c r="I23" i="42" s="1"/>
  <c r="W24" i="1" l="1"/>
  <c r="Q23" i="1"/>
  <c r="F24" i="39" s="1"/>
  <c r="J24" i="37"/>
  <c r="L31" i="43"/>
  <c r="L25" i="38"/>
  <c r="I24" i="38"/>
  <c r="B25" i="38"/>
  <c r="E24" i="38"/>
  <c r="M23" i="42"/>
  <c r="D23" i="42"/>
  <c r="O23" i="39"/>
  <c r="O23" i="17"/>
  <c r="O22" i="41"/>
  <c r="O23" i="42"/>
  <c r="AE23" i="1"/>
  <c r="AF23" i="1"/>
  <c r="P23" i="39"/>
  <c r="P23" i="17"/>
  <c r="P23" i="42"/>
  <c r="P22" i="41"/>
  <c r="M31" i="43"/>
  <c r="N32" i="43" s="1"/>
  <c r="B16" i="43" s="1"/>
  <c r="G7" i="23" s="1"/>
  <c r="L23" i="1"/>
  <c r="AK23" i="1" s="1"/>
  <c r="R23" i="38"/>
  <c r="I22" i="41"/>
  <c r="M22" i="41"/>
  <c r="M23" i="39"/>
  <c r="M23" i="17"/>
  <c r="AC23" i="1"/>
  <c r="O22" i="38"/>
  <c r="P29" i="38"/>
  <c r="I23" i="41"/>
  <c r="I23" i="39"/>
  <c r="I23" i="17"/>
  <c r="R24" i="38" l="1"/>
  <c r="L24" i="1"/>
  <c r="AE29" i="1"/>
  <c r="AF29" i="1"/>
  <c r="Q24" i="1"/>
  <c r="J25" i="37"/>
  <c r="W25" i="1"/>
  <c r="X24" i="1"/>
  <c r="I25" i="39"/>
  <c r="I25" i="42"/>
  <c r="I25" i="17"/>
  <c r="I24" i="41"/>
  <c r="F24" i="17"/>
  <c r="F24" i="42"/>
  <c r="F23" i="41"/>
  <c r="L26" i="38"/>
  <c r="E25" i="38"/>
  <c r="I25" i="38"/>
  <c r="B26" i="38"/>
  <c r="M24" i="42"/>
  <c r="D24" i="42"/>
  <c r="O24" i="39"/>
  <c r="O24" i="17"/>
  <c r="O23" i="41"/>
  <c r="O24" i="42"/>
  <c r="P24" i="39"/>
  <c r="P24" i="17"/>
  <c r="P24" i="42"/>
  <c r="P23" i="41"/>
  <c r="I24" i="42"/>
  <c r="L32" i="43"/>
  <c r="M32" i="43"/>
  <c r="B15" i="43"/>
  <c r="I24" i="39"/>
  <c r="M23" i="41"/>
  <c r="M24" i="39"/>
  <c r="M24" i="17"/>
  <c r="O23" i="38"/>
  <c r="O29" i="38" s="1"/>
  <c r="I24" i="17"/>
  <c r="Q25" i="1" l="1"/>
  <c r="J26" i="37"/>
  <c r="P30" i="39"/>
  <c r="P30" i="17"/>
  <c r="P29" i="41"/>
  <c r="P30" i="42"/>
  <c r="O30" i="39"/>
  <c r="O30" i="17"/>
  <c r="O29" i="41"/>
  <c r="O30" i="42"/>
  <c r="AD29" i="1"/>
  <c r="J25" i="39"/>
  <c r="I52" i="39" s="1"/>
  <c r="J24" i="41"/>
  <c r="J25" i="42"/>
  <c r="I52" i="42" s="1"/>
  <c r="J25" i="17"/>
  <c r="I52" i="17" s="1"/>
  <c r="D25" i="39"/>
  <c r="AK24" i="1"/>
  <c r="D25" i="42"/>
  <c r="D24" i="41"/>
  <c r="D25" i="17"/>
  <c r="M24" i="1"/>
  <c r="R25" i="38"/>
  <c r="L25" i="1"/>
  <c r="W26" i="1"/>
  <c r="I51" i="41"/>
  <c r="I25" i="41"/>
  <c r="I26" i="39"/>
  <c r="I26" i="42"/>
  <c r="I26" i="17"/>
  <c r="X25" i="1"/>
  <c r="F25" i="39"/>
  <c r="F25" i="17"/>
  <c r="F24" i="41"/>
  <c r="F25" i="42"/>
  <c r="I26" i="38"/>
  <c r="E26" i="38"/>
  <c r="L27" i="38"/>
  <c r="B27" i="38"/>
  <c r="AF30" i="1"/>
  <c r="H7" i="23"/>
  <c r="I7" i="23"/>
  <c r="E38" i="1"/>
  <c r="E37" i="1"/>
  <c r="R25" i="1" s="1"/>
  <c r="I9" i="23"/>
  <c r="G26" i="39" l="1"/>
  <c r="G26" i="42"/>
  <c r="G25" i="41"/>
  <c r="G26" i="17"/>
  <c r="R26" i="38"/>
  <c r="L26" i="1"/>
  <c r="R26" i="1" s="1"/>
  <c r="E25" i="39"/>
  <c r="D52" i="39" s="1"/>
  <c r="E25" i="42"/>
  <c r="D52" i="42" s="1"/>
  <c r="E24" i="41"/>
  <c r="E25" i="17"/>
  <c r="Q25" i="39"/>
  <c r="Q24" i="41"/>
  <c r="Q25" i="42"/>
  <c r="Q25" i="17"/>
  <c r="AL24" i="1"/>
  <c r="Q26" i="1"/>
  <c r="J27" i="37"/>
  <c r="D26" i="39"/>
  <c r="AK25" i="1"/>
  <c r="D26" i="42"/>
  <c r="D25" i="41"/>
  <c r="D26" i="17"/>
  <c r="M25" i="1"/>
  <c r="D52" i="17"/>
  <c r="J26" i="39"/>
  <c r="J25" i="41"/>
  <c r="J26" i="42"/>
  <c r="J26" i="17"/>
  <c r="D51" i="41"/>
  <c r="N30" i="39"/>
  <c r="N29" i="41"/>
  <c r="N30" i="42"/>
  <c r="N30" i="17"/>
  <c r="R12" i="1"/>
  <c r="R24" i="1"/>
  <c r="H26" i="1"/>
  <c r="H27" i="1"/>
  <c r="H24" i="1"/>
  <c r="H25" i="1"/>
  <c r="W27" i="1"/>
  <c r="I27" i="39"/>
  <c r="I27" i="17"/>
  <c r="I27" i="42"/>
  <c r="I26" i="41"/>
  <c r="X26" i="1"/>
  <c r="F26" i="42"/>
  <c r="F25" i="41"/>
  <c r="F26" i="17"/>
  <c r="F26" i="39"/>
  <c r="S25" i="1"/>
  <c r="I27" i="38"/>
  <c r="E27" i="38"/>
  <c r="B28" i="38"/>
  <c r="H28" i="1" s="1"/>
  <c r="L28" i="38"/>
  <c r="P31" i="17"/>
  <c r="P32" i="17"/>
  <c r="O32" i="39"/>
  <c r="O31" i="39"/>
  <c r="P32" i="39"/>
  <c r="P31" i="39"/>
  <c r="P31" i="41"/>
  <c r="P30" i="41"/>
  <c r="O31" i="42"/>
  <c r="O32" i="42"/>
  <c r="O31" i="41"/>
  <c r="O30" i="41"/>
  <c r="P31" i="42"/>
  <c r="P32" i="42"/>
  <c r="O31" i="17"/>
  <c r="O32" i="17"/>
  <c r="R8" i="1"/>
  <c r="G9" i="42" s="1"/>
  <c r="R11" i="1"/>
  <c r="R7" i="1"/>
  <c r="R9" i="1"/>
  <c r="R10" i="1"/>
  <c r="G13" i="42"/>
  <c r="R13" i="1"/>
  <c r="R14" i="1"/>
  <c r="R15" i="1"/>
  <c r="R16" i="1"/>
  <c r="R17" i="1"/>
  <c r="R18" i="1"/>
  <c r="R19" i="1"/>
  <c r="R20" i="1"/>
  <c r="R21" i="1"/>
  <c r="R22" i="1"/>
  <c r="R23" i="1"/>
  <c r="R5" i="1"/>
  <c r="R6" i="1"/>
  <c r="R4" i="1"/>
  <c r="G5" i="42" s="1"/>
  <c r="H4" i="1"/>
  <c r="H6" i="1"/>
  <c r="H5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O24" i="3"/>
  <c r="O23" i="3"/>
  <c r="N25" i="3"/>
  <c r="N24" i="3"/>
  <c r="N23" i="3"/>
  <c r="O22" i="3"/>
  <c r="O10" i="3" s="1"/>
  <c r="N22" i="3"/>
  <c r="N21" i="3"/>
  <c r="N18" i="3"/>
  <c r="N17" i="3"/>
  <c r="O16" i="3"/>
  <c r="O7" i="3" s="1"/>
  <c r="N16" i="3"/>
  <c r="O4" i="3"/>
  <c r="N4" i="3"/>
  <c r="C7" i="20"/>
  <c r="C9" i="20" s="1"/>
  <c r="C10" i="20" s="1"/>
  <c r="D15" i="1"/>
  <c r="D16" i="1"/>
  <c r="D17" i="1"/>
  <c r="D18" i="1"/>
  <c r="D19" i="1"/>
  <c r="D20" i="1"/>
  <c r="D21" i="1"/>
  <c r="D22" i="1"/>
  <c r="D23" i="1"/>
  <c r="D14" i="1"/>
  <c r="D9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6" i="1"/>
  <c r="C5" i="3" l="1"/>
  <c r="B29" i="39"/>
  <c r="B29" i="42"/>
  <c r="B28" i="41"/>
  <c r="B29" i="17"/>
  <c r="I28" i="1"/>
  <c r="R27" i="38"/>
  <c r="L27" i="1"/>
  <c r="J27" i="39"/>
  <c r="J27" i="42"/>
  <c r="J26" i="41"/>
  <c r="J27" i="17"/>
  <c r="B26" i="39"/>
  <c r="B26" i="42"/>
  <c r="B25" i="41"/>
  <c r="B26" i="17"/>
  <c r="I25" i="1"/>
  <c r="B27" i="39"/>
  <c r="B27" i="42"/>
  <c r="B26" i="41"/>
  <c r="B27" i="17"/>
  <c r="I26" i="1"/>
  <c r="E26" i="39"/>
  <c r="E26" i="42"/>
  <c r="E25" i="41"/>
  <c r="E26" i="17"/>
  <c r="Q26" i="39"/>
  <c r="Q25" i="41"/>
  <c r="Q26" i="42"/>
  <c r="Q26" i="17"/>
  <c r="AL25" i="1"/>
  <c r="F27" i="17"/>
  <c r="F27" i="39"/>
  <c r="F27" i="42"/>
  <c r="F26" i="41"/>
  <c r="S26" i="1"/>
  <c r="AJ23" i="1"/>
  <c r="AL23" i="1" s="1"/>
  <c r="AJ21" i="1"/>
  <c r="Q27" i="1"/>
  <c r="R27" i="1"/>
  <c r="J28" i="37"/>
  <c r="I27" i="41"/>
  <c r="I28" i="39"/>
  <c r="I28" i="42"/>
  <c r="I28" i="17"/>
  <c r="X27" i="1"/>
  <c r="B25" i="39"/>
  <c r="B25" i="42"/>
  <c r="B24" i="41"/>
  <c r="B25" i="17"/>
  <c r="I24" i="1"/>
  <c r="G25" i="39"/>
  <c r="G25" i="42"/>
  <c r="G24" i="41"/>
  <c r="G25" i="17"/>
  <c r="S24" i="1"/>
  <c r="R25" i="39"/>
  <c r="R25" i="42"/>
  <c r="R24" i="41"/>
  <c r="Q51" i="41" s="1"/>
  <c r="Q52" i="41" s="1"/>
  <c r="R25" i="17"/>
  <c r="Q52" i="39"/>
  <c r="AJ22" i="1"/>
  <c r="AL22" i="1" s="1"/>
  <c r="W28" i="1"/>
  <c r="H26" i="39"/>
  <c r="H25" i="41"/>
  <c r="H26" i="42"/>
  <c r="H26" i="17"/>
  <c r="Q52" i="17"/>
  <c r="D27" i="39"/>
  <c r="AK26" i="1"/>
  <c r="D26" i="41"/>
  <c r="D27" i="42"/>
  <c r="D27" i="17"/>
  <c r="M26" i="1"/>
  <c r="B28" i="39"/>
  <c r="B28" i="42"/>
  <c r="B27" i="41"/>
  <c r="B28" i="17"/>
  <c r="I27" i="1"/>
  <c r="G27" i="39"/>
  <c r="G27" i="42"/>
  <c r="G26" i="41"/>
  <c r="G27" i="17"/>
  <c r="Q52" i="42"/>
  <c r="L29" i="38"/>
  <c r="I28" i="38"/>
  <c r="B29" i="38"/>
  <c r="H29" i="1" s="1"/>
  <c r="E28" i="38"/>
  <c r="G22" i="42"/>
  <c r="G18" i="42"/>
  <c r="G14" i="42"/>
  <c r="E14" i="3"/>
  <c r="C14" i="3"/>
  <c r="D14" i="3"/>
  <c r="B14" i="3"/>
  <c r="D5" i="3"/>
  <c r="B5" i="3"/>
  <c r="E5" i="3"/>
  <c r="B4" i="41"/>
  <c r="G21" i="42"/>
  <c r="G17" i="42"/>
  <c r="G8" i="42"/>
  <c r="G24" i="42"/>
  <c r="G20" i="42"/>
  <c r="G16" i="42"/>
  <c r="G11" i="42"/>
  <c r="G12" i="42"/>
  <c r="G23" i="42"/>
  <c r="G19" i="42"/>
  <c r="G15" i="42"/>
  <c r="G10" i="42"/>
  <c r="J25" i="3"/>
  <c r="I25" i="3"/>
  <c r="G25" i="3"/>
  <c r="L25" i="3"/>
  <c r="H25" i="3"/>
  <c r="K25" i="3"/>
  <c r="L23" i="3"/>
  <c r="J23" i="3"/>
  <c r="H23" i="3"/>
  <c r="K23" i="3"/>
  <c r="G23" i="3"/>
  <c r="I23" i="3"/>
  <c r="G7" i="42"/>
  <c r="G7" i="17"/>
  <c r="L16" i="3"/>
  <c r="J16" i="3"/>
  <c r="I16" i="3"/>
  <c r="K16" i="3"/>
  <c r="J15" i="3"/>
  <c r="L15" i="3"/>
  <c r="K15" i="3"/>
  <c r="I15" i="3"/>
  <c r="O15" i="3"/>
  <c r="L24" i="3" s="1"/>
  <c r="B24" i="42"/>
  <c r="B24" i="17"/>
  <c r="B20" i="42"/>
  <c r="B20" i="17"/>
  <c r="B16" i="42"/>
  <c r="B16" i="17"/>
  <c r="B12" i="42"/>
  <c r="B12" i="17"/>
  <c r="B8" i="42"/>
  <c r="B8" i="17"/>
  <c r="B23" i="42"/>
  <c r="B23" i="17"/>
  <c r="B19" i="42"/>
  <c r="B19" i="17"/>
  <c r="B15" i="42"/>
  <c r="B15" i="17"/>
  <c r="B11" i="42"/>
  <c r="B11" i="17"/>
  <c r="B6" i="42"/>
  <c r="B6" i="17"/>
  <c r="B22" i="42"/>
  <c r="B22" i="17"/>
  <c r="B18" i="42"/>
  <c r="B18" i="17"/>
  <c r="B14" i="42"/>
  <c r="B14" i="17"/>
  <c r="B10" i="42"/>
  <c r="B10" i="17"/>
  <c r="B7" i="42"/>
  <c r="B7" i="17"/>
  <c r="B21" i="42"/>
  <c r="B21" i="17"/>
  <c r="B17" i="42"/>
  <c r="B17" i="17"/>
  <c r="B13" i="42"/>
  <c r="B13" i="17"/>
  <c r="B9" i="42"/>
  <c r="B9" i="17"/>
  <c r="B5" i="42"/>
  <c r="B5" i="17"/>
  <c r="J14" i="3"/>
  <c r="K14" i="3"/>
  <c r="L14" i="3"/>
  <c r="I14" i="3"/>
  <c r="C11" i="20"/>
  <c r="C13" i="20" s="1"/>
  <c r="S5" i="1"/>
  <c r="G6" i="42"/>
  <c r="C30" i="1"/>
  <c r="I4" i="1"/>
  <c r="B5" i="39"/>
  <c r="G6" i="39"/>
  <c r="G5" i="41"/>
  <c r="G6" i="17"/>
  <c r="AJ9" i="1"/>
  <c r="G4" i="41"/>
  <c r="G5" i="39"/>
  <c r="S4" i="1"/>
  <c r="G5" i="17"/>
  <c r="AJ7" i="1"/>
  <c r="AL7" i="1" s="1"/>
  <c r="AJ8" i="1"/>
  <c r="I5" i="1"/>
  <c r="B5" i="41"/>
  <c r="B6" i="39"/>
  <c r="D7" i="17"/>
  <c r="B20" i="41"/>
  <c r="B17" i="41"/>
  <c r="D21" i="41"/>
  <c r="B22" i="41"/>
  <c r="B21" i="41"/>
  <c r="B19" i="41"/>
  <c r="D17" i="41"/>
  <c r="D20" i="41"/>
  <c r="D23" i="41"/>
  <c r="D24" i="39"/>
  <c r="B24" i="39"/>
  <c r="B23" i="41"/>
  <c r="D19" i="41"/>
  <c r="D22" i="41"/>
  <c r="B18" i="41"/>
  <c r="D18" i="41"/>
  <c r="D6" i="41"/>
  <c r="D7" i="39"/>
  <c r="B16" i="41"/>
  <c r="B17" i="39"/>
  <c r="B14" i="39"/>
  <c r="B13" i="41"/>
  <c r="B11" i="41"/>
  <c r="B12" i="39"/>
  <c r="B10" i="41"/>
  <c r="B11" i="39"/>
  <c r="B21" i="39"/>
  <c r="B18" i="39"/>
  <c r="B16" i="39"/>
  <c r="B15" i="41"/>
  <c r="B23" i="39"/>
  <c r="B8" i="41"/>
  <c r="B9" i="39"/>
  <c r="B22" i="39"/>
  <c r="B20" i="39"/>
  <c r="B14" i="41"/>
  <c r="B15" i="39"/>
  <c r="B12" i="41"/>
  <c r="B13" i="39"/>
  <c r="B10" i="39"/>
  <c r="B9" i="41"/>
  <c r="B8" i="39"/>
  <c r="B7" i="41"/>
  <c r="B19" i="39"/>
  <c r="B6" i="41"/>
  <c r="B7" i="39"/>
  <c r="D13" i="41"/>
  <c r="D14" i="39"/>
  <c r="D14" i="17"/>
  <c r="D16" i="41"/>
  <c r="D17" i="39"/>
  <c r="D17" i="17"/>
  <c r="D20" i="39"/>
  <c r="D20" i="17"/>
  <c r="D23" i="39"/>
  <c r="D23" i="17"/>
  <c r="AJ17" i="1"/>
  <c r="AJ16" i="1"/>
  <c r="AJ19" i="1"/>
  <c r="AJ15" i="1"/>
  <c r="G6" i="41"/>
  <c r="G7" i="39"/>
  <c r="D9" i="41"/>
  <c r="D10" i="39"/>
  <c r="D10" i="17"/>
  <c r="D12" i="41"/>
  <c r="D13" i="39"/>
  <c r="D13" i="17"/>
  <c r="D15" i="41"/>
  <c r="D16" i="39"/>
  <c r="D16" i="17"/>
  <c r="D19" i="39"/>
  <c r="D19" i="17"/>
  <c r="AJ20" i="1"/>
  <c r="AJ18" i="1"/>
  <c r="AJ14" i="1"/>
  <c r="D22" i="39"/>
  <c r="D22" i="17"/>
  <c r="D8" i="41"/>
  <c r="D9" i="39"/>
  <c r="D9" i="17"/>
  <c r="D11" i="41"/>
  <c r="D12" i="39"/>
  <c r="D12" i="17"/>
  <c r="D14" i="41"/>
  <c r="D15" i="39"/>
  <c r="D18" i="39"/>
  <c r="D18" i="17"/>
  <c r="D21" i="39"/>
  <c r="D21" i="17"/>
  <c r="D24" i="17"/>
  <c r="D7" i="41"/>
  <c r="D8" i="39"/>
  <c r="D8" i="17"/>
  <c r="D10" i="41"/>
  <c r="D11" i="39"/>
  <c r="D11" i="17"/>
  <c r="B4" i="14"/>
  <c r="C4" i="14"/>
  <c r="F4" i="14"/>
  <c r="D4" i="14"/>
  <c r="E4" i="14"/>
  <c r="Q28" i="1" l="1"/>
  <c r="J29" i="37"/>
  <c r="C25" i="39"/>
  <c r="B52" i="39" s="1"/>
  <c r="C24" i="41"/>
  <c r="C25" i="42"/>
  <c r="C25" i="17"/>
  <c r="B52" i="17" s="1"/>
  <c r="J28" i="39"/>
  <c r="J28" i="42"/>
  <c r="J27" i="41"/>
  <c r="J28" i="17"/>
  <c r="C29" i="39"/>
  <c r="C29" i="42"/>
  <c r="C28" i="41"/>
  <c r="C29" i="17"/>
  <c r="W29" i="1"/>
  <c r="G28" i="39"/>
  <c r="G28" i="42"/>
  <c r="G27" i="41"/>
  <c r="G28" i="17"/>
  <c r="H27" i="39"/>
  <c r="H27" i="42"/>
  <c r="H26" i="41"/>
  <c r="H27" i="17"/>
  <c r="R26" i="39"/>
  <c r="R26" i="42"/>
  <c r="R25" i="41"/>
  <c r="R26" i="17"/>
  <c r="R28" i="38"/>
  <c r="L28" i="1"/>
  <c r="X28" i="1"/>
  <c r="I29" i="42"/>
  <c r="I28" i="41"/>
  <c r="I29" i="39"/>
  <c r="I29" i="17"/>
  <c r="B51" i="41"/>
  <c r="S27" i="1"/>
  <c r="F28" i="42"/>
  <c r="F27" i="41"/>
  <c r="F28" i="39"/>
  <c r="F28" i="17"/>
  <c r="C27" i="39"/>
  <c r="C26" i="41"/>
  <c r="C27" i="42"/>
  <c r="C27" i="17"/>
  <c r="C26" i="39"/>
  <c r="C26" i="42"/>
  <c r="C25" i="41"/>
  <c r="C26" i="17"/>
  <c r="D28" i="39"/>
  <c r="AK27" i="1"/>
  <c r="D28" i="42"/>
  <c r="D27" i="41"/>
  <c r="D28" i="17"/>
  <c r="M27" i="1"/>
  <c r="B30" i="39"/>
  <c r="B30" i="42"/>
  <c r="B29" i="41"/>
  <c r="B30" i="17"/>
  <c r="I29" i="1"/>
  <c r="C28" i="39"/>
  <c r="C27" i="41"/>
  <c r="C28" i="42"/>
  <c r="C28" i="17"/>
  <c r="E27" i="39"/>
  <c r="E27" i="42"/>
  <c r="E26" i="41"/>
  <c r="E27" i="17"/>
  <c r="Q27" i="39"/>
  <c r="Q27" i="42"/>
  <c r="Q26" i="41"/>
  <c r="Q27" i="17"/>
  <c r="AL26" i="1"/>
  <c r="H25" i="39"/>
  <c r="F52" i="39" s="1"/>
  <c r="H25" i="42"/>
  <c r="F52" i="42" s="1"/>
  <c r="H24" i="41"/>
  <c r="F51" i="41" s="1"/>
  <c r="H25" i="17"/>
  <c r="F52" i="17" s="1"/>
  <c r="B52" i="42"/>
  <c r="AL21" i="1"/>
  <c r="I29" i="38"/>
  <c r="E29" i="38"/>
  <c r="L29" i="1" s="1"/>
  <c r="M32" i="42"/>
  <c r="K24" i="3"/>
  <c r="K26" i="3" s="1"/>
  <c r="E7" i="26" s="1"/>
  <c r="B105" i="26" s="1"/>
  <c r="I24" i="3"/>
  <c r="I26" i="3" s="1"/>
  <c r="J24" i="3"/>
  <c r="J26" i="3" s="1"/>
  <c r="H24" i="3"/>
  <c r="H26" i="3" s="1"/>
  <c r="L26" i="3"/>
  <c r="G24" i="3"/>
  <c r="G26" i="3" s="1"/>
  <c r="E6" i="26" s="1"/>
  <c r="J70" i="26" s="1"/>
  <c r="J17" i="3"/>
  <c r="I17" i="3"/>
  <c r="L17" i="3"/>
  <c r="K17" i="3"/>
  <c r="B18" i="20"/>
  <c r="C18" i="20" s="1"/>
  <c r="B19" i="20"/>
  <c r="C19" i="20" s="1"/>
  <c r="AL8" i="1"/>
  <c r="AL9" i="1"/>
  <c r="P30" i="1"/>
  <c r="G19" i="41"/>
  <c r="G16" i="41"/>
  <c r="G24" i="39"/>
  <c r="G23" i="41"/>
  <c r="G17" i="41"/>
  <c r="G19" i="17"/>
  <c r="G18" i="41"/>
  <c r="G23" i="39"/>
  <c r="G22" i="41"/>
  <c r="G20" i="41"/>
  <c r="G21" i="41"/>
  <c r="G20" i="39"/>
  <c r="G17" i="17"/>
  <c r="G22" i="17"/>
  <c r="G17" i="39"/>
  <c r="G23" i="17"/>
  <c r="G19" i="39"/>
  <c r="G20" i="17"/>
  <c r="G22" i="39"/>
  <c r="G18" i="17"/>
  <c r="G10" i="41"/>
  <c r="G11" i="39"/>
  <c r="G11" i="17"/>
  <c r="G21" i="17"/>
  <c r="G18" i="39"/>
  <c r="G15" i="41"/>
  <c r="G16" i="39"/>
  <c r="G16" i="17"/>
  <c r="G12" i="41"/>
  <c r="G13" i="39"/>
  <c r="G13" i="17"/>
  <c r="G9" i="41"/>
  <c r="G10" i="39"/>
  <c r="G10" i="17"/>
  <c r="G24" i="17"/>
  <c r="G21" i="39"/>
  <c r="G13" i="41"/>
  <c r="G14" i="39"/>
  <c r="G14" i="17"/>
  <c r="G7" i="41"/>
  <c r="G8" i="39"/>
  <c r="G8" i="17"/>
  <c r="G14" i="41"/>
  <c r="G15" i="39"/>
  <c r="G15" i="17"/>
  <c r="G11" i="41"/>
  <c r="G12" i="39"/>
  <c r="G12" i="17"/>
  <c r="G8" i="41"/>
  <c r="G9" i="39"/>
  <c r="G9" i="17"/>
  <c r="B72" i="26" l="1"/>
  <c r="J29" i="39"/>
  <c r="J28" i="41"/>
  <c r="J29" i="42"/>
  <c r="J29" i="17"/>
  <c r="F72" i="26"/>
  <c r="F105" i="26"/>
  <c r="D30" i="39"/>
  <c r="AK29" i="1"/>
  <c r="D30" i="42"/>
  <c r="D29" i="41"/>
  <c r="D30" i="17"/>
  <c r="M29" i="1"/>
  <c r="AB69" i="26"/>
  <c r="F103" i="26"/>
  <c r="O104" i="26"/>
  <c r="F71" i="26"/>
  <c r="F104" i="26"/>
  <c r="D29" i="39"/>
  <c r="AK28" i="1"/>
  <c r="D29" i="42"/>
  <c r="D28" i="41"/>
  <c r="D29" i="17"/>
  <c r="M28" i="1"/>
  <c r="U71" i="26"/>
  <c r="U70" i="26"/>
  <c r="U69" i="26"/>
  <c r="U68" i="26"/>
  <c r="U72" i="26"/>
  <c r="U67" i="26"/>
  <c r="O67" i="26"/>
  <c r="J67" i="26"/>
  <c r="F67" i="26"/>
  <c r="O68" i="26"/>
  <c r="O69" i="26"/>
  <c r="J68" i="26"/>
  <c r="AB67" i="26"/>
  <c r="F68" i="26"/>
  <c r="AB68" i="26"/>
  <c r="F69" i="26"/>
  <c r="B71" i="26"/>
  <c r="B70" i="26"/>
  <c r="B68" i="26"/>
  <c r="B69" i="26"/>
  <c r="O70" i="26"/>
  <c r="B67" i="26"/>
  <c r="J69" i="26"/>
  <c r="Q29" i="1"/>
  <c r="R29" i="1"/>
  <c r="J30" i="37"/>
  <c r="R27" i="39"/>
  <c r="R27" i="42"/>
  <c r="R26" i="41"/>
  <c r="R27" i="17"/>
  <c r="AB102" i="26"/>
  <c r="C30" i="39"/>
  <c r="C30" i="42"/>
  <c r="C29" i="41"/>
  <c r="C30" i="17"/>
  <c r="E28" i="39"/>
  <c r="E27" i="41"/>
  <c r="E28" i="42"/>
  <c r="E28" i="17"/>
  <c r="AB70" i="26"/>
  <c r="AB103" i="26"/>
  <c r="Q28" i="39"/>
  <c r="Q27" i="41"/>
  <c r="Q28" i="42"/>
  <c r="Q28" i="17"/>
  <c r="AL27" i="1"/>
  <c r="F70" i="26"/>
  <c r="H28" i="39"/>
  <c r="H28" i="42"/>
  <c r="H27" i="41"/>
  <c r="H28" i="17"/>
  <c r="O71" i="26"/>
  <c r="O72" i="26"/>
  <c r="O105" i="26"/>
  <c r="I29" i="41"/>
  <c r="I30" i="42"/>
  <c r="I30" i="39"/>
  <c r="I30" i="17"/>
  <c r="X29" i="1"/>
  <c r="W30" i="1"/>
  <c r="R28" i="1"/>
  <c r="U100" i="26"/>
  <c r="U102" i="26"/>
  <c r="U101" i="26"/>
  <c r="U103" i="26"/>
  <c r="U105" i="26"/>
  <c r="U104" i="26"/>
  <c r="O100" i="26"/>
  <c r="O101" i="26"/>
  <c r="J100" i="26"/>
  <c r="F100" i="26"/>
  <c r="AB100" i="26"/>
  <c r="F101" i="26"/>
  <c r="O102" i="26"/>
  <c r="J101" i="26"/>
  <c r="B101" i="26"/>
  <c r="B102" i="26"/>
  <c r="B100" i="26"/>
  <c r="AB101" i="26"/>
  <c r="J102" i="26"/>
  <c r="O103" i="26"/>
  <c r="F102" i="26"/>
  <c r="B104" i="26"/>
  <c r="B103" i="26"/>
  <c r="J103" i="26"/>
  <c r="S28" i="1"/>
  <c r="J104" i="26"/>
  <c r="J71" i="26"/>
  <c r="F28" i="41"/>
  <c r="F29" i="39"/>
  <c r="F29" i="17"/>
  <c r="F29" i="42"/>
  <c r="H30" i="1"/>
  <c r="T36" i="1" s="1"/>
  <c r="R29" i="38"/>
  <c r="M31" i="42"/>
  <c r="J47" i="26"/>
  <c r="J48" i="26"/>
  <c r="O47" i="26"/>
  <c r="O48" i="26"/>
  <c r="U47" i="26"/>
  <c r="U48" i="26"/>
  <c r="J49" i="26"/>
  <c r="F49" i="26"/>
  <c r="F47" i="26"/>
  <c r="AB47" i="26"/>
  <c r="O49" i="26"/>
  <c r="O51" i="26"/>
  <c r="AB49" i="26"/>
  <c r="J51" i="26"/>
  <c r="F48" i="26"/>
  <c r="F50" i="26"/>
  <c r="J50" i="26"/>
  <c r="F51" i="26"/>
  <c r="J52" i="26"/>
  <c r="U49" i="26"/>
  <c r="AB50" i="26"/>
  <c r="U51" i="26"/>
  <c r="O50" i="26"/>
  <c r="AB48" i="26"/>
  <c r="O53" i="26"/>
  <c r="F52" i="26"/>
  <c r="O52" i="26"/>
  <c r="J53" i="26"/>
  <c r="U50" i="26"/>
  <c r="AB51" i="26"/>
  <c r="J54" i="26"/>
  <c r="F53" i="26"/>
  <c r="U52" i="26"/>
  <c r="U53" i="26"/>
  <c r="AB52" i="26"/>
  <c r="F54" i="26"/>
  <c r="J57" i="26"/>
  <c r="O54" i="26"/>
  <c r="F55" i="26"/>
  <c r="J55" i="26"/>
  <c r="J56" i="26"/>
  <c r="O57" i="26"/>
  <c r="O56" i="26"/>
  <c r="F56" i="26"/>
  <c r="U54" i="26"/>
  <c r="O55" i="26"/>
  <c r="F57" i="26"/>
  <c r="J58" i="26"/>
  <c r="J59" i="26"/>
  <c r="U57" i="26"/>
  <c r="U56" i="26"/>
  <c r="U55" i="26"/>
  <c r="J60" i="26"/>
  <c r="O58" i="26"/>
  <c r="F58" i="26"/>
  <c r="U58" i="26"/>
  <c r="J61" i="26"/>
  <c r="F59" i="26"/>
  <c r="O59" i="26"/>
  <c r="U59" i="26"/>
  <c r="O61" i="26"/>
  <c r="F60" i="26"/>
  <c r="J62" i="26"/>
  <c r="O60" i="26"/>
  <c r="O62" i="26"/>
  <c r="F61" i="26"/>
  <c r="J63" i="26"/>
  <c r="U61" i="26"/>
  <c r="U60" i="26"/>
  <c r="J64" i="26"/>
  <c r="O63" i="26"/>
  <c r="U62" i="26"/>
  <c r="F62" i="26"/>
  <c r="J65" i="26"/>
  <c r="F63" i="26"/>
  <c r="U63" i="26"/>
  <c r="O64" i="26"/>
  <c r="F64" i="26"/>
  <c r="O65" i="26"/>
  <c r="U64" i="26"/>
  <c r="J66" i="26"/>
  <c r="O66" i="26"/>
  <c r="F65" i="26"/>
  <c r="U65" i="26"/>
  <c r="U66" i="26"/>
  <c r="F66" i="26"/>
  <c r="B60" i="26"/>
  <c r="B63" i="26"/>
  <c r="B65" i="26"/>
  <c r="B61" i="26"/>
  <c r="B64" i="26"/>
  <c r="B49" i="26"/>
  <c r="B59" i="26"/>
  <c r="B66" i="26"/>
  <c r="B62" i="26"/>
  <c r="B50" i="26"/>
  <c r="B53" i="26"/>
  <c r="B48" i="26"/>
  <c r="B52" i="26"/>
  <c r="B51" i="26"/>
  <c r="B47" i="26"/>
  <c r="B54" i="26"/>
  <c r="B57" i="26"/>
  <c r="B56" i="26"/>
  <c r="B55" i="26"/>
  <c r="B58" i="26"/>
  <c r="I4" i="14"/>
  <c r="E5" i="26"/>
  <c r="O39" i="26" s="1"/>
  <c r="J81" i="26"/>
  <c r="J80" i="26"/>
  <c r="O80" i="26"/>
  <c r="O81" i="26"/>
  <c r="U81" i="26"/>
  <c r="U80" i="26"/>
  <c r="J82" i="26"/>
  <c r="F82" i="26"/>
  <c r="F80" i="26"/>
  <c r="J83" i="26"/>
  <c r="AB80" i="26"/>
  <c r="O82" i="26"/>
  <c r="AB82" i="26"/>
  <c r="J84" i="26"/>
  <c r="F81" i="26"/>
  <c r="F83" i="26"/>
  <c r="O84" i="26"/>
  <c r="J85" i="26"/>
  <c r="U82" i="26"/>
  <c r="O83" i="26"/>
  <c r="AB83" i="26"/>
  <c r="F84" i="26"/>
  <c r="AB81" i="26"/>
  <c r="U84" i="26"/>
  <c r="O85" i="26"/>
  <c r="F85" i="26"/>
  <c r="J86" i="26"/>
  <c r="O86" i="26"/>
  <c r="U83" i="26"/>
  <c r="AB84" i="26"/>
  <c r="J87" i="26"/>
  <c r="F86" i="26"/>
  <c r="U85" i="26"/>
  <c r="U86" i="26"/>
  <c r="AB85" i="26"/>
  <c r="F87" i="26"/>
  <c r="J90" i="26"/>
  <c r="O87" i="26"/>
  <c r="F88" i="26"/>
  <c r="J88" i="26"/>
  <c r="J89" i="26"/>
  <c r="J91" i="26"/>
  <c r="O89" i="26"/>
  <c r="O90" i="26"/>
  <c r="U87" i="26"/>
  <c r="O88" i="26"/>
  <c r="F89" i="26"/>
  <c r="U90" i="26"/>
  <c r="F90" i="26"/>
  <c r="U88" i="26"/>
  <c r="U89" i="26"/>
  <c r="O91" i="26"/>
  <c r="F91" i="26"/>
  <c r="J92" i="26"/>
  <c r="J93" i="26"/>
  <c r="U91" i="26"/>
  <c r="F92" i="26"/>
  <c r="O92" i="26"/>
  <c r="J94" i="26"/>
  <c r="O93" i="26"/>
  <c r="F93" i="26"/>
  <c r="J95" i="26"/>
  <c r="O94" i="26"/>
  <c r="U92" i="26"/>
  <c r="J96" i="26"/>
  <c r="U94" i="26"/>
  <c r="U93" i="26"/>
  <c r="O95" i="26"/>
  <c r="F94" i="26"/>
  <c r="F95" i="26"/>
  <c r="O96" i="26"/>
  <c r="U95" i="26"/>
  <c r="J97" i="26"/>
  <c r="U96" i="26"/>
  <c r="F96" i="26"/>
  <c r="O97" i="26"/>
  <c r="J98" i="26"/>
  <c r="O98" i="26"/>
  <c r="U97" i="26"/>
  <c r="J99" i="26"/>
  <c r="F97" i="26"/>
  <c r="O99" i="26"/>
  <c r="U98" i="26"/>
  <c r="F98" i="26"/>
  <c r="U99" i="26"/>
  <c r="F99" i="26"/>
  <c r="B97" i="26"/>
  <c r="B82" i="26"/>
  <c r="B99" i="26"/>
  <c r="B83" i="26"/>
  <c r="B86" i="26"/>
  <c r="B85" i="26"/>
  <c r="B84" i="26"/>
  <c r="B80" i="26"/>
  <c r="B87" i="26"/>
  <c r="B90" i="26"/>
  <c r="B89" i="26"/>
  <c r="B96" i="26"/>
  <c r="B88" i="26"/>
  <c r="B91" i="26"/>
  <c r="B94" i="26"/>
  <c r="B93" i="26"/>
  <c r="B92" i="26"/>
  <c r="B95" i="26"/>
  <c r="B98" i="26"/>
  <c r="B81" i="26"/>
  <c r="M32" i="17"/>
  <c r="M31" i="17"/>
  <c r="M31" i="39"/>
  <c r="M32" i="39"/>
  <c r="M30" i="41"/>
  <c r="M31" i="41"/>
  <c r="B20" i="20"/>
  <c r="C20" i="20" s="1"/>
  <c r="C21" i="20" s="1"/>
  <c r="V30" i="1"/>
  <c r="AB38" i="26" l="1"/>
  <c r="AB71" i="26"/>
  <c r="AB104" i="26"/>
  <c r="Q29" i="39"/>
  <c r="Q29" i="42"/>
  <c r="Q28" i="41"/>
  <c r="Q29" i="17"/>
  <c r="AL28" i="1"/>
  <c r="F38" i="26"/>
  <c r="E30" i="39"/>
  <c r="E30" i="42"/>
  <c r="E29" i="41"/>
  <c r="E30" i="17"/>
  <c r="AB39" i="26"/>
  <c r="AB72" i="26"/>
  <c r="AB105" i="26"/>
  <c r="Q30" i="39"/>
  <c r="Q30" i="42"/>
  <c r="Q29" i="41"/>
  <c r="Q30" i="17"/>
  <c r="AL29" i="1"/>
  <c r="F39" i="26"/>
  <c r="J30" i="39"/>
  <c r="J30" i="42"/>
  <c r="J29" i="41"/>
  <c r="J30" i="17"/>
  <c r="I31" i="42"/>
  <c r="I32" i="42"/>
  <c r="E29" i="39"/>
  <c r="E28" i="41"/>
  <c r="E29" i="42"/>
  <c r="E29" i="17"/>
  <c r="J38" i="26"/>
  <c r="AB37" i="26"/>
  <c r="H29" i="39"/>
  <c r="H28" i="41"/>
  <c r="H29" i="42"/>
  <c r="H29" i="17"/>
  <c r="G30" i="39"/>
  <c r="G29" i="41"/>
  <c r="G30" i="42"/>
  <c r="G30" i="17"/>
  <c r="U36" i="26"/>
  <c r="U35" i="26"/>
  <c r="U39" i="26"/>
  <c r="U34" i="26"/>
  <c r="U38" i="26"/>
  <c r="U37" i="26"/>
  <c r="O34" i="26"/>
  <c r="F34" i="26"/>
  <c r="J34" i="26"/>
  <c r="O35" i="26"/>
  <c r="AB34" i="26"/>
  <c r="F35" i="26"/>
  <c r="J35" i="26"/>
  <c r="O36" i="26"/>
  <c r="B38" i="26"/>
  <c r="J36" i="26"/>
  <c r="O37" i="26"/>
  <c r="B34" i="26"/>
  <c r="F36" i="26"/>
  <c r="B37" i="26"/>
  <c r="B35" i="26"/>
  <c r="B36" i="26"/>
  <c r="AB35" i="26"/>
  <c r="O38" i="26"/>
  <c r="F37" i="26"/>
  <c r="B39" i="26"/>
  <c r="J37" i="26"/>
  <c r="AB36" i="26"/>
  <c r="X36" i="1"/>
  <c r="G29" i="39"/>
  <c r="G29" i="42"/>
  <c r="G28" i="41"/>
  <c r="G29" i="17"/>
  <c r="R28" i="39"/>
  <c r="R27" i="41"/>
  <c r="R28" i="42"/>
  <c r="R28" i="17"/>
  <c r="J39" i="26"/>
  <c r="J72" i="26"/>
  <c r="J105" i="26"/>
  <c r="F30" i="42"/>
  <c r="F29" i="41"/>
  <c r="F30" i="39"/>
  <c r="F30" i="17"/>
  <c r="S29" i="1"/>
  <c r="L30" i="1"/>
  <c r="U36" i="1" s="1"/>
  <c r="B32" i="17"/>
  <c r="B31" i="17"/>
  <c r="R30" i="1"/>
  <c r="B32" i="42"/>
  <c r="B31" i="42"/>
  <c r="B31" i="39"/>
  <c r="B32" i="39"/>
  <c r="B40" i="39" s="1"/>
  <c r="Q30" i="1"/>
  <c r="W36" i="1" s="1"/>
  <c r="B31" i="41"/>
  <c r="B30" i="41"/>
  <c r="J15" i="26"/>
  <c r="J14" i="26"/>
  <c r="O14" i="26"/>
  <c r="O15" i="26"/>
  <c r="U14" i="26"/>
  <c r="U15" i="26"/>
  <c r="F16" i="26"/>
  <c r="F14" i="26"/>
  <c r="J16" i="26"/>
  <c r="F17" i="26"/>
  <c r="J17" i="26"/>
  <c r="AB16" i="26"/>
  <c r="AB14" i="26"/>
  <c r="O16" i="26"/>
  <c r="O18" i="26"/>
  <c r="J18" i="26"/>
  <c r="F15" i="26"/>
  <c r="AB17" i="26"/>
  <c r="F18" i="26"/>
  <c r="AB15" i="26"/>
  <c r="O17" i="26"/>
  <c r="J19" i="26"/>
  <c r="U16" i="26"/>
  <c r="U18" i="26"/>
  <c r="O20" i="26"/>
  <c r="U17" i="26"/>
  <c r="AB18" i="26"/>
  <c r="J20" i="26"/>
  <c r="F19" i="26"/>
  <c r="O19" i="26"/>
  <c r="J21" i="26"/>
  <c r="F20" i="26"/>
  <c r="U19" i="26"/>
  <c r="U20" i="26"/>
  <c r="AB19" i="26"/>
  <c r="F21" i="26"/>
  <c r="J24" i="26"/>
  <c r="J23" i="26"/>
  <c r="O21" i="26"/>
  <c r="F22" i="26"/>
  <c r="J22" i="26"/>
  <c r="F23" i="26"/>
  <c r="J25" i="26"/>
  <c r="U21" i="26"/>
  <c r="O23" i="26"/>
  <c r="O24" i="26"/>
  <c r="O22" i="26"/>
  <c r="U23" i="26"/>
  <c r="F24" i="26"/>
  <c r="U24" i="26"/>
  <c r="U22" i="26"/>
  <c r="O25" i="26"/>
  <c r="F25" i="26"/>
  <c r="J27" i="26"/>
  <c r="J26" i="26"/>
  <c r="J28" i="26"/>
  <c r="O26" i="26"/>
  <c r="U25" i="26"/>
  <c r="F26" i="26"/>
  <c r="U26" i="26"/>
  <c r="O27" i="26"/>
  <c r="O28" i="26"/>
  <c r="F27" i="26"/>
  <c r="J29" i="26"/>
  <c r="O29" i="26"/>
  <c r="F28" i="26"/>
  <c r="J30" i="26"/>
  <c r="U28" i="26"/>
  <c r="U27" i="26"/>
  <c r="F29" i="26"/>
  <c r="J31" i="26"/>
  <c r="O30" i="26"/>
  <c r="U29" i="26"/>
  <c r="J32" i="26"/>
  <c r="U30" i="26"/>
  <c r="F30" i="26"/>
  <c r="O31" i="26"/>
  <c r="J33" i="26"/>
  <c r="U31" i="26"/>
  <c r="F31" i="26"/>
  <c r="O32" i="26"/>
  <c r="U32" i="26"/>
  <c r="O33" i="26"/>
  <c r="F32" i="26"/>
  <c r="F33" i="26"/>
  <c r="U33" i="26"/>
  <c r="B23" i="26"/>
  <c r="B26" i="26"/>
  <c r="B22" i="26"/>
  <c r="B29" i="26"/>
  <c r="B25" i="26"/>
  <c r="B15" i="26"/>
  <c r="B27" i="26"/>
  <c r="B30" i="26"/>
  <c r="B32" i="26"/>
  <c r="B31" i="26"/>
  <c r="B16" i="26"/>
  <c r="B33" i="26"/>
  <c r="B17" i="26"/>
  <c r="B20" i="26"/>
  <c r="B19" i="26"/>
  <c r="B18" i="26"/>
  <c r="B14" i="26"/>
  <c r="B21" i="26"/>
  <c r="B28" i="26"/>
  <c r="B24" i="26"/>
  <c r="G6" i="23"/>
  <c r="C14" i="20"/>
  <c r="B21" i="20"/>
  <c r="AC30" i="1"/>
  <c r="Y36" i="1" s="1"/>
  <c r="H30" i="39" l="1"/>
  <c r="H30" i="42"/>
  <c r="H29" i="41"/>
  <c r="H30" i="17"/>
  <c r="R30" i="39"/>
  <c r="R30" i="42"/>
  <c r="R29" i="41"/>
  <c r="R30" i="17"/>
  <c r="R29" i="39"/>
  <c r="R28" i="41"/>
  <c r="R29" i="42"/>
  <c r="R29" i="17"/>
  <c r="F31" i="42"/>
  <c r="F32" i="42"/>
  <c r="G31" i="17"/>
  <c r="G32" i="17"/>
  <c r="G32" i="42"/>
  <c r="G31" i="42"/>
  <c r="G31" i="41"/>
  <c r="G30" i="41"/>
  <c r="D31" i="17"/>
  <c r="D32" i="17"/>
  <c r="F32" i="17"/>
  <c r="F31" i="17"/>
  <c r="G32" i="39"/>
  <c r="G31" i="39"/>
  <c r="D32" i="39"/>
  <c r="D31" i="39"/>
  <c r="F30" i="41"/>
  <c r="F31" i="41"/>
  <c r="F31" i="39"/>
  <c r="F32" i="39"/>
  <c r="D31" i="41"/>
  <c r="D30" i="41"/>
  <c r="D31" i="42"/>
  <c r="D32" i="42"/>
  <c r="V6" i="17"/>
  <c r="V5" i="17"/>
  <c r="AE4" i="17"/>
  <c r="AD4" i="17"/>
  <c r="AC4" i="17"/>
  <c r="AB4" i="17"/>
  <c r="B3" i="37"/>
  <c r="S26" i="37" l="1"/>
  <c r="E27" i="37"/>
  <c r="W27" i="37" s="1"/>
  <c r="I27" i="37"/>
  <c r="S28" i="37"/>
  <c r="E29" i="37"/>
  <c r="W29" i="37" s="1"/>
  <c r="S25" i="37"/>
  <c r="E26" i="37"/>
  <c r="W26" i="37" s="1"/>
  <c r="I26" i="37"/>
  <c r="I28" i="37"/>
  <c r="S29" i="37"/>
  <c r="E30" i="37"/>
  <c r="W30" i="37" s="1"/>
  <c r="E25" i="37"/>
  <c r="W25" i="37" s="1"/>
  <c r="I25" i="37"/>
  <c r="I29" i="37"/>
  <c r="S30" i="37"/>
  <c r="S27" i="37"/>
  <c r="I30" i="37"/>
  <c r="E28" i="37"/>
  <c r="W28" i="37" s="1"/>
  <c r="N25" i="37"/>
  <c r="N26" i="37"/>
  <c r="N27" i="37"/>
  <c r="N28" i="37"/>
  <c r="N29" i="37"/>
  <c r="N30" i="37"/>
  <c r="E5" i="37"/>
  <c r="N5" i="37"/>
  <c r="N7" i="37"/>
  <c r="S5" i="37"/>
  <c r="N8" i="37"/>
  <c r="I7" i="37"/>
  <c r="I11" i="37"/>
  <c r="I15" i="37"/>
  <c r="I19" i="37"/>
  <c r="I23" i="37"/>
  <c r="I17" i="37"/>
  <c r="S7" i="37"/>
  <c r="S9" i="37"/>
  <c r="S11" i="37"/>
  <c r="S13" i="37"/>
  <c r="S15" i="37"/>
  <c r="S17" i="37"/>
  <c r="S19" i="37"/>
  <c r="S21" i="37"/>
  <c r="S23" i="37"/>
  <c r="I8" i="37"/>
  <c r="I12" i="37"/>
  <c r="I16" i="37"/>
  <c r="I20" i="37"/>
  <c r="I24" i="37"/>
  <c r="N6" i="37"/>
  <c r="I13" i="37"/>
  <c r="S6" i="37"/>
  <c r="S8" i="37"/>
  <c r="S10" i="37"/>
  <c r="S14" i="37"/>
  <c r="S16" i="37"/>
  <c r="S18" i="37"/>
  <c r="S20" i="37"/>
  <c r="S22" i="37"/>
  <c r="S24" i="37"/>
  <c r="I6" i="37"/>
  <c r="I10" i="37"/>
  <c r="I14" i="37"/>
  <c r="I18" i="37"/>
  <c r="I22" i="37"/>
  <c r="I5" i="37"/>
  <c r="I9" i="37"/>
  <c r="I21" i="37"/>
  <c r="N10" i="37"/>
  <c r="N9" i="37"/>
  <c r="N11" i="37"/>
  <c r="N12" i="37"/>
  <c r="N13" i="37"/>
  <c r="N14" i="37"/>
  <c r="N15" i="37"/>
  <c r="N16" i="37"/>
  <c r="N17" i="37"/>
  <c r="N18" i="37"/>
  <c r="N19" i="37"/>
  <c r="N20" i="37"/>
  <c r="N21" i="37"/>
  <c r="N22" i="37"/>
  <c r="N23" i="37"/>
  <c r="N24" i="37"/>
  <c r="E23" i="37"/>
  <c r="E24" i="37"/>
  <c r="E7" i="37"/>
  <c r="W7" i="37" s="1"/>
  <c r="E6" i="37"/>
  <c r="E8" i="37"/>
  <c r="E9" i="37"/>
  <c r="E12" i="37"/>
  <c r="E13" i="37"/>
  <c r="E16" i="37"/>
  <c r="E17" i="37"/>
  <c r="E20" i="37"/>
  <c r="E21" i="37"/>
  <c r="E19" i="37"/>
  <c r="E22" i="37"/>
  <c r="E18" i="37"/>
  <c r="E10" i="37"/>
  <c r="E15" i="37"/>
  <c r="E11" i="37"/>
  <c r="E14" i="37"/>
  <c r="W24" i="37" l="1"/>
  <c r="W23" i="37"/>
  <c r="W17" i="37"/>
  <c r="W22" i="37"/>
  <c r="W20" i="37"/>
  <c r="W16" i="37"/>
  <c r="W12" i="37"/>
  <c r="W8" i="37"/>
  <c r="W5" i="37"/>
  <c r="W21" i="37"/>
  <c r="W9" i="37"/>
  <c r="W14" i="37"/>
  <c r="W15" i="37"/>
  <c r="W10" i="37"/>
  <c r="W18" i="37"/>
  <c r="W19" i="37"/>
  <c r="W6" i="37"/>
  <c r="W13" i="37"/>
  <c r="W11" i="37"/>
  <c r="J12" i="14"/>
  <c r="E22" i="1"/>
  <c r="AI22" i="1" s="1"/>
  <c r="E21" i="1"/>
  <c r="AI21" i="1" s="1"/>
  <c r="E18" i="1"/>
  <c r="D13" i="1"/>
  <c r="D12" i="1" s="1"/>
  <c r="D11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E39" i="2" l="1"/>
  <c r="O18" i="1"/>
  <c r="K18" i="1"/>
  <c r="G18" i="1"/>
  <c r="O21" i="1"/>
  <c r="K21" i="1"/>
  <c r="G21" i="1"/>
  <c r="O22" i="1"/>
  <c r="G22" i="1"/>
  <c r="K22" i="1"/>
  <c r="AB18" i="1"/>
  <c r="AD18" i="1" s="1"/>
  <c r="U18" i="1"/>
  <c r="X18" i="1" s="1"/>
  <c r="AB21" i="1"/>
  <c r="AD21" i="1" s="1"/>
  <c r="U21" i="1"/>
  <c r="X21" i="1" s="1"/>
  <c r="AB22" i="1"/>
  <c r="AD22" i="1" s="1"/>
  <c r="U22" i="1"/>
  <c r="X22" i="1" s="1"/>
  <c r="S22" i="1"/>
  <c r="S21" i="1"/>
  <c r="S18" i="1"/>
  <c r="E17" i="1"/>
  <c r="E14" i="1"/>
  <c r="E15" i="1"/>
  <c r="E20" i="1"/>
  <c r="E16" i="1"/>
  <c r="E19" i="1"/>
  <c r="E23" i="1"/>
  <c r="AI23" i="1" s="1"/>
  <c r="E11" i="1"/>
  <c r="D10" i="1"/>
  <c r="E6" i="1"/>
  <c r="S6" i="1" s="1"/>
  <c r="C5" i="14"/>
  <c r="AI18" i="1"/>
  <c r="E13" i="1"/>
  <c r="E12" i="1"/>
  <c r="F24" i="2" l="1"/>
  <c r="C25" i="2"/>
  <c r="I25" i="2"/>
  <c r="F26" i="2"/>
  <c r="C27" i="2"/>
  <c r="I27" i="2"/>
  <c r="F28" i="2"/>
  <c r="C29" i="2"/>
  <c r="I29" i="2"/>
  <c r="L24" i="2"/>
  <c r="P24" i="2"/>
  <c r="L26" i="2"/>
  <c r="P26" i="2"/>
  <c r="L28" i="2"/>
  <c r="P28" i="2"/>
  <c r="P27" i="2"/>
  <c r="P29" i="2"/>
  <c r="C24" i="2"/>
  <c r="I24" i="2"/>
  <c r="F25" i="2"/>
  <c r="C26" i="2"/>
  <c r="I26" i="2"/>
  <c r="F27" i="2"/>
  <c r="C28" i="2"/>
  <c r="I28" i="2"/>
  <c r="F29" i="2"/>
  <c r="T26" i="2"/>
  <c r="L25" i="2"/>
  <c r="P25" i="2"/>
  <c r="L27" i="2"/>
  <c r="L29" i="2"/>
  <c r="T24" i="2"/>
  <c r="T25" i="2"/>
  <c r="T27" i="2"/>
  <c r="T28" i="2"/>
  <c r="T29" i="2"/>
  <c r="AA97" i="26"/>
  <c r="AA64" i="26"/>
  <c r="AA31" i="26"/>
  <c r="J23" i="39"/>
  <c r="J19" i="39"/>
  <c r="N19" i="39"/>
  <c r="N23" i="39"/>
  <c r="AA98" i="26"/>
  <c r="AA65" i="26"/>
  <c r="AA32" i="26"/>
  <c r="J22" i="39"/>
  <c r="AA94" i="26"/>
  <c r="AA61" i="26"/>
  <c r="AA28" i="26"/>
  <c r="N22" i="39"/>
  <c r="C6" i="2"/>
  <c r="P8" i="2"/>
  <c r="P12" i="2"/>
  <c r="P16" i="2"/>
  <c r="P20" i="2"/>
  <c r="P5" i="2"/>
  <c r="P9" i="2"/>
  <c r="P13" i="2"/>
  <c r="P21" i="2"/>
  <c r="P4" i="2"/>
  <c r="P17" i="2"/>
  <c r="P6" i="2"/>
  <c r="P10" i="2"/>
  <c r="P14" i="2"/>
  <c r="P18" i="2"/>
  <c r="P22" i="2"/>
  <c r="L4" i="2"/>
  <c r="P11" i="2"/>
  <c r="P15" i="2"/>
  <c r="P19" i="2"/>
  <c r="P7" i="2"/>
  <c r="P23" i="2"/>
  <c r="O11" i="1"/>
  <c r="U11" i="1"/>
  <c r="X11" i="1" s="1"/>
  <c r="S11" i="1"/>
  <c r="F4" i="2"/>
  <c r="C5" i="2"/>
  <c r="T4" i="2"/>
  <c r="F5" i="2"/>
  <c r="I5" i="2"/>
  <c r="I4" i="2"/>
  <c r="C4" i="2"/>
  <c r="L5" i="2"/>
  <c r="T5" i="2"/>
  <c r="O12" i="1"/>
  <c r="U12" i="1"/>
  <c r="X12" i="1" s="1"/>
  <c r="S12" i="1"/>
  <c r="AB6" i="1"/>
  <c r="AD6" i="1" s="1"/>
  <c r="O6" i="1"/>
  <c r="U6" i="1"/>
  <c r="X6" i="1" s="1"/>
  <c r="K6" i="1"/>
  <c r="G6" i="1"/>
  <c r="M6" i="1"/>
  <c r="I6" i="1"/>
  <c r="L6" i="2"/>
  <c r="I15" i="2"/>
  <c r="L22" i="2"/>
  <c r="I18" i="2"/>
  <c r="I9" i="2"/>
  <c r="L21" i="2"/>
  <c r="L8" i="2"/>
  <c r="L18" i="2"/>
  <c r="L17" i="2"/>
  <c r="I16" i="2"/>
  <c r="I19" i="2"/>
  <c r="I22" i="2"/>
  <c r="I21" i="2"/>
  <c r="L15" i="2"/>
  <c r="I11" i="2"/>
  <c r="L14" i="2"/>
  <c r="I14" i="2"/>
  <c r="L13" i="2"/>
  <c r="I12" i="2"/>
  <c r="I23" i="2"/>
  <c r="I7" i="2"/>
  <c r="L10" i="2"/>
  <c r="I10" i="2"/>
  <c r="I6" i="2"/>
  <c r="L12" i="2"/>
  <c r="L19" i="2"/>
  <c r="Q6" i="41"/>
  <c r="Q7" i="39"/>
  <c r="Q7" i="17"/>
  <c r="I17" i="2"/>
  <c r="L20" i="2"/>
  <c r="I8" i="2"/>
  <c r="L11" i="2"/>
  <c r="F6" i="2"/>
  <c r="I13" i="2"/>
  <c r="L16" i="2"/>
  <c r="I20" i="2"/>
  <c r="L23" i="2"/>
  <c r="L7" i="2"/>
  <c r="AI15" i="1"/>
  <c r="O13" i="1"/>
  <c r="K13" i="1"/>
  <c r="G13" i="1"/>
  <c r="G12" i="1"/>
  <c r="K12" i="1"/>
  <c r="O15" i="1"/>
  <c r="K15" i="1"/>
  <c r="G15" i="1"/>
  <c r="O14" i="1"/>
  <c r="G14" i="1"/>
  <c r="K14" i="1"/>
  <c r="O23" i="1"/>
  <c r="G23" i="1"/>
  <c r="K23" i="1"/>
  <c r="O20" i="1"/>
  <c r="G20" i="1"/>
  <c r="K20" i="1"/>
  <c r="O17" i="1"/>
  <c r="K17" i="1"/>
  <c r="G17" i="1"/>
  <c r="O16" i="1"/>
  <c r="G16" i="1"/>
  <c r="K16" i="1"/>
  <c r="G11" i="1"/>
  <c r="K11" i="1"/>
  <c r="O19" i="1"/>
  <c r="K19" i="1"/>
  <c r="G19" i="1"/>
  <c r="AB13" i="1"/>
  <c r="AD13" i="1" s="1"/>
  <c r="U13" i="1"/>
  <c r="X13" i="1" s="1"/>
  <c r="AB16" i="1"/>
  <c r="AD16" i="1" s="1"/>
  <c r="U16" i="1"/>
  <c r="X16" i="1" s="1"/>
  <c r="AB12" i="1"/>
  <c r="AD12" i="1" s="1"/>
  <c r="AB15" i="1"/>
  <c r="AD15" i="1" s="1"/>
  <c r="U15" i="1"/>
  <c r="X15" i="1" s="1"/>
  <c r="AB14" i="1"/>
  <c r="AD14" i="1" s="1"/>
  <c r="U14" i="1"/>
  <c r="X14" i="1" s="1"/>
  <c r="AB11" i="1"/>
  <c r="AD11" i="1" s="1"/>
  <c r="AB19" i="1"/>
  <c r="AD19" i="1" s="1"/>
  <c r="U19" i="1"/>
  <c r="X19" i="1" s="1"/>
  <c r="AB23" i="1"/>
  <c r="AD23" i="1" s="1"/>
  <c r="U23" i="1"/>
  <c r="X23" i="1" s="1"/>
  <c r="AB20" i="1"/>
  <c r="AD20" i="1" s="1"/>
  <c r="U20" i="1"/>
  <c r="X20" i="1" s="1"/>
  <c r="AB17" i="1"/>
  <c r="AD17" i="1" s="1"/>
  <c r="U17" i="1"/>
  <c r="X17" i="1" s="1"/>
  <c r="S15" i="1"/>
  <c r="S14" i="1"/>
  <c r="S19" i="1"/>
  <c r="AI16" i="1"/>
  <c r="S16" i="1"/>
  <c r="S13" i="1"/>
  <c r="S23" i="1"/>
  <c r="AI20" i="1"/>
  <c r="S20" i="1"/>
  <c r="S17" i="1"/>
  <c r="AI19" i="1"/>
  <c r="C8" i="2"/>
  <c r="D5" i="14"/>
  <c r="F5" i="14"/>
  <c r="E5" i="14"/>
  <c r="B5" i="14"/>
  <c r="F7" i="2"/>
  <c r="T6" i="2"/>
  <c r="AI14" i="1"/>
  <c r="AI17" i="1"/>
  <c r="C7" i="2"/>
  <c r="AH10" i="1"/>
  <c r="AJ10" i="1" s="1"/>
  <c r="E10" i="1"/>
  <c r="N21" i="39" l="1"/>
  <c r="N13" i="39"/>
  <c r="AA92" i="26"/>
  <c r="AA26" i="26"/>
  <c r="AA59" i="26"/>
  <c r="AA95" i="26"/>
  <c r="AA62" i="26"/>
  <c r="AA29" i="26"/>
  <c r="J16" i="39"/>
  <c r="J24" i="39"/>
  <c r="N16" i="39"/>
  <c r="AA93" i="26"/>
  <c r="AA60" i="26"/>
  <c r="AA27" i="26"/>
  <c r="N18" i="39"/>
  <c r="N24" i="39"/>
  <c r="J15" i="39"/>
  <c r="I46" i="39" s="1"/>
  <c r="N17" i="39"/>
  <c r="J7" i="39"/>
  <c r="J13" i="39"/>
  <c r="J12" i="39"/>
  <c r="AA57" i="26"/>
  <c r="AA90" i="26"/>
  <c r="AA24" i="26"/>
  <c r="N20" i="39"/>
  <c r="N14" i="39"/>
  <c r="AA91" i="26"/>
  <c r="AA58" i="26"/>
  <c r="AA25" i="26"/>
  <c r="N7" i="39"/>
  <c r="J18" i="39"/>
  <c r="N12" i="39"/>
  <c r="J17" i="39"/>
  <c r="AA99" i="26"/>
  <c r="AA33" i="26"/>
  <c r="AA66" i="26"/>
  <c r="AA96" i="26"/>
  <c r="AA63" i="26"/>
  <c r="AA30" i="26"/>
  <c r="J21" i="39"/>
  <c r="J20" i="39"/>
  <c r="N15" i="39"/>
  <c r="M46" i="39" s="1"/>
  <c r="J14" i="39"/>
  <c r="I32" i="2"/>
  <c r="O36" i="2" s="1"/>
  <c r="P32" i="2"/>
  <c r="Q36" i="2" s="1"/>
  <c r="U10" i="1"/>
  <c r="X10" i="1" s="1"/>
  <c r="O10" i="1"/>
  <c r="S10" i="1"/>
  <c r="AJ6" i="1"/>
  <c r="Q7" i="41"/>
  <c r="Q8" i="39"/>
  <c r="Q8" i="17"/>
  <c r="G10" i="1"/>
  <c r="K10" i="1"/>
  <c r="AB10" i="1"/>
  <c r="AD10" i="1" s="1"/>
  <c r="F8" i="2"/>
  <c r="T7" i="2"/>
  <c r="D8" i="1"/>
  <c r="E9" i="1"/>
  <c r="AH11" i="1"/>
  <c r="AJ11" i="1" s="1"/>
  <c r="J11" i="39" l="1"/>
  <c r="N11" i="39"/>
  <c r="AI6" i="1"/>
  <c r="AL6" i="1"/>
  <c r="AB9" i="1"/>
  <c r="AD9" i="1" s="1"/>
  <c r="O9" i="1"/>
  <c r="U9" i="1"/>
  <c r="X9" i="1" s="1"/>
  <c r="S9" i="1"/>
  <c r="AI9" i="1"/>
  <c r="K9" i="1"/>
  <c r="M9" i="1"/>
  <c r="Q8" i="41"/>
  <c r="Q9" i="39"/>
  <c r="Q9" i="17"/>
  <c r="G9" i="1"/>
  <c r="C10" i="2"/>
  <c r="I9" i="1"/>
  <c r="T8" i="2"/>
  <c r="C9" i="2"/>
  <c r="F9" i="2"/>
  <c r="AI10" i="1"/>
  <c r="E8" i="1"/>
  <c r="E7" i="1"/>
  <c r="I10" i="1"/>
  <c r="AH12" i="1"/>
  <c r="AJ12" i="1" s="1"/>
  <c r="AI11" i="1"/>
  <c r="AA85" i="26" l="1"/>
  <c r="AA52" i="26"/>
  <c r="AA19" i="26"/>
  <c r="J10" i="39"/>
  <c r="AA49" i="26"/>
  <c r="AA82" i="26"/>
  <c r="AA16" i="26"/>
  <c r="AA86" i="26"/>
  <c r="AA53" i="26"/>
  <c r="AA20" i="26"/>
  <c r="AA87" i="26"/>
  <c r="AA54" i="26"/>
  <c r="AA21" i="26"/>
  <c r="N10" i="39"/>
  <c r="U7" i="1"/>
  <c r="X7" i="1" s="1"/>
  <c r="AB7" i="1"/>
  <c r="AD7" i="1" s="1"/>
  <c r="O7" i="1"/>
  <c r="S7" i="1"/>
  <c r="AI7" i="1"/>
  <c r="E30" i="1"/>
  <c r="T38" i="1" s="1"/>
  <c r="AB8" i="1"/>
  <c r="AD8" i="1" s="1"/>
  <c r="U8" i="1"/>
  <c r="X8" i="1" s="1"/>
  <c r="O8" i="1"/>
  <c r="S8" i="1"/>
  <c r="AI8" i="1"/>
  <c r="K7" i="1"/>
  <c r="M7" i="1"/>
  <c r="Q9" i="41"/>
  <c r="Q10" i="39"/>
  <c r="Q10" i="17"/>
  <c r="G8" i="1"/>
  <c r="K8" i="1"/>
  <c r="G7" i="1"/>
  <c r="F10" i="2"/>
  <c r="C11" i="2"/>
  <c r="T9" i="2"/>
  <c r="I11" i="1"/>
  <c r="AH13" i="1"/>
  <c r="AI12" i="1"/>
  <c r="M8" i="1"/>
  <c r="I8" i="1"/>
  <c r="I7" i="1"/>
  <c r="AK10" i="1"/>
  <c r="M10" i="1"/>
  <c r="Q11" i="42" l="1"/>
  <c r="AB86" i="26"/>
  <c r="AB53" i="26"/>
  <c r="AB20" i="26"/>
  <c r="AA83" i="26"/>
  <c r="AA50" i="26"/>
  <c r="AA17" i="26"/>
  <c r="J8" i="39"/>
  <c r="J9" i="39"/>
  <c r="AA88" i="26"/>
  <c r="AA55" i="26"/>
  <c r="AA22" i="26"/>
  <c r="AA84" i="26"/>
  <c r="AA18" i="26"/>
  <c r="AA51" i="26"/>
  <c r="N8" i="39"/>
  <c r="AD30" i="1"/>
  <c r="N9" i="39"/>
  <c r="O30" i="1"/>
  <c r="G30" i="1"/>
  <c r="AB30" i="1"/>
  <c r="K30" i="1"/>
  <c r="U30" i="1"/>
  <c r="S30" i="1"/>
  <c r="W37" i="1" s="1"/>
  <c r="AJ13" i="1"/>
  <c r="AJ30" i="1" s="1"/>
  <c r="Q10" i="41"/>
  <c r="Q11" i="39"/>
  <c r="Q11" i="17"/>
  <c r="AL10" i="1"/>
  <c r="F11" i="2"/>
  <c r="C12" i="2"/>
  <c r="T10" i="2"/>
  <c r="AK11" i="1"/>
  <c r="M11" i="1"/>
  <c r="I12" i="1"/>
  <c r="Q12" i="42" l="1"/>
  <c r="AB54" i="26"/>
  <c r="AB87" i="26"/>
  <c r="AB21" i="26"/>
  <c r="AE30" i="1"/>
  <c r="Y37" i="1" s="1"/>
  <c r="X30" i="1"/>
  <c r="X37" i="1" s="1"/>
  <c r="W38" i="1"/>
  <c r="W39" i="1" s="1"/>
  <c r="U38" i="1"/>
  <c r="Y38" i="1"/>
  <c r="X38" i="1"/>
  <c r="AI13" i="1"/>
  <c r="Q11" i="41"/>
  <c r="Q12" i="39"/>
  <c r="Q12" i="17"/>
  <c r="AL11" i="1"/>
  <c r="C13" i="2"/>
  <c r="F12" i="2"/>
  <c r="T11" i="2"/>
  <c r="AK12" i="1"/>
  <c r="M12" i="1"/>
  <c r="I13" i="1"/>
  <c r="Q13" i="42" l="1"/>
  <c r="AB88" i="26"/>
  <c r="AB55" i="26"/>
  <c r="AB22" i="26"/>
  <c r="AA89" i="26"/>
  <c r="AA56" i="26"/>
  <c r="AA23" i="26"/>
  <c r="X39" i="1"/>
  <c r="V38" i="1"/>
  <c r="Q12" i="41"/>
  <c r="Q13" i="39"/>
  <c r="Q13" i="17"/>
  <c r="AL12" i="1"/>
  <c r="F13" i="2"/>
  <c r="C14" i="2"/>
  <c r="T12" i="2"/>
  <c r="AK13" i="1"/>
  <c r="M13" i="1"/>
  <c r="I14" i="1"/>
  <c r="Q14" i="42" l="1"/>
  <c r="AB89" i="26"/>
  <c r="AB56" i="26"/>
  <c r="AB23" i="26"/>
  <c r="Y39" i="1"/>
  <c r="W40" i="1"/>
  <c r="W41" i="1"/>
  <c r="W42" i="1"/>
  <c r="Q13" i="41"/>
  <c r="Q14" i="39"/>
  <c r="Q14" i="17"/>
  <c r="AL13" i="1"/>
  <c r="C15" i="2"/>
  <c r="F14" i="2"/>
  <c r="T13" i="2"/>
  <c r="I15" i="1"/>
  <c r="AK14" i="1"/>
  <c r="M14" i="1"/>
  <c r="Q15" i="42" l="1"/>
  <c r="AB90" i="26"/>
  <c r="AB24" i="26"/>
  <c r="AB57" i="26"/>
  <c r="W43" i="1"/>
  <c r="Y40" i="1"/>
  <c r="Y42" i="1"/>
  <c r="Y41" i="1"/>
  <c r="Q14" i="41"/>
  <c r="Q15" i="39"/>
  <c r="Q15" i="17"/>
  <c r="AL14" i="1"/>
  <c r="F15" i="2"/>
  <c r="C16" i="2"/>
  <c r="T14" i="2"/>
  <c r="AK15" i="1"/>
  <c r="M15" i="1"/>
  <c r="I16" i="1"/>
  <c r="Q16" i="42" l="1"/>
  <c r="AB91" i="26"/>
  <c r="AB58" i="26"/>
  <c r="AB25" i="26"/>
  <c r="Y43" i="1"/>
  <c r="Q15" i="41"/>
  <c r="Q16" i="39"/>
  <c r="Q16" i="17"/>
  <c r="AL15" i="1"/>
  <c r="C17" i="2"/>
  <c r="F16" i="2"/>
  <c r="T15" i="2"/>
  <c r="I17" i="1"/>
  <c r="AK16" i="1"/>
  <c r="M16" i="1"/>
  <c r="Q17" i="42" l="1"/>
  <c r="AB92" i="26"/>
  <c r="AB59" i="26"/>
  <c r="AB26" i="26"/>
  <c r="Q16" i="41"/>
  <c r="Q17" i="39"/>
  <c r="Q17" i="17"/>
  <c r="AL16" i="1"/>
  <c r="C18" i="2"/>
  <c r="F17" i="2"/>
  <c r="T16" i="2"/>
  <c r="M17" i="1"/>
  <c r="AK17" i="1"/>
  <c r="I18" i="1"/>
  <c r="Q18" i="42" l="1"/>
  <c r="AB93" i="26"/>
  <c r="AB60" i="26"/>
  <c r="AB27" i="26"/>
  <c r="Q17" i="41"/>
  <c r="Q18" i="39"/>
  <c r="Q18" i="17"/>
  <c r="AL17" i="1"/>
  <c r="C19" i="2"/>
  <c r="F18" i="2"/>
  <c r="T17" i="2"/>
  <c r="I19" i="1"/>
  <c r="AK18" i="1"/>
  <c r="M18" i="1"/>
  <c r="Q19" i="42" l="1"/>
  <c r="AB94" i="26"/>
  <c r="AB28" i="26"/>
  <c r="AB61" i="26"/>
  <c r="Q18" i="41"/>
  <c r="Q19" i="39"/>
  <c r="Q19" i="17"/>
  <c r="AL18" i="1"/>
  <c r="F19" i="2"/>
  <c r="C20" i="2"/>
  <c r="T18" i="2"/>
  <c r="AK19" i="1"/>
  <c r="M19" i="1"/>
  <c r="I20" i="1"/>
  <c r="Q20" i="42" l="1"/>
  <c r="AB95" i="26"/>
  <c r="AB29" i="26"/>
  <c r="AB62" i="26"/>
  <c r="Q19" i="41"/>
  <c r="Q20" i="39"/>
  <c r="Q20" i="17"/>
  <c r="AL19" i="1"/>
  <c r="C21" i="2"/>
  <c r="F20" i="2"/>
  <c r="T19" i="2"/>
  <c r="AK20" i="1"/>
  <c r="M20" i="1"/>
  <c r="I21" i="1"/>
  <c r="Q21" i="42" l="1"/>
  <c r="AB96" i="26"/>
  <c r="AB63" i="26"/>
  <c r="AB30" i="26"/>
  <c r="Q20" i="41"/>
  <c r="Q21" i="39"/>
  <c r="Q21" i="17"/>
  <c r="AL20" i="1"/>
  <c r="F21" i="2"/>
  <c r="C22" i="2"/>
  <c r="T20" i="2"/>
  <c r="I22" i="1"/>
  <c r="M21" i="1"/>
  <c r="Q22" i="42" l="1"/>
  <c r="AB97" i="26"/>
  <c r="AB64" i="26"/>
  <c r="AB31" i="26"/>
  <c r="Q21" i="41"/>
  <c r="Q22" i="39"/>
  <c r="Q22" i="17"/>
  <c r="F22" i="2"/>
  <c r="C23" i="2"/>
  <c r="T21" i="2"/>
  <c r="I23" i="1"/>
  <c r="M22" i="1"/>
  <c r="Q23" i="42" l="1"/>
  <c r="AB98" i="26"/>
  <c r="AB32" i="26"/>
  <c r="AB65" i="26"/>
  <c r="Q22" i="41"/>
  <c r="Q23" i="39"/>
  <c r="Q23" i="17"/>
  <c r="F23" i="2"/>
  <c r="T22" i="2"/>
  <c r="M23" i="1"/>
  <c r="AB99" i="26" l="1"/>
  <c r="AB66" i="26"/>
  <c r="AB33" i="26"/>
  <c r="Q23" i="41"/>
  <c r="Q24" i="42"/>
  <c r="I30" i="1"/>
  <c r="C32" i="2"/>
  <c r="L36" i="2" s="1"/>
  <c r="Q24" i="39"/>
  <c r="Q24" i="17"/>
  <c r="T23" i="2"/>
  <c r="Q32" i="42" l="1"/>
  <c r="M30" i="1"/>
  <c r="AK30" i="1"/>
  <c r="F32" i="2"/>
  <c r="M36" i="2" s="1"/>
  <c r="T37" i="1"/>
  <c r="Q31" i="42" l="1"/>
  <c r="Q32" i="17"/>
  <c r="Q31" i="17"/>
  <c r="Q32" i="39"/>
  <c r="Q31" i="39"/>
  <c r="Q30" i="41"/>
  <c r="Q31" i="41"/>
  <c r="AL30" i="1"/>
  <c r="T32" i="2"/>
  <c r="N36" i="2" s="1"/>
  <c r="T39" i="1"/>
  <c r="T41" i="1" s="1"/>
  <c r="V36" i="1"/>
  <c r="U37" i="1"/>
  <c r="U39" i="1" l="1"/>
  <c r="T40" i="1"/>
  <c r="T42" i="1"/>
  <c r="V37" i="1"/>
  <c r="V39" i="1" s="1"/>
  <c r="V42" i="1" l="1"/>
  <c r="V40" i="1"/>
  <c r="T43" i="1"/>
  <c r="U40" i="1"/>
  <c r="U42" i="1"/>
  <c r="V41" i="1"/>
  <c r="U41" i="1"/>
  <c r="U43" i="1" l="1"/>
  <c r="V43" i="1"/>
  <c r="O25" i="3" l="1"/>
  <c r="E13" i="4"/>
  <c r="B4" i="37" s="1"/>
  <c r="B6" i="37"/>
  <c r="O25" i="37" l="1"/>
  <c r="O26" i="37"/>
  <c r="O27" i="37"/>
  <c r="O28" i="37"/>
  <c r="O29" i="37"/>
  <c r="O30" i="37"/>
  <c r="K25" i="37"/>
  <c r="L25" i="37" s="1"/>
  <c r="M25" i="37" s="1"/>
  <c r="T27" i="37"/>
  <c r="U27" i="37" s="1"/>
  <c r="V27" i="37" s="1"/>
  <c r="F28" i="37"/>
  <c r="K29" i="37"/>
  <c r="L29" i="37" s="1"/>
  <c r="M29" i="37" s="1"/>
  <c r="T26" i="37"/>
  <c r="U26" i="37" s="1"/>
  <c r="V26" i="37" s="1"/>
  <c r="F27" i="37"/>
  <c r="T28" i="37"/>
  <c r="U28" i="37" s="1"/>
  <c r="V28" i="37" s="1"/>
  <c r="F29" i="37"/>
  <c r="K30" i="37"/>
  <c r="L30" i="37" s="1"/>
  <c r="M30" i="37" s="1"/>
  <c r="T25" i="37"/>
  <c r="U25" i="37" s="1"/>
  <c r="V25" i="37" s="1"/>
  <c r="F26" i="37"/>
  <c r="K27" i="37"/>
  <c r="L27" i="37" s="1"/>
  <c r="M27" i="37" s="1"/>
  <c r="T29" i="37"/>
  <c r="U29" i="37" s="1"/>
  <c r="V29" i="37" s="1"/>
  <c r="F30" i="37"/>
  <c r="F25" i="37"/>
  <c r="K28" i="37"/>
  <c r="L28" i="37" s="1"/>
  <c r="M28" i="37" s="1"/>
  <c r="T30" i="37"/>
  <c r="U30" i="37" s="1"/>
  <c r="V30" i="37" s="1"/>
  <c r="K26" i="37"/>
  <c r="L26" i="37" s="1"/>
  <c r="M26" i="37" s="1"/>
  <c r="P30" i="37"/>
  <c r="P25" i="37"/>
  <c r="P26" i="37"/>
  <c r="P27" i="37"/>
  <c r="P28" i="37"/>
  <c r="P29" i="37"/>
  <c r="B16" i="3"/>
  <c r="C7" i="3"/>
  <c r="C16" i="3"/>
  <c r="E16" i="3"/>
  <c r="B7" i="3"/>
  <c r="D16" i="3"/>
  <c r="E7" i="3"/>
  <c r="D7" i="3"/>
  <c r="I7" i="3"/>
  <c r="K7" i="3"/>
  <c r="J7" i="3"/>
  <c r="L7" i="3"/>
  <c r="P5" i="37"/>
  <c r="P15" i="37"/>
  <c r="K8" i="37"/>
  <c r="L8" i="37" s="1"/>
  <c r="M8" i="37" s="1"/>
  <c r="K12" i="37"/>
  <c r="L12" i="37" s="1"/>
  <c r="M12" i="37" s="1"/>
  <c r="K16" i="37"/>
  <c r="L16" i="37" s="1"/>
  <c r="M16" i="37" s="1"/>
  <c r="K9" i="37"/>
  <c r="L9" i="37" s="1"/>
  <c r="M9" i="37" s="1"/>
  <c r="K13" i="37"/>
  <c r="L13" i="37" s="1"/>
  <c r="M13" i="37" s="1"/>
  <c r="K17" i="37"/>
  <c r="L17" i="37" s="1"/>
  <c r="M17" i="37" s="1"/>
  <c r="K21" i="37"/>
  <c r="L21" i="37" s="1"/>
  <c r="M21" i="37" s="1"/>
  <c r="K7" i="37"/>
  <c r="L7" i="37" s="1"/>
  <c r="M7" i="37" s="1"/>
  <c r="K15" i="37"/>
  <c r="L15" i="37" s="1"/>
  <c r="M15" i="37" s="1"/>
  <c r="K23" i="37"/>
  <c r="L23" i="37" s="1"/>
  <c r="M23" i="37" s="1"/>
  <c r="K24" i="37"/>
  <c r="L24" i="37" s="1"/>
  <c r="M24" i="37" s="1"/>
  <c r="K6" i="37"/>
  <c r="L6" i="37" s="1"/>
  <c r="M6" i="37" s="1"/>
  <c r="K10" i="37"/>
  <c r="L10" i="37" s="1"/>
  <c r="M10" i="37" s="1"/>
  <c r="K14" i="37"/>
  <c r="L14" i="37" s="1"/>
  <c r="M14" i="37" s="1"/>
  <c r="K18" i="37"/>
  <c r="L18" i="37" s="1"/>
  <c r="M18" i="37" s="1"/>
  <c r="K22" i="37"/>
  <c r="L22" i="37" s="1"/>
  <c r="M22" i="37" s="1"/>
  <c r="K5" i="37"/>
  <c r="L5" i="37" s="1"/>
  <c r="M5" i="37" s="1"/>
  <c r="K11" i="37"/>
  <c r="L11" i="37" s="1"/>
  <c r="M11" i="37" s="1"/>
  <c r="K19" i="37"/>
  <c r="L19" i="37" s="1"/>
  <c r="M19" i="37" s="1"/>
  <c r="K20" i="37"/>
  <c r="L20" i="37" s="1"/>
  <c r="M20" i="37" s="1"/>
  <c r="F6" i="37"/>
  <c r="F10" i="37"/>
  <c r="F14" i="37"/>
  <c r="F18" i="37"/>
  <c r="F22" i="37"/>
  <c r="F5" i="37"/>
  <c r="F19" i="37"/>
  <c r="F8" i="37"/>
  <c r="F12" i="37"/>
  <c r="F20" i="37"/>
  <c r="F13" i="37"/>
  <c r="F7" i="37"/>
  <c r="F11" i="37"/>
  <c r="F15" i="37"/>
  <c r="F23" i="37"/>
  <c r="F16" i="37"/>
  <c r="F24" i="37"/>
  <c r="F9" i="37"/>
  <c r="F17" i="37"/>
  <c r="F21" i="37"/>
  <c r="T6" i="37"/>
  <c r="U6" i="37" s="1"/>
  <c r="V6" i="37" s="1"/>
  <c r="T8" i="37"/>
  <c r="U8" i="37" s="1"/>
  <c r="V8" i="37" s="1"/>
  <c r="T10" i="37"/>
  <c r="T12" i="37"/>
  <c r="T14" i="37"/>
  <c r="U14" i="37" s="1"/>
  <c r="V14" i="37" s="1"/>
  <c r="T16" i="37"/>
  <c r="U16" i="37" s="1"/>
  <c r="V16" i="37" s="1"/>
  <c r="T18" i="37"/>
  <c r="U18" i="37" s="1"/>
  <c r="V18" i="37" s="1"/>
  <c r="T20" i="37"/>
  <c r="U20" i="37" s="1"/>
  <c r="V20" i="37" s="1"/>
  <c r="T22" i="37"/>
  <c r="U22" i="37" s="1"/>
  <c r="V22" i="37" s="1"/>
  <c r="T24" i="37"/>
  <c r="U24" i="37" s="1"/>
  <c r="V24" i="37" s="1"/>
  <c r="T7" i="37"/>
  <c r="U7" i="37" s="1"/>
  <c r="V7" i="37" s="1"/>
  <c r="T11" i="37"/>
  <c r="U11" i="37" s="1"/>
  <c r="V11" i="37" s="1"/>
  <c r="T13" i="37"/>
  <c r="U13" i="37" s="1"/>
  <c r="V13" i="37" s="1"/>
  <c r="T15" i="37"/>
  <c r="U15" i="37" s="1"/>
  <c r="V15" i="37" s="1"/>
  <c r="T17" i="37"/>
  <c r="U17" i="37" s="1"/>
  <c r="V17" i="37" s="1"/>
  <c r="T19" i="37"/>
  <c r="U19" i="37" s="1"/>
  <c r="V19" i="37" s="1"/>
  <c r="T21" i="37"/>
  <c r="U21" i="37" s="1"/>
  <c r="V21" i="37" s="1"/>
  <c r="P7" i="37"/>
  <c r="P6" i="37"/>
  <c r="T9" i="37"/>
  <c r="U9" i="37" s="1"/>
  <c r="V9" i="37" s="1"/>
  <c r="T23" i="37"/>
  <c r="U23" i="37" s="1"/>
  <c r="V23" i="37" s="1"/>
  <c r="T5" i="37"/>
  <c r="U5" i="37" s="1"/>
  <c r="V5" i="37" s="1"/>
  <c r="P8" i="37"/>
  <c r="P9" i="37"/>
  <c r="P10" i="37"/>
  <c r="P11" i="37"/>
  <c r="P13" i="37"/>
  <c r="P14" i="37"/>
  <c r="P12" i="37"/>
  <c r="P16" i="37"/>
  <c r="P17" i="37"/>
  <c r="P18" i="37"/>
  <c r="P19" i="37"/>
  <c r="P20" i="37"/>
  <c r="P21" i="37"/>
  <c r="P22" i="37"/>
  <c r="P23" i="37"/>
  <c r="P24" i="37"/>
  <c r="O8" i="37"/>
  <c r="O12" i="37"/>
  <c r="O16" i="37"/>
  <c r="O20" i="37"/>
  <c r="O24" i="37"/>
  <c r="O6" i="37"/>
  <c r="O18" i="37"/>
  <c r="O9" i="37"/>
  <c r="O13" i="37"/>
  <c r="O17" i="37"/>
  <c r="O21" i="37"/>
  <c r="O14" i="37"/>
  <c r="O5" i="37"/>
  <c r="O7" i="37"/>
  <c r="O11" i="37"/>
  <c r="O15" i="37"/>
  <c r="O19" i="37"/>
  <c r="O23" i="37"/>
  <c r="O10" i="37"/>
  <c r="O22" i="37"/>
  <c r="Q28" i="37" l="1"/>
  <c r="R28" i="37" s="1"/>
  <c r="Q30" i="37"/>
  <c r="R30" i="37" s="1"/>
  <c r="G30" i="37"/>
  <c r="H30" i="37" s="1"/>
  <c r="X30" i="37"/>
  <c r="Y30" i="37" s="1"/>
  <c r="Z30" i="37" s="1"/>
  <c r="G27" i="37"/>
  <c r="H27" i="37" s="1"/>
  <c r="X27" i="37"/>
  <c r="Y27" i="37" s="1"/>
  <c r="Z27" i="37" s="1"/>
  <c r="Q27" i="37"/>
  <c r="R27" i="37" s="1"/>
  <c r="G29" i="37"/>
  <c r="H29" i="37" s="1"/>
  <c r="X29" i="37"/>
  <c r="Y29" i="37" s="1"/>
  <c r="Z29" i="37" s="1"/>
  <c r="Q26" i="37"/>
  <c r="R26" i="37" s="1"/>
  <c r="G25" i="37"/>
  <c r="H25" i="37" s="1"/>
  <c r="X25" i="37"/>
  <c r="Y25" i="37" s="1"/>
  <c r="Z25" i="37" s="1"/>
  <c r="G26" i="37"/>
  <c r="H26" i="37" s="1"/>
  <c r="X26" i="37"/>
  <c r="Y26" i="37" s="1"/>
  <c r="Z26" i="37" s="1"/>
  <c r="G28" i="37"/>
  <c r="H28" i="37" s="1"/>
  <c r="X28" i="37"/>
  <c r="Y28" i="37" s="1"/>
  <c r="Z28" i="37" s="1"/>
  <c r="Q29" i="37"/>
  <c r="R29" i="37" s="1"/>
  <c r="Q25" i="37"/>
  <c r="R25" i="37" s="1"/>
  <c r="G21" i="37"/>
  <c r="H21" i="37" s="1"/>
  <c r="X21" i="37"/>
  <c r="Y21" i="37" s="1"/>
  <c r="Z21" i="37" s="1"/>
  <c r="G16" i="37"/>
  <c r="H16" i="37" s="1"/>
  <c r="X16" i="37"/>
  <c r="Y16" i="37" s="1"/>
  <c r="Z16" i="37" s="1"/>
  <c r="G7" i="37"/>
  <c r="H7" i="37" s="1"/>
  <c r="X7" i="37"/>
  <c r="Y7" i="37" s="1"/>
  <c r="Z7" i="37" s="1"/>
  <c r="G12" i="37"/>
  <c r="H12" i="37" s="1"/>
  <c r="X12" i="37"/>
  <c r="Y12" i="37" s="1"/>
  <c r="Z12" i="37" s="1"/>
  <c r="G22" i="37"/>
  <c r="H22" i="37" s="1"/>
  <c r="X22" i="37"/>
  <c r="Y22" i="37" s="1"/>
  <c r="Z22" i="37" s="1"/>
  <c r="G6" i="37"/>
  <c r="H6" i="37" s="1"/>
  <c r="X6" i="37"/>
  <c r="Y6" i="37" s="1"/>
  <c r="Z6" i="37" s="1"/>
  <c r="G17" i="37"/>
  <c r="H17" i="37" s="1"/>
  <c r="X17" i="37"/>
  <c r="Y17" i="37" s="1"/>
  <c r="Z17" i="37" s="1"/>
  <c r="G23" i="37"/>
  <c r="H23" i="37" s="1"/>
  <c r="X23" i="37"/>
  <c r="Y23" i="37" s="1"/>
  <c r="Z23" i="37" s="1"/>
  <c r="G8" i="37"/>
  <c r="H8" i="37" s="1"/>
  <c r="X8" i="37"/>
  <c r="Y8" i="37" s="1"/>
  <c r="Z8" i="37" s="1"/>
  <c r="G18" i="37"/>
  <c r="H18" i="37" s="1"/>
  <c r="X18" i="37"/>
  <c r="Y18" i="37" s="1"/>
  <c r="Z18" i="37" s="1"/>
  <c r="G9" i="37"/>
  <c r="H9" i="37" s="1"/>
  <c r="X9" i="37"/>
  <c r="Y9" i="37" s="1"/>
  <c r="Z9" i="37" s="1"/>
  <c r="G15" i="37"/>
  <c r="H15" i="37" s="1"/>
  <c r="X15" i="37"/>
  <c r="Y15" i="37" s="1"/>
  <c r="Z15" i="37" s="1"/>
  <c r="G13" i="37"/>
  <c r="H13" i="37" s="1"/>
  <c r="X13" i="37"/>
  <c r="Y13" i="37" s="1"/>
  <c r="Z13" i="37" s="1"/>
  <c r="G19" i="37"/>
  <c r="H19" i="37" s="1"/>
  <c r="X19" i="37"/>
  <c r="Y19" i="37" s="1"/>
  <c r="Z19" i="37" s="1"/>
  <c r="G14" i="37"/>
  <c r="H14" i="37" s="1"/>
  <c r="X14" i="37"/>
  <c r="Y14" i="37" s="1"/>
  <c r="Z14" i="37" s="1"/>
  <c r="G24" i="37"/>
  <c r="H24" i="37" s="1"/>
  <c r="X24" i="37"/>
  <c r="Y24" i="37" s="1"/>
  <c r="Z24" i="37" s="1"/>
  <c r="G11" i="37"/>
  <c r="H11" i="37" s="1"/>
  <c r="X11" i="37"/>
  <c r="Y11" i="37" s="1"/>
  <c r="Z11" i="37" s="1"/>
  <c r="G20" i="37"/>
  <c r="H20" i="37" s="1"/>
  <c r="X20" i="37"/>
  <c r="Y20" i="37" s="1"/>
  <c r="Z20" i="37" s="1"/>
  <c r="G5" i="37"/>
  <c r="H5" i="37" s="1"/>
  <c r="X5" i="37"/>
  <c r="Y5" i="37" s="1"/>
  <c r="Z5" i="37" s="1"/>
  <c r="G10" i="37"/>
  <c r="H10" i="37" s="1"/>
  <c r="X10" i="37"/>
  <c r="Y10" i="37" s="1"/>
  <c r="Z10" i="37" s="1"/>
  <c r="Q19" i="37"/>
  <c r="R19" i="37" s="1"/>
  <c r="M31" i="37"/>
  <c r="Q24" i="37"/>
  <c r="R24" i="37" s="1"/>
  <c r="Q11" i="37"/>
  <c r="R11" i="37" s="1"/>
  <c r="Q7" i="37"/>
  <c r="R7" i="37" s="1"/>
  <c r="Q23" i="37"/>
  <c r="R23" i="37" s="1"/>
  <c r="Q10" i="37"/>
  <c r="R10" i="37" s="1"/>
  <c r="Q20" i="37"/>
  <c r="R20" i="37" s="1"/>
  <c r="Q16" i="37"/>
  <c r="R16" i="37" s="1"/>
  <c r="Q9" i="37"/>
  <c r="R9" i="37" s="1"/>
  <c r="Q13" i="37"/>
  <c r="R13" i="37" s="1"/>
  <c r="Q22" i="37"/>
  <c r="R22" i="37" s="1"/>
  <c r="Q21" i="37"/>
  <c r="R21" i="37" s="1"/>
  <c r="Q17" i="37"/>
  <c r="R17" i="37" s="1"/>
  <c r="Q6" i="37"/>
  <c r="R6" i="37" s="1"/>
  <c r="Q8" i="37"/>
  <c r="R8" i="37" s="1"/>
  <c r="Q5" i="37"/>
  <c r="R5" i="37" s="1"/>
  <c r="Q15" i="37"/>
  <c r="R15" i="37" s="1"/>
  <c r="Q12" i="37"/>
  <c r="R12" i="37" s="1"/>
  <c r="Q18" i="37"/>
  <c r="R18" i="37" s="1"/>
  <c r="Q14" i="37"/>
  <c r="R14" i="37" s="1"/>
  <c r="Z31" i="37" l="1"/>
  <c r="H31" i="37"/>
  <c r="R31" i="37"/>
  <c r="Z32" i="37" l="1"/>
  <c r="G8" i="23"/>
  <c r="M32" i="37"/>
  <c r="E43" i="2"/>
  <c r="E56" i="2" l="1"/>
  <c r="E44" i="2"/>
  <c r="J19" i="2" l="1"/>
  <c r="J25" i="2"/>
  <c r="J24" i="2"/>
  <c r="J26" i="2"/>
  <c r="J27" i="2"/>
  <c r="J28" i="2"/>
  <c r="J29" i="2"/>
  <c r="E54" i="2"/>
  <c r="E51" i="2"/>
  <c r="J4" i="2"/>
  <c r="J5" i="2"/>
  <c r="J23" i="2"/>
  <c r="J15" i="2"/>
  <c r="J7" i="2"/>
  <c r="J20" i="2"/>
  <c r="J16" i="2"/>
  <c r="J12" i="2"/>
  <c r="J8" i="2"/>
  <c r="J21" i="2"/>
  <c r="J17" i="2"/>
  <c r="J13" i="2"/>
  <c r="J9" i="2"/>
  <c r="J22" i="2"/>
  <c r="J18" i="2"/>
  <c r="J14" i="2"/>
  <c r="J10" i="2"/>
  <c r="J6" i="2"/>
  <c r="J11" i="2"/>
  <c r="O24" i="2" l="1"/>
  <c r="O29" i="2"/>
  <c r="S24" i="2"/>
  <c r="O25" i="2"/>
  <c r="S25" i="2"/>
  <c r="S26" i="2"/>
  <c r="O26" i="2"/>
  <c r="S27" i="2"/>
  <c r="O27" i="2"/>
  <c r="O28" i="2"/>
  <c r="S28" i="2"/>
  <c r="S29" i="2"/>
  <c r="N24" i="2"/>
  <c r="N29" i="2"/>
  <c r="R24" i="2"/>
  <c r="N25" i="2"/>
  <c r="R25" i="2"/>
  <c r="N26" i="2"/>
  <c r="R26" i="2"/>
  <c r="N27" i="2"/>
  <c r="R27" i="2"/>
  <c r="N28" i="2"/>
  <c r="R28" i="2"/>
  <c r="R29" i="2"/>
  <c r="R23" i="2"/>
  <c r="R5" i="2"/>
  <c r="R7" i="2"/>
  <c r="R9" i="2"/>
  <c r="R11" i="2"/>
  <c r="R13" i="2"/>
  <c r="R15" i="2"/>
  <c r="R17" i="2"/>
  <c r="R19" i="2"/>
  <c r="R21" i="2"/>
  <c r="N5" i="2"/>
  <c r="N7" i="2"/>
  <c r="N9" i="2"/>
  <c r="N11" i="2"/>
  <c r="N13" i="2"/>
  <c r="N15" i="2"/>
  <c r="N17" i="2"/>
  <c r="N19" i="2"/>
  <c r="N21" i="2"/>
  <c r="N23" i="2"/>
  <c r="N8" i="2"/>
  <c r="N14" i="2"/>
  <c r="N20" i="2"/>
  <c r="R4" i="2"/>
  <c r="N4" i="2"/>
  <c r="N10" i="2"/>
  <c r="N18" i="2"/>
  <c r="R22" i="2"/>
  <c r="R6" i="2"/>
  <c r="R8" i="2"/>
  <c r="R10" i="2"/>
  <c r="R12" i="2"/>
  <c r="R14" i="2"/>
  <c r="R16" i="2"/>
  <c r="R18" i="2"/>
  <c r="R20" i="2"/>
  <c r="N6" i="2"/>
  <c r="N12" i="2"/>
  <c r="N16" i="2"/>
  <c r="N22" i="2"/>
  <c r="O4" i="2"/>
  <c r="S6" i="2"/>
  <c r="S10" i="2"/>
  <c r="S16" i="2"/>
  <c r="O10" i="2"/>
  <c r="O16" i="2"/>
  <c r="O22" i="2"/>
  <c r="S23" i="2"/>
  <c r="S5" i="2"/>
  <c r="S7" i="2"/>
  <c r="S9" i="2"/>
  <c r="S11" i="2"/>
  <c r="S13" i="2"/>
  <c r="S15" i="2"/>
  <c r="S17" i="2"/>
  <c r="S19" i="2"/>
  <c r="S21" i="2"/>
  <c r="O5" i="2"/>
  <c r="O7" i="2"/>
  <c r="O9" i="2"/>
  <c r="O11" i="2"/>
  <c r="O13" i="2"/>
  <c r="O15" i="2"/>
  <c r="O17" i="2"/>
  <c r="O19" i="2"/>
  <c r="O21" i="2"/>
  <c r="O23" i="2"/>
  <c r="S4" i="2"/>
  <c r="S22" i="2"/>
  <c r="S8" i="2"/>
  <c r="S14" i="2"/>
  <c r="S18" i="2"/>
  <c r="O6" i="2"/>
  <c r="O12" i="2"/>
  <c r="O20" i="2"/>
  <c r="S12" i="2"/>
  <c r="S20" i="2"/>
  <c r="O8" i="2"/>
  <c r="O14" i="2"/>
  <c r="O18" i="2"/>
  <c r="I10" i="17" l="1"/>
  <c r="I31" i="17" s="1"/>
  <c r="O11" i="38"/>
  <c r="S12" i="37" s="1"/>
  <c r="U12" i="37" s="1"/>
  <c r="V12" i="37" s="1"/>
  <c r="I32" i="17" l="1"/>
  <c r="U10" i="37"/>
  <c r="V10" i="37" s="1"/>
  <c r="I9" i="41"/>
  <c r="L9" i="2"/>
  <c r="I10" i="39"/>
  <c r="I31" i="39" l="1"/>
  <c r="I32" i="39"/>
  <c r="I30" i="41"/>
  <c r="I31" i="41"/>
  <c r="V31" i="37"/>
  <c r="V32" i="37" s="1"/>
  <c r="L32" i="2"/>
  <c r="P36" i="2" s="1"/>
  <c r="R32" i="37"/>
  <c r="X42" i="1"/>
  <c r="I8" i="23" l="1"/>
  <c r="H8" i="23"/>
  <c r="X41" i="1"/>
  <c r="X40" i="1"/>
  <c r="X43" i="1" l="1"/>
  <c r="E47" i="2"/>
  <c r="O21" i="3"/>
  <c r="E48" i="2" l="1"/>
  <c r="O9" i="3"/>
  <c r="J5" i="3"/>
  <c r="K5" i="3"/>
  <c r="L5" i="3"/>
  <c r="I5" i="3"/>
  <c r="J11" i="14"/>
  <c r="B8" i="14" s="1"/>
  <c r="N14" i="17"/>
  <c r="N7" i="41"/>
  <c r="C16" i="41"/>
  <c r="J7" i="41"/>
  <c r="J13" i="41"/>
  <c r="C12" i="41"/>
  <c r="R6" i="41"/>
  <c r="C7" i="41"/>
  <c r="N8" i="41"/>
  <c r="E16" i="41"/>
  <c r="J23" i="41"/>
  <c r="E18" i="41"/>
  <c r="C23" i="41"/>
  <c r="E12" i="41"/>
  <c r="N21" i="41"/>
  <c r="H11" i="41"/>
  <c r="H13" i="41"/>
  <c r="H7" i="41"/>
  <c r="E9" i="41"/>
  <c r="H10" i="41"/>
  <c r="R10" i="41"/>
  <c r="N19" i="41"/>
  <c r="E11" i="41"/>
  <c r="H12" i="41"/>
  <c r="J15" i="41"/>
  <c r="C5" i="41"/>
  <c r="E22" i="41"/>
  <c r="R20" i="41"/>
  <c r="R23" i="41"/>
  <c r="R12" i="41"/>
  <c r="R17" i="41"/>
  <c r="H8" i="41"/>
  <c r="C8" i="41"/>
  <c r="J5" i="41"/>
  <c r="C17" i="41"/>
  <c r="N23" i="41"/>
  <c r="R13" i="41"/>
  <c r="H22" i="41"/>
  <c r="C19" i="41"/>
  <c r="H5" i="41"/>
  <c r="C15" i="41"/>
  <c r="J22" i="41"/>
  <c r="N5" i="41"/>
  <c r="E23" i="41"/>
  <c r="J20" i="41"/>
  <c r="N17" i="41"/>
  <c r="J6" i="41"/>
  <c r="H6" i="41"/>
  <c r="N15" i="41"/>
  <c r="E20" i="41"/>
  <c r="N18" i="41"/>
  <c r="R21" i="41"/>
  <c r="C18" i="41"/>
  <c r="J18" i="41"/>
  <c r="E17" i="41"/>
  <c r="E7" i="41"/>
  <c r="R19" i="41"/>
  <c r="E6" i="41"/>
  <c r="N20" i="41"/>
  <c r="J21" i="41"/>
  <c r="E21" i="41"/>
  <c r="C13" i="41"/>
  <c r="E15" i="41"/>
  <c r="J11" i="41"/>
  <c r="H9" i="41"/>
  <c r="C9" i="41"/>
  <c r="C6" i="41"/>
  <c r="R7" i="41"/>
  <c r="E8" i="41"/>
  <c r="H18" i="41"/>
  <c r="E13" i="41"/>
  <c r="R15" i="41"/>
  <c r="H21" i="41"/>
  <c r="N22" i="41"/>
  <c r="H16" i="41"/>
  <c r="R22" i="41"/>
  <c r="C11" i="41"/>
  <c r="H23" i="41"/>
  <c r="N6" i="41"/>
  <c r="C20" i="41"/>
  <c r="C10" i="41"/>
  <c r="N16" i="41"/>
  <c r="J9" i="41"/>
  <c r="R5" i="41"/>
  <c r="N12" i="41"/>
  <c r="H15" i="41"/>
  <c r="R16" i="41"/>
  <c r="E10" i="41"/>
  <c r="H19" i="41"/>
  <c r="J17" i="41"/>
  <c r="R11" i="41"/>
  <c r="R18" i="41"/>
  <c r="J12" i="41"/>
  <c r="J16" i="41"/>
  <c r="R9" i="41"/>
  <c r="J19" i="41"/>
  <c r="R8" i="41"/>
  <c r="N13" i="41"/>
  <c r="N10" i="41"/>
  <c r="H20" i="41"/>
  <c r="C22" i="41"/>
  <c r="E5" i="41"/>
  <c r="H17" i="41"/>
  <c r="N9" i="41"/>
  <c r="J8" i="41"/>
  <c r="N14" i="41"/>
  <c r="M45" i="41" s="1"/>
  <c r="J10" i="41"/>
  <c r="N11" i="41"/>
  <c r="E14" i="41"/>
  <c r="J14" i="41"/>
  <c r="I45" i="41" s="1"/>
  <c r="C14" i="41"/>
  <c r="B46" i="41" s="1"/>
  <c r="E19" i="41"/>
  <c r="C21" i="41"/>
  <c r="R14" i="41"/>
  <c r="J4" i="41"/>
  <c r="H4" i="41"/>
  <c r="I52" i="41"/>
  <c r="E4" i="41"/>
  <c r="C4" i="41"/>
  <c r="F52" i="41"/>
  <c r="R4" i="41"/>
  <c r="N4" i="41"/>
  <c r="D52" i="41"/>
  <c r="H14" i="41"/>
  <c r="B52" i="41"/>
  <c r="Q12" i="2" l="1"/>
  <c r="Q24" i="2"/>
  <c r="Q25" i="2"/>
  <c r="Q26" i="2"/>
  <c r="Q27" i="2"/>
  <c r="Q28" i="2"/>
  <c r="M24" i="2"/>
  <c r="Q29" i="2"/>
  <c r="G24" i="2"/>
  <c r="M25" i="2"/>
  <c r="U24" i="2"/>
  <c r="M26" i="2"/>
  <c r="G25" i="2"/>
  <c r="K25" i="2"/>
  <c r="D28" i="2"/>
  <c r="D24" i="2"/>
  <c r="K26" i="2"/>
  <c r="U25" i="2"/>
  <c r="D26" i="2"/>
  <c r="D25" i="2"/>
  <c r="M27" i="2"/>
  <c r="D27" i="2"/>
  <c r="G26" i="2"/>
  <c r="K24" i="2"/>
  <c r="D29" i="2"/>
  <c r="G27" i="2"/>
  <c r="M28" i="2"/>
  <c r="U26" i="2"/>
  <c r="K27" i="2"/>
  <c r="G28" i="2"/>
  <c r="U27" i="2"/>
  <c r="M29" i="2"/>
  <c r="K28" i="2"/>
  <c r="G29" i="2"/>
  <c r="K29" i="2"/>
  <c r="U29" i="2"/>
  <c r="U28" i="2"/>
  <c r="M9" i="2"/>
  <c r="D16" i="2"/>
  <c r="Q9" i="2"/>
  <c r="Q7" i="2"/>
  <c r="K13" i="2"/>
  <c r="D17" i="2"/>
  <c r="M6" i="2"/>
  <c r="D18" i="2"/>
  <c r="D5" i="2"/>
  <c r="G6" i="2"/>
  <c r="K15" i="2"/>
  <c r="M12" i="2"/>
  <c r="G15" i="2"/>
  <c r="U22" i="2"/>
  <c r="G4" i="2"/>
  <c r="M17" i="2"/>
  <c r="G9" i="2"/>
  <c r="U7" i="2"/>
  <c r="G13" i="2"/>
  <c r="U16" i="2"/>
  <c r="M13" i="2"/>
  <c r="Q4" i="2"/>
  <c r="G11" i="2"/>
  <c r="G20" i="2"/>
  <c r="M19" i="2"/>
  <c r="M7" i="2"/>
  <c r="K6" i="2"/>
  <c r="K23" i="2"/>
  <c r="M22" i="2"/>
  <c r="D13" i="2"/>
  <c r="M20" i="2"/>
  <c r="G22" i="2"/>
  <c r="G16" i="2"/>
  <c r="M5" i="2"/>
  <c r="M23" i="2"/>
  <c r="K8" i="2"/>
  <c r="G17" i="2"/>
  <c r="Q11" i="2"/>
  <c r="D8" i="2"/>
  <c r="U8" i="2"/>
  <c r="B9" i="14"/>
  <c r="B20" i="14" s="1"/>
  <c r="B21" i="14" s="1"/>
  <c r="B22" i="14" s="1"/>
  <c r="K4" i="2"/>
  <c r="U4" i="2"/>
  <c r="G5" i="2"/>
  <c r="M21" i="2"/>
  <c r="M11" i="2"/>
  <c r="Q20" i="2"/>
  <c r="U19" i="2"/>
  <c r="M15" i="2"/>
  <c r="M14" i="2"/>
  <c r="K14" i="2"/>
  <c r="G12" i="2"/>
  <c r="D23" i="2"/>
  <c r="G14" i="2"/>
  <c r="U5" i="2"/>
  <c r="K20" i="2"/>
  <c r="U12" i="2"/>
  <c r="Q22" i="2"/>
  <c r="M10" i="2"/>
  <c r="U9" i="2"/>
  <c r="K10" i="2"/>
  <c r="Q21" i="2"/>
  <c r="K18" i="2"/>
  <c r="K22" i="2"/>
  <c r="K21" i="2"/>
  <c r="U15" i="2"/>
  <c r="U20" i="2"/>
  <c r="G18" i="2"/>
  <c r="U13" i="2"/>
  <c r="K19" i="2"/>
  <c r="D4" i="2"/>
  <c r="D12" i="2"/>
  <c r="U18" i="2"/>
  <c r="Q8" i="2"/>
  <c r="U11" i="2"/>
  <c r="G7" i="2"/>
  <c r="U21" i="2"/>
  <c r="D21" i="2"/>
  <c r="K7" i="2"/>
  <c r="K12" i="2"/>
  <c r="M8" i="2"/>
  <c r="K11" i="2"/>
  <c r="Q19" i="2"/>
  <c r="D6" i="2"/>
  <c r="Q17" i="2"/>
  <c r="Q23" i="2"/>
  <c r="Q18" i="2"/>
  <c r="D15" i="2"/>
  <c r="D9" i="2"/>
  <c r="D14" i="2"/>
  <c r="Q5" i="2"/>
  <c r="Q13" i="2"/>
  <c r="K17" i="2"/>
  <c r="G21" i="2"/>
  <c r="Q16" i="2"/>
  <c r="U6" i="2"/>
  <c r="D19" i="2"/>
  <c r="Q15" i="2"/>
  <c r="M18" i="2"/>
  <c r="U10" i="2"/>
  <c r="D10" i="2"/>
  <c r="U23" i="2"/>
  <c r="D7" i="2"/>
  <c r="D11" i="2"/>
  <c r="Q14" i="2"/>
  <c r="G10" i="2"/>
  <c r="K9" i="2"/>
  <c r="K16" i="2"/>
  <c r="U17" i="2"/>
  <c r="M16" i="2"/>
  <c r="D22" i="2"/>
  <c r="Q6" i="2"/>
  <c r="D20" i="2"/>
  <c r="G19" i="2"/>
  <c r="G8" i="2"/>
  <c r="Q10" i="2"/>
  <c r="U14" i="2"/>
  <c r="J6" i="3"/>
  <c r="J8" i="3" s="1"/>
  <c r="B15" i="3"/>
  <c r="C6" i="3"/>
  <c r="C8" i="3" s="1"/>
  <c r="H5" i="26" s="1"/>
  <c r="D15" i="3"/>
  <c r="D17" i="3" s="1"/>
  <c r="I6" i="26" s="1"/>
  <c r="E6" i="3"/>
  <c r="E8" i="3" s="1"/>
  <c r="E15" i="3"/>
  <c r="E17" i="3" s="1"/>
  <c r="B6" i="3"/>
  <c r="B8" i="3" s="1"/>
  <c r="H7" i="26" s="1"/>
  <c r="C15" i="3"/>
  <c r="C17" i="3" s="1"/>
  <c r="I5" i="26" s="1"/>
  <c r="D6" i="3"/>
  <c r="D8" i="3" s="1"/>
  <c r="H6" i="26" s="1"/>
  <c r="B17" i="3"/>
  <c r="I7" i="26" s="1"/>
  <c r="M52" i="41"/>
  <c r="K5" i="2"/>
  <c r="M4" i="2"/>
  <c r="G23" i="2"/>
  <c r="H30" i="41"/>
  <c r="F32" i="41" s="1"/>
  <c r="H31" i="41"/>
  <c r="F33" i="41" s="1"/>
  <c r="E30" i="41"/>
  <c r="D32" i="41" s="1"/>
  <c r="D40" i="41" s="1"/>
  <c r="E31" i="41"/>
  <c r="D33" i="41" s="1"/>
  <c r="N30" i="41"/>
  <c r="M32" i="41" s="1"/>
  <c r="N31" i="41"/>
  <c r="M33" i="41" s="1"/>
  <c r="C30" i="41"/>
  <c r="B32" i="41" s="1"/>
  <c r="C31" i="41"/>
  <c r="B33" i="41" s="1"/>
  <c r="J30" i="41"/>
  <c r="I32" i="41" s="1"/>
  <c r="J31" i="41"/>
  <c r="I33" i="41" s="1"/>
  <c r="R30" i="41"/>
  <c r="Q32" i="41" s="1"/>
  <c r="R31" i="41"/>
  <c r="Q33" i="41" s="1"/>
  <c r="L6" i="3"/>
  <c r="L8" i="3" s="1"/>
  <c r="I6" i="3"/>
  <c r="I8" i="3" s="1"/>
  <c r="K6" i="3"/>
  <c r="K8" i="3" s="1"/>
  <c r="D8" i="14"/>
  <c r="D9" i="14" s="1"/>
  <c r="D20" i="14" s="1"/>
  <c r="J8" i="17"/>
  <c r="J16" i="17"/>
  <c r="J19" i="17"/>
  <c r="R18" i="17"/>
  <c r="R16" i="17"/>
  <c r="R9" i="17"/>
  <c r="N15" i="17"/>
  <c r="J12" i="17"/>
  <c r="H17" i="17"/>
  <c r="H12" i="17"/>
  <c r="R17" i="17"/>
  <c r="H16" i="17"/>
  <c r="H6" i="17"/>
  <c r="N23" i="17"/>
  <c r="C5" i="17"/>
  <c r="N9" i="17"/>
  <c r="J7" i="17"/>
  <c r="E8" i="17"/>
  <c r="H20" i="17"/>
  <c r="J18" i="17"/>
  <c r="H18" i="17"/>
  <c r="N18" i="17"/>
  <c r="C12" i="17"/>
  <c r="E10" i="17"/>
  <c r="F53" i="17"/>
  <c r="J17" i="17"/>
  <c r="E16" i="17"/>
  <c r="N21" i="17"/>
  <c r="E24" i="17"/>
  <c r="R21" i="17"/>
  <c r="E14" i="17"/>
  <c r="R15" i="17"/>
  <c r="J15" i="17"/>
  <c r="C21" i="17"/>
  <c r="N6" i="17"/>
  <c r="J9" i="17"/>
  <c r="R8" i="17"/>
  <c r="N11" i="17"/>
  <c r="N13" i="17"/>
  <c r="H19" i="17"/>
  <c r="H21" i="17"/>
  <c r="R10" i="17"/>
  <c r="J22" i="17"/>
  <c r="N7" i="17"/>
  <c r="E9" i="17"/>
  <c r="N19" i="17"/>
  <c r="H22" i="17"/>
  <c r="J14" i="17"/>
  <c r="E8" i="14"/>
  <c r="E9" i="14" s="1"/>
  <c r="E20" i="14" s="1"/>
  <c r="E5" i="17"/>
  <c r="H5" i="17"/>
  <c r="C15" i="17"/>
  <c r="C13" i="17"/>
  <c r="D53" i="17"/>
  <c r="C11" i="17"/>
  <c r="H14" i="17"/>
  <c r="N12" i="17"/>
  <c r="E21" i="17"/>
  <c r="R13" i="17"/>
  <c r="C14" i="17"/>
  <c r="C23" i="17"/>
  <c r="N24" i="17"/>
  <c r="E12" i="17"/>
  <c r="C17" i="17"/>
  <c r="R24" i="17"/>
  <c r="E20" i="17"/>
  <c r="H8" i="17"/>
  <c r="C10" i="17"/>
  <c r="N8" i="17"/>
  <c r="C18" i="17"/>
  <c r="R12" i="17"/>
  <c r="R6" i="17"/>
  <c r="R19" i="17"/>
  <c r="C16" i="17"/>
  <c r="R7" i="17"/>
  <c r="J24" i="17"/>
  <c r="E7" i="17"/>
  <c r="E6" i="17"/>
  <c r="E11" i="17"/>
  <c r="R5" i="17"/>
  <c r="N5" i="17"/>
  <c r="R23" i="17"/>
  <c r="N22" i="17"/>
  <c r="H13" i="17"/>
  <c r="E13" i="17"/>
  <c r="C24" i="17"/>
  <c r="H23" i="17"/>
  <c r="C9" i="17"/>
  <c r="J21" i="17"/>
  <c r="H9" i="17"/>
  <c r="H10" i="17"/>
  <c r="E18" i="17"/>
  <c r="J6" i="17"/>
  <c r="F8" i="14"/>
  <c r="F9" i="14" s="1"/>
  <c r="F20" i="14" s="1"/>
  <c r="C8" i="14"/>
  <c r="C9" i="14" s="1"/>
  <c r="C20" i="14" s="1"/>
  <c r="B53" i="17"/>
  <c r="J5" i="17"/>
  <c r="H15" i="17"/>
  <c r="E15" i="17"/>
  <c r="E17" i="17"/>
  <c r="J23" i="17"/>
  <c r="N16" i="17"/>
  <c r="J13" i="17"/>
  <c r="J10" i="17"/>
  <c r="N20" i="17"/>
  <c r="C8" i="17"/>
  <c r="E23" i="17"/>
  <c r="C20" i="17"/>
  <c r="R11" i="17"/>
  <c r="C22" i="17"/>
  <c r="E22" i="17"/>
  <c r="N17" i="17"/>
  <c r="C6" i="17"/>
  <c r="H24" i="17"/>
  <c r="R14" i="17"/>
  <c r="H7" i="17"/>
  <c r="R22" i="17"/>
  <c r="C7" i="17"/>
  <c r="R20" i="17"/>
  <c r="E19" i="17"/>
  <c r="C19" i="17"/>
  <c r="J20" i="17"/>
  <c r="J11" i="17"/>
  <c r="H11" i="17"/>
  <c r="N10" i="17"/>
  <c r="D46" i="41"/>
  <c r="D45" i="41"/>
  <c r="R13" i="39"/>
  <c r="C19" i="39"/>
  <c r="H20" i="39"/>
  <c r="H21" i="39"/>
  <c r="R20" i="39"/>
  <c r="R14" i="39"/>
  <c r="R6" i="39"/>
  <c r="C11" i="39"/>
  <c r="C16" i="39"/>
  <c r="C9" i="39"/>
  <c r="E7" i="39"/>
  <c r="R16" i="39"/>
  <c r="H22" i="39"/>
  <c r="E17" i="39"/>
  <c r="R12" i="39"/>
  <c r="C18" i="39"/>
  <c r="R17" i="39"/>
  <c r="C21" i="39"/>
  <c r="H7" i="39"/>
  <c r="R24" i="39"/>
  <c r="E11" i="39"/>
  <c r="R11" i="39"/>
  <c r="C22" i="39"/>
  <c r="E21" i="39"/>
  <c r="E18" i="39"/>
  <c r="H6" i="39"/>
  <c r="H23" i="39"/>
  <c r="R7" i="39"/>
  <c r="H8" i="39"/>
  <c r="R18" i="39"/>
  <c r="H9" i="39"/>
  <c r="H16" i="39"/>
  <c r="R22" i="39"/>
  <c r="E6" i="39"/>
  <c r="H12" i="39"/>
  <c r="E24" i="39"/>
  <c r="C13" i="39"/>
  <c r="C10" i="39"/>
  <c r="H10" i="39"/>
  <c r="C7" i="39"/>
  <c r="R21" i="39"/>
  <c r="C6" i="39"/>
  <c r="R9" i="39"/>
  <c r="C8" i="39"/>
  <c r="H14" i="39"/>
  <c r="H13" i="39"/>
  <c r="R19" i="39"/>
  <c r="R8" i="39"/>
  <c r="E19" i="39"/>
  <c r="C20" i="39"/>
  <c r="E16" i="39"/>
  <c r="E14" i="39"/>
  <c r="E20" i="39"/>
  <c r="E10" i="39"/>
  <c r="C14" i="39"/>
  <c r="H18" i="39"/>
  <c r="H11" i="39"/>
  <c r="E8" i="39"/>
  <c r="H15" i="39"/>
  <c r="E13" i="39"/>
  <c r="C12" i="39"/>
  <c r="C23" i="39"/>
  <c r="R10" i="39"/>
  <c r="E12" i="39"/>
  <c r="C15" i="39"/>
  <c r="E23" i="39"/>
  <c r="E22" i="39"/>
  <c r="H19" i="39"/>
  <c r="E9" i="39"/>
  <c r="C17" i="39"/>
  <c r="R23" i="39"/>
  <c r="H17" i="39"/>
  <c r="H24" i="39"/>
  <c r="C24" i="39"/>
  <c r="E15" i="39"/>
  <c r="E5" i="39"/>
  <c r="D53" i="39"/>
  <c r="R15" i="39"/>
  <c r="Q53" i="39"/>
  <c r="I53" i="39"/>
  <c r="C5" i="39"/>
  <c r="B53" i="39"/>
  <c r="M53" i="39"/>
  <c r="F53" i="39"/>
  <c r="H5" i="39"/>
  <c r="J5" i="39"/>
  <c r="N5" i="39"/>
  <c r="R5" i="39"/>
  <c r="B45" i="41"/>
  <c r="C24" i="42"/>
  <c r="J10" i="42"/>
  <c r="H19" i="42"/>
  <c r="H24" i="42"/>
  <c r="J9" i="42"/>
  <c r="H7" i="42"/>
  <c r="N9" i="42"/>
  <c r="N16" i="42"/>
  <c r="E23" i="42"/>
  <c r="J13" i="42"/>
  <c r="J12" i="42"/>
  <c r="E24" i="42"/>
  <c r="N23" i="42"/>
  <c r="R18" i="42"/>
  <c r="H10" i="42"/>
  <c r="C10" i="42"/>
  <c r="J6" i="42"/>
  <c r="N6" i="42"/>
  <c r="N12" i="42"/>
  <c r="C17" i="42"/>
  <c r="C8" i="42"/>
  <c r="N11" i="42"/>
  <c r="R24" i="42"/>
  <c r="C11" i="42"/>
  <c r="C12" i="42"/>
  <c r="C13" i="42"/>
  <c r="R10" i="42"/>
  <c r="J14" i="42"/>
  <c r="R11" i="42"/>
  <c r="N18" i="42"/>
  <c r="C6" i="42"/>
  <c r="H17" i="42"/>
  <c r="R8" i="42"/>
  <c r="R19" i="42"/>
  <c r="C22" i="42"/>
  <c r="N8" i="42"/>
  <c r="C16" i="42"/>
  <c r="H8" i="42"/>
  <c r="N20" i="42"/>
  <c r="C18" i="42"/>
  <c r="J18" i="42"/>
  <c r="N14" i="42"/>
  <c r="J20" i="42"/>
  <c r="R9" i="42"/>
  <c r="H22" i="42"/>
  <c r="E11" i="42"/>
  <c r="N24" i="42"/>
  <c r="J24" i="42"/>
  <c r="R12" i="42"/>
  <c r="C14" i="42"/>
  <c r="H14" i="42"/>
  <c r="E22" i="42"/>
  <c r="E18" i="42"/>
  <c r="J22" i="42"/>
  <c r="H11" i="42"/>
  <c r="J17" i="42"/>
  <c r="R13" i="42"/>
  <c r="E20" i="42"/>
  <c r="C9" i="42"/>
  <c r="J23" i="42"/>
  <c r="J7" i="42"/>
  <c r="H23" i="42"/>
  <c r="H12" i="42"/>
  <c r="C20" i="42"/>
  <c r="H21" i="42"/>
  <c r="E19" i="42"/>
  <c r="R21" i="42"/>
  <c r="R20" i="42"/>
  <c r="R14" i="42"/>
  <c r="E12" i="42"/>
  <c r="N21" i="42"/>
  <c r="N7" i="42"/>
  <c r="R22" i="42"/>
  <c r="C7" i="42"/>
  <c r="N19" i="42"/>
  <c r="E10" i="42"/>
  <c r="H18" i="42"/>
  <c r="H9" i="42"/>
  <c r="E7" i="42"/>
  <c r="N10" i="42"/>
  <c r="R6" i="42"/>
  <c r="E14" i="42"/>
  <c r="N17" i="42"/>
  <c r="H13" i="42"/>
  <c r="E6" i="42"/>
  <c r="E16" i="42"/>
  <c r="H16" i="42"/>
  <c r="H6" i="42"/>
  <c r="J16" i="42"/>
  <c r="C21" i="42"/>
  <c r="E17" i="42"/>
  <c r="C19" i="42"/>
  <c r="J11" i="42"/>
  <c r="R16" i="42"/>
  <c r="C23" i="42"/>
  <c r="E13" i="42"/>
  <c r="H20" i="42"/>
  <c r="E8" i="42"/>
  <c r="R7" i="42"/>
  <c r="E21" i="42"/>
  <c r="J19" i="42"/>
  <c r="E9" i="42"/>
  <c r="J15" i="42"/>
  <c r="I46" i="42" s="1"/>
  <c r="N15" i="42"/>
  <c r="M46" i="42" s="1"/>
  <c r="J8" i="42"/>
  <c r="R17" i="42"/>
  <c r="C15" i="42"/>
  <c r="E5" i="42"/>
  <c r="N13" i="42"/>
  <c r="N22" i="42"/>
  <c r="H15" i="42"/>
  <c r="J21" i="42"/>
  <c r="R15" i="42"/>
  <c r="B53" i="42"/>
  <c r="R23" i="42"/>
  <c r="E15" i="42"/>
  <c r="Q53" i="42"/>
  <c r="N5" i="42"/>
  <c r="D53" i="42"/>
  <c r="F53" i="42"/>
  <c r="C5" i="42"/>
  <c r="J5" i="42"/>
  <c r="R5" i="42"/>
  <c r="H5" i="42"/>
  <c r="F45" i="41"/>
  <c r="F46" i="41"/>
  <c r="Q46" i="41"/>
  <c r="Q45" i="41"/>
  <c r="I46" i="41"/>
  <c r="M46" i="41"/>
  <c r="R105" i="26" l="1"/>
  <c r="R100" i="26"/>
  <c r="X100" i="26"/>
  <c r="R101" i="26"/>
  <c r="X101" i="26"/>
  <c r="R102" i="26"/>
  <c r="X102" i="26"/>
  <c r="X103" i="26"/>
  <c r="R103" i="26"/>
  <c r="R104" i="26"/>
  <c r="X104" i="26"/>
  <c r="X105" i="26"/>
  <c r="B40" i="41"/>
  <c r="B39" i="41"/>
  <c r="W67" i="26"/>
  <c r="Q72" i="26"/>
  <c r="Q67" i="26"/>
  <c r="Q68" i="26"/>
  <c r="W68" i="26"/>
  <c r="Q69" i="26"/>
  <c r="W69" i="26"/>
  <c r="W70" i="26"/>
  <c r="Q70" i="26"/>
  <c r="Q71" i="26"/>
  <c r="W71" i="26"/>
  <c r="W72" i="26"/>
  <c r="R39" i="26"/>
  <c r="R34" i="26"/>
  <c r="X34" i="26"/>
  <c r="R35" i="26"/>
  <c r="X35" i="26"/>
  <c r="X36" i="26"/>
  <c r="R36" i="26"/>
  <c r="X37" i="26"/>
  <c r="R37" i="26"/>
  <c r="R38" i="26"/>
  <c r="X38" i="26"/>
  <c r="X39" i="26"/>
  <c r="R67" i="26"/>
  <c r="X67" i="26"/>
  <c r="R72" i="26"/>
  <c r="R68" i="26"/>
  <c r="X68" i="26"/>
  <c r="X69" i="26"/>
  <c r="R69" i="26"/>
  <c r="R70" i="26"/>
  <c r="X70" i="26"/>
  <c r="R71" i="26"/>
  <c r="X71" i="26"/>
  <c r="X72" i="26"/>
  <c r="Q100" i="26"/>
  <c r="Q105" i="26"/>
  <c r="W100" i="26"/>
  <c r="Q101" i="26"/>
  <c r="W101" i="26"/>
  <c r="Q102" i="26"/>
  <c r="W102" i="26"/>
  <c r="Q103" i="26"/>
  <c r="W103" i="26"/>
  <c r="Q104" i="26"/>
  <c r="W104" i="26"/>
  <c r="W105" i="26"/>
  <c r="W34" i="26"/>
  <c r="Q34" i="26"/>
  <c r="Q39" i="26"/>
  <c r="Q35" i="26"/>
  <c r="W35" i="26"/>
  <c r="Q36" i="26"/>
  <c r="W36" i="26"/>
  <c r="Q37" i="26"/>
  <c r="W37" i="26"/>
  <c r="Q38" i="26"/>
  <c r="W38" i="26"/>
  <c r="W39" i="26"/>
  <c r="M32" i="2"/>
  <c r="P37" i="2" s="1"/>
  <c r="J32" i="2"/>
  <c r="O37" i="2" s="1"/>
  <c r="Q32" i="2"/>
  <c r="Q37" i="2" s="1"/>
  <c r="Q34" i="41"/>
  <c r="D32" i="2"/>
  <c r="L37" i="2" s="1"/>
  <c r="R82" i="26"/>
  <c r="X81" i="26"/>
  <c r="R80" i="26"/>
  <c r="X80" i="26"/>
  <c r="R81" i="26"/>
  <c r="X82" i="26"/>
  <c r="R83" i="26"/>
  <c r="X83" i="26"/>
  <c r="R84" i="26"/>
  <c r="R85" i="26"/>
  <c r="R88" i="26"/>
  <c r="R86" i="26"/>
  <c r="R89" i="26"/>
  <c r="R87" i="26"/>
  <c r="R90" i="26"/>
  <c r="R91" i="26"/>
  <c r="R92" i="26"/>
  <c r="R93" i="26"/>
  <c r="R94" i="26"/>
  <c r="R95" i="26"/>
  <c r="R96" i="26"/>
  <c r="R97" i="26"/>
  <c r="R98" i="26"/>
  <c r="R99" i="26"/>
  <c r="X85" i="26"/>
  <c r="X84" i="26"/>
  <c r="X86" i="26"/>
  <c r="X87" i="26"/>
  <c r="X88" i="26"/>
  <c r="X89" i="26"/>
  <c r="X90" i="26"/>
  <c r="X91" i="26"/>
  <c r="X92" i="26"/>
  <c r="X93" i="26"/>
  <c r="X94" i="26"/>
  <c r="X95" i="26"/>
  <c r="X96" i="26"/>
  <c r="X97" i="26"/>
  <c r="X98" i="26"/>
  <c r="X99" i="26"/>
  <c r="R16" i="26"/>
  <c r="R17" i="26"/>
  <c r="X17" i="26"/>
  <c r="X16" i="26"/>
  <c r="R15" i="26"/>
  <c r="X14" i="26"/>
  <c r="R14" i="26"/>
  <c r="X15" i="26"/>
  <c r="R18" i="26"/>
  <c r="R19" i="26"/>
  <c r="R20" i="26"/>
  <c r="R22" i="26"/>
  <c r="R21" i="26"/>
  <c r="R23" i="26"/>
  <c r="R24" i="26"/>
  <c r="R25" i="26"/>
  <c r="R26" i="26"/>
  <c r="R27" i="26"/>
  <c r="R28" i="26"/>
  <c r="R29" i="26"/>
  <c r="R30" i="26"/>
  <c r="R31" i="26"/>
  <c r="R32" i="26"/>
  <c r="R33" i="26"/>
  <c r="X18" i="26"/>
  <c r="X19" i="26"/>
  <c r="X20" i="26"/>
  <c r="X21" i="26"/>
  <c r="X22" i="26"/>
  <c r="X23" i="26"/>
  <c r="X24" i="26"/>
  <c r="X25" i="26"/>
  <c r="X26" i="26"/>
  <c r="X27" i="26"/>
  <c r="X28" i="26"/>
  <c r="X29" i="26"/>
  <c r="X30" i="26"/>
  <c r="X31" i="26"/>
  <c r="X32" i="26"/>
  <c r="X33" i="26"/>
  <c r="R49" i="26"/>
  <c r="X47" i="26"/>
  <c r="R50" i="26"/>
  <c r="X49" i="26"/>
  <c r="R47" i="26"/>
  <c r="X48" i="26"/>
  <c r="R48" i="26"/>
  <c r="X50" i="26"/>
  <c r="R51" i="26"/>
  <c r="R52" i="26"/>
  <c r="R53" i="26"/>
  <c r="R55" i="26"/>
  <c r="R54" i="26"/>
  <c r="R56" i="26"/>
  <c r="R57" i="26"/>
  <c r="R58" i="26"/>
  <c r="R59" i="26"/>
  <c r="R60" i="26"/>
  <c r="R61" i="26"/>
  <c r="R62" i="26"/>
  <c r="R63" i="26"/>
  <c r="R64" i="26"/>
  <c r="R65" i="26"/>
  <c r="R66" i="26"/>
  <c r="X51" i="26"/>
  <c r="X52" i="26"/>
  <c r="X53" i="26"/>
  <c r="X54" i="26"/>
  <c r="X55" i="26"/>
  <c r="X56" i="26"/>
  <c r="X57" i="26"/>
  <c r="X58" i="26"/>
  <c r="X59" i="26"/>
  <c r="X60" i="26"/>
  <c r="X61" i="26"/>
  <c r="X62" i="26"/>
  <c r="X63" i="26"/>
  <c r="X64" i="26"/>
  <c r="X65" i="26"/>
  <c r="X66" i="26"/>
  <c r="Q87" i="26"/>
  <c r="W87" i="26"/>
  <c r="W90" i="26"/>
  <c r="Q92" i="26"/>
  <c r="W92" i="26"/>
  <c r="W80" i="26"/>
  <c r="W94" i="26"/>
  <c r="Q83" i="26"/>
  <c r="W83" i="26"/>
  <c r="Q85" i="26"/>
  <c r="W85" i="26"/>
  <c r="Q89" i="26"/>
  <c r="W89" i="26"/>
  <c r="Q95" i="26"/>
  <c r="W95" i="26"/>
  <c r="Q97" i="26"/>
  <c r="W97" i="26"/>
  <c r="Q99" i="26"/>
  <c r="W99" i="26"/>
  <c r="W82" i="26"/>
  <c r="W84" i="26"/>
  <c r="Q94" i="26"/>
  <c r="Q96" i="26"/>
  <c r="Q98" i="26"/>
  <c r="Q81" i="26"/>
  <c r="W81" i="26"/>
  <c r="Q86" i="26"/>
  <c r="W86" i="26"/>
  <c r="Q88" i="26"/>
  <c r="Q91" i="26"/>
  <c r="W91" i="26"/>
  <c r="Q93" i="26"/>
  <c r="W93" i="26"/>
  <c r="Q80" i="26"/>
  <c r="Q82" i="26"/>
  <c r="Q84" i="26"/>
  <c r="W88" i="26"/>
  <c r="Q90" i="26"/>
  <c r="W96" i="26"/>
  <c r="W98" i="26"/>
  <c r="Q17" i="26"/>
  <c r="Q18" i="26"/>
  <c r="W19" i="26"/>
  <c r="Q23" i="26"/>
  <c r="W23" i="26"/>
  <c r="W24" i="26"/>
  <c r="Q29" i="26"/>
  <c r="Q30" i="26"/>
  <c r="W31" i="26"/>
  <c r="W32" i="26"/>
  <c r="Q14" i="26"/>
  <c r="Q33" i="26"/>
  <c r="W15" i="26"/>
  <c r="Q19" i="26"/>
  <c r="W20" i="26"/>
  <c r="Q24" i="26"/>
  <c r="W25" i="26"/>
  <c r="W26" i="26"/>
  <c r="Q31" i="26"/>
  <c r="Q32" i="26"/>
  <c r="W33" i="26"/>
  <c r="Q20" i="26"/>
  <c r="W21" i="26"/>
  <c r="Q25" i="26"/>
  <c r="W27" i="26"/>
  <c r="Q15" i="26"/>
  <c r="W16" i="26"/>
  <c r="W22" i="26"/>
  <c r="Q26" i="26"/>
  <c r="W28" i="26"/>
  <c r="Q22" i="26"/>
  <c r="Q16" i="26"/>
  <c r="Q21" i="26"/>
  <c r="Q28" i="26"/>
  <c r="W29" i="26"/>
  <c r="W18" i="26"/>
  <c r="Q27" i="26"/>
  <c r="W30" i="26"/>
  <c r="W14" i="26"/>
  <c r="W17" i="26"/>
  <c r="Q49" i="26"/>
  <c r="W49" i="26"/>
  <c r="Q53" i="26"/>
  <c r="W53" i="26"/>
  <c r="Q59" i="26"/>
  <c r="W59" i="26"/>
  <c r="Q62" i="26"/>
  <c r="W62" i="26"/>
  <c r="Q66" i="26"/>
  <c r="W66" i="26"/>
  <c r="Q54" i="26"/>
  <c r="W60" i="26"/>
  <c r="Q55" i="26"/>
  <c r="Q56" i="26"/>
  <c r="W56" i="26"/>
  <c r="Q61" i="26"/>
  <c r="W61" i="26"/>
  <c r="Q65" i="26"/>
  <c r="W65" i="26"/>
  <c r="Q47" i="26"/>
  <c r="W50" i="26"/>
  <c r="Q57" i="26"/>
  <c r="W63" i="26"/>
  <c r="Q48" i="26"/>
  <c r="W48" i="26"/>
  <c r="Q51" i="26"/>
  <c r="Q52" i="26"/>
  <c r="W52" i="26"/>
  <c r="W55" i="26"/>
  <c r="Q58" i="26"/>
  <c r="W58" i="26"/>
  <c r="Q64" i="26"/>
  <c r="W64" i="26"/>
  <c r="Q50" i="26"/>
  <c r="W51" i="26"/>
  <c r="W54" i="26"/>
  <c r="W57" i="26"/>
  <c r="Q60" i="26"/>
  <c r="Q63" i="26"/>
  <c r="W47" i="26"/>
  <c r="G32" i="2"/>
  <c r="M37" i="2" s="1"/>
  <c r="U32" i="2"/>
  <c r="N37" i="2" s="1"/>
  <c r="J31" i="17"/>
  <c r="I33" i="17" s="1"/>
  <c r="J32" i="17"/>
  <c r="I34" i="17" s="1"/>
  <c r="N31" i="17"/>
  <c r="M33" i="17" s="1"/>
  <c r="N32" i="17"/>
  <c r="M34" i="17" s="1"/>
  <c r="J31" i="42"/>
  <c r="I33" i="42" s="1"/>
  <c r="J32" i="42"/>
  <c r="I34" i="42" s="1"/>
  <c r="Q53" i="17"/>
  <c r="I53" i="17"/>
  <c r="M53" i="17"/>
  <c r="M47" i="17"/>
  <c r="M48" i="17" s="1"/>
  <c r="AE6" i="17" s="1"/>
  <c r="M53" i="42"/>
  <c r="N31" i="42"/>
  <c r="M33" i="42" s="1"/>
  <c r="N32" i="42"/>
  <c r="M34" i="42" s="1"/>
  <c r="D47" i="17"/>
  <c r="D48" i="17" s="1"/>
  <c r="AA6" i="17" s="1"/>
  <c r="R31" i="17"/>
  <c r="Q33" i="17" s="1"/>
  <c r="R32" i="17"/>
  <c r="Q34" i="17" s="1"/>
  <c r="B47" i="17"/>
  <c r="B48" i="17" s="1"/>
  <c r="Z6" i="17" s="1"/>
  <c r="I47" i="17"/>
  <c r="I48" i="17" s="1"/>
  <c r="AD6" i="17" s="1"/>
  <c r="I53" i="42"/>
  <c r="F47" i="17"/>
  <c r="F48" i="17" s="1"/>
  <c r="AC6" i="17" s="1"/>
  <c r="H31" i="17"/>
  <c r="F33" i="17" s="1"/>
  <c r="F41" i="17" s="1"/>
  <c r="H32" i="17"/>
  <c r="F34" i="17" s="1"/>
  <c r="Q47" i="17"/>
  <c r="Q48" i="17" s="1"/>
  <c r="AB6" i="17" s="1"/>
  <c r="B34" i="41"/>
  <c r="Q35" i="41"/>
  <c r="F25" i="23" s="1"/>
  <c r="C31" i="42"/>
  <c r="B33" i="42" s="1"/>
  <c r="C32" i="42"/>
  <c r="B34" i="42" s="1"/>
  <c r="H31" i="42"/>
  <c r="F33" i="42" s="1"/>
  <c r="H32" i="42"/>
  <c r="F34" i="42" s="1"/>
  <c r="R31" i="42"/>
  <c r="Q33" i="42" s="1"/>
  <c r="R32" i="42"/>
  <c r="Q34" i="42" s="1"/>
  <c r="E31" i="42"/>
  <c r="D33" i="42" s="1"/>
  <c r="E32" i="42"/>
  <c r="D34" i="42" s="1"/>
  <c r="R32" i="39"/>
  <c r="Q34" i="39" s="1"/>
  <c r="R31" i="39"/>
  <c r="Q33" i="39" s="1"/>
  <c r="N31" i="39"/>
  <c r="M33" i="39" s="1"/>
  <c r="N32" i="39"/>
  <c r="M34" i="39" s="1"/>
  <c r="J32" i="39"/>
  <c r="I34" i="39" s="1"/>
  <c r="J31" i="39"/>
  <c r="I33" i="39" s="1"/>
  <c r="E32" i="39"/>
  <c r="D34" i="39" s="1"/>
  <c r="E31" i="39"/>
  <c r="D33" i="39" s="1"/>
  <c r="H31" i="39"/>
  <c r="F33" i="39" s="1"/>
  <c r="H32" i="39"/>
  <c r="F34" i="39" s="1"/>
  <c r="C31" i="39"/>
  <c r="B33" i="39" s="1"/>
  <c r="C32" i="39"/>
  <c r="B34" i="39" s="1"/>
  <c r="B35" i="41"/>
  <c r="D25" i="23" s="1"/>
  <c r="I35" i="41"/>
  <c r="H25" i="23" s="1"/>
  <c r="M35" i="41"/>
  <c r="I25" i="23" s="1"/>
  <c r="F35" i="41"/>
  <c r="G25" i="23" s="1"/>
  <c r="I34" i="41"/>
  <c r="M34" i="41"/>
  <c r="F34" i="41"/>
  <c r="I40" i="41"/>
  <c r="F40" i="41"/>
  <c r="M40" i="41"/>
  <c r="E32" i="17"/>
  <c r="D34" i="17" s="1"/>
  <c r="C32" i="17"/>
  <c r="B34" i="17" s="1"/>
  <c r="Q39" i="41"/>
  <c r="AA4" i="41" s="1"/>
  <c r="Q40" i="41"/>
  <c r="Y4" i="41"/>
  <c r="G5" i="26"/>
  <c r="G7" i="26"/>
  <c r="G6" i="26"/>
  <c r="C31" i="17"/>
  <c r="B33" i="17" s="1"/>
  <c r="E31" i="17"/>
  <c r="D33" i="17" s="1"/>
  <c r="D42" i="17" s="1"/>
  <c r="D21" i="14"/>
  <c r="D22" i="14" s="1"/>
  <c r="G13" i="23" s="1"/>
  <c r="C21" i="14"/>
  <c r="C22" i="14" s="1"/>
  <c r="F13" i="23" s="1"/>
  <c r="E21" i="14"/>
  <c r="E22" i="14" s="1"/>
  <c r="H13" i="23" s="1"/>
  <c r="B47" i="42"/>
  <c r="B46" i="42"/>
  <c r="I39" i="41"/>
  <c r="AC4" i="41" s="1"/>
  <c r="M39" i="41"/>
  <c r="AD4" i="41" s="1"/>
  <c r="F21" i="14"/>
  <c r="F22" i="14" s="1"/>
  <c r="I13" i="23" s="1"/>
  <c r="D39" i="41"/>
  <c r="Z4" i="41" s="1"/>
  <c r="B46" i="39"/>
  <c r="B47" i="39"/>
  <c r="F47" i="39"/>
  <c r="F46" i="39"/>
  <c r="I47" i="42"/>
  <c r="Q47" i="42"/>
  <c r="Q46" i="42"/>
  <c r="D41" i="39"/>
  <c r="F39" i="41"/>
  <c r="AB4" i="41" s="1"/>
  <c r="F47" i="42"/>
  <c r="F46" i="42"/>
  <c r="Q40" i="39"/>
  <c r="AA5" i="39" s="1"/>
  <c r="I47" i="39"/>
  <c r="D47" i="42"/>
  <c r="D46" i="42"/>
  <c r="D41" i="42"/>
  <c r="M47" i="42"/>
  <c r="Q47" i="39"/>
  <c r="Q46" i="39"/>
  <c r="D46" i="39"/>
  <c r="D47" i="39"/>
  <c r="M47" i="39"/>
  <c r="V100" i="26" l="1"/>
  <c r="Y100" i="26" s="1"/>
  <c r="Z100" i="26" s="1"/>
  <c r="V101" i="26"/>
  <c r="Y101" i="26" s="1"/>
  <c r="Z101" i="26" s="1"/>
  <c r="V102" i="26"/>
  <c r="Y102" i="26" s="1"/>
  <c r="Z102" i="26" s="1"/>
  <c r="V103" i="26"/>
  <c r="Y103" i="26" s="1"/>
  <c r="Z103" i="26" s="1"/>
  <c r="V104" i="26"/>
  <c r="Y104" i="26" s="1"/>
  <c r="Z104" i="26" s="1"/>
  <c r="P100" i="26"/>
  <c r="S100" i="26" s="1"/>
  <c r="T100" i="26" s="1"/>
  <c r="G100" i="26"/>
  <c r="H100" i="26" s="1"/>
  <c r="I100" i="26" s="1"/>
  <c r="P101" i="26"/>
  <c r="S101" i="26" s="1"/>
  <c r="T101" i="26" s="1"/>
  <c r="V105" i="26"/>
  <c r="Y105" i="26" s="1"/>
  <c r="Z105" i="26" s="1"/>
  <c r="P102" i="26"/>
  <c r="S102" i="26" s="1"/>
  <c r="T102" i="26" s="1"/>
  <c r="AC100" i="26"/>
  <c r="AD100" i="26" s="1"/>
  <c r="AE100" i="26" s="1"/>
  <c r="L101" i="26"/>
  <c r="G101" i="26"/>
  <c r="H101" i="26" s="1"/>
  <c r="I101" i="26" s="1"/>
  <c r="P103" i="26"/>
  <c r="S103" i="26" s="1"/>
  <c r="T103" i="26" s="1"/>
  <c r="AC101" i="26"/>
  <c r="AD101" i="26" s="1"/>
  <c r="AE101" i="26" s="1"/>
  <c r="C102" i="26"/>
  <c r="D102" i="26" s="1"/>
  <c r="E102" i="26" s="1"/>
  <c r="L100" i="26"/>
  <c r="C104" i="26"/>
  <c r="D104" i="26" s="1"/>
  <c r="E104" i="26" s="1"/>
  <c r="G102" i="26"/>
  <c r="H102" i="26" s="1"/>
  <c r="I102" i="26" s="1"/>
  <c r="C100" i="26"/>
  <c r="D100" i="26" s="1"/>
  <c r="E100" i="26" s="1"/>
  <c r="L102" i="26"/>
  <c r="C101" i="26"/>
  <c r="D101" i="26" s="1"/>
  <c r="E101" i="26" s="1"/>
  <c r="C103" i="26"/>
  <c r="D103" i="26" s="1"/>
  <c r="E103" i="26" s="1"/>
  <c r="P104" i="26"/>
  <c r="S104" i="26" s="1"/>
  <c r="T104" i="26" s="1"/>
  <c r="L103" i="26"/>
  <c r="AC102" i="26"/>
  <c r="AD102" i="26" s="1"/>
  <c r="AE102" i="26" s="1"/>
  <c r="C105" i="26"/>
  <c r="D105" i="26" s="1"/>
  <c r="E105" i="26" s="1"/>
  <c r="G103" i="26"/>
  <c r="H103" i="26" s="1"/>
  <c r="I103" i="26" s="1"/>
  <c r="G105" i="26"/>
  <c r="H105" i="26" s="1"/>
  <c r="I105" i="26" s="1"/>
  <c r="P105" i="26"/>
  <c r="S105" i="26" s="1"/>
  <c r="T105" i="26" s="1"/>
  <c r="G104" i="26"/>
  <c r="H104" i="26" s="1"/>
  <c r="I104" i="26" s="1"/>
  <c r="AC103" i="26"/>
  <c r="AD103" i="26" s="1"/>
  <c r="AE103" i="26" s="1"/>
  <c r="L104" i="26"/>
  <c r="AC104" i="26"/>
  <c r="AD104" i="26" s="1"/>
  <c r="AE104" i="26" s="1"/>
  <c r="AC105" i="26"/>
  <c r="AD105" i="26" s="1"/>
  <c r="AE105" i="26" s="1"/>
  <c r="L105" i="26"/>
  <c r="V34" i="26"/>
  <c r="Y34" i="26" s="1"/>
  <c r="Z34" i="26" s="1"/>
  <c r="V35" i="26"/>
  <c r="Y35" i="26" s="1"/>
  <c r="Z35" i="26" s="1"/>
  <c r="V36" i="26"/>
  <c r="Y36" i="26" s="1"/>
  <c r="Z36" i="26" s="1"/>
  <c r="V37" i="26"/>
  <c r="Y37" i="26" s="1"/>
  <c r="Z37" i="26" s="1"/>
  <c r="V38" i="26"/>
  <c r="Y38" i="26" s="1"/>
  <c r="Z38" i="26" s="1"/>
  <c r="P34" i="26"/>
  <c r="S34" i="26" s="1"/>
  <c r="T34" i="26" s="1"/>
  <c r="V39" i="26"/>
  <c r="Y39" i="26" s="1"/>
  <c r="Z39" i="26" s="1"/>
  <c r="P35" i="26"/>
  <c r="S35" i="26" s="1"/>
  <c r="T35" i="26" s="1"/>
  <c r="G34" i="26"/>
  <c r="H34" i="26" s="1"/>
  <c r="I34" i="26" s="1"/>
  <c r="P36" i="26"/>
  <c r="S36" i="26" s="1"/>
  <c r="T36" i="26" s="1"/>
  <c r="G35" i="26"/>
  <c r="H35" i="26" s="1"/>
  <c r="I35" i="26" s="1"/>
  <c r="AC34" i="26"/>
  <c r="AD34" i="26" s="1"/>
  <c r="AE34" i="26" s="1"/>
  <c r="L35" i="26"/>
  <c r="C38" i="26"/>
  <c r="D38" i="26" s="1"/>
  <c r="E38" i="26" s="1"/>
  <c r="C34" i="26"/>
  <c r="D34" i="26" s="1"/>
  <c r="E34" i="26" s="1"/>
  <c r="L36" i="26"/>
  <c r="C35" i="26"/>
  <c r="D35" i="26" s="1"/>
  <c r="E35" i="26" s="1"/>
  <c r="AC35" i="26"/>
  <c r="AD35" i="26" s="1"/>
  <c r="AE35" i="26" s="1"/>
  <c r="C36" i="26"/>
  <c r="D36" i="26" s="1"/>
  <c r="E36" i="26" s="1"/>
  <c r="C37" i="26"/>
  <c r="D37" i="26" s="1"/>
  <c r="E37" i="26" s="1"/>
  <c r="L34" i="26"/>
  <c r="P37" i="26"/>
  <c r="S37" i="26" s="1"/>
  <c r="T37" i="26" s="1"/>
  <c r="G36" i="26"/>
  <c r="H36" i="26" s="1"/>
  <c r="I36" i="26" s="1"/>
  <c r="AC36" i="26"/>
  <c r="AD36" i="26" s="1"/>
  <c r="AE36" i="26" s="1"/>
  <c r="C39" i="26"/>
  <c r="D39" i="26" s="1"/>
  <c r="E39" i="26" s="1"/>
  <c r="G37" i="26"/>
  <c r="H37" i="26" s="1"/>
  <c r="I37" i="26" s="1"/>
  <c r="L37" i="26"/>
  <c r="P38" i="26"/>
  <c r="S38" i="26" s="1"/>
  <c r="T38" i="26" s="1"/>
  <c r="G38" i="26"/>
  <c r="H38" i="26" s="1"/>
  <c r="I38" i="26" s="1"/>
  <c r="AC37" i="26"/>
  <c r="AD37" i="26" s="1"/>
  <c r="AE37" i="26" s="1"/>
  <c r="G39" i="26"/>
  <c r="H39" i="26" s="1"/>
  <c r="I39" i="26" s="1"/>
  <c r="P39" i="26"/>
  <c r="S39" i="26" s="1"/>
  <c r="T39" i="26" s="1"/>
  <c r="L38" i="26"/>
  <c r="L39" i="26"/>
  <c r="AC39" i="26"/>
  <c r="AD39" i="26" s="1"/>
  <c r="AE39" i="26" s="1"/>
  <c r="AC38" i="26"/>
  <c r="AD38" i="26" s="1"/>
  <c r="AE38" i="26" s="1"/>
  <c r="V67" i="26"/>
  <c r="Y67" i="26" s="1"/>
  <c r="Z67" i="26" s="1"/>
  <c r="V68" i="26"/>
  <c r="Y68" i="26" s="1"/>
  <c r="Z68" i="26" s="1"/>
  <c r="V69" i="26"/>
  <c r="Y69" i="26" s="1"/>
  <c r="Z69" i="26" s="1"/>
  <c r="V70" i="26"/>
  <c r="Y70" i="26" s="1"/>
  <c r="Z70" i="26" s="1"/>
  <c r="V71" i="26"/>
  <c r="Y71" i="26" s="1"/>
  <c r="Z71" i="26" s="1"/>
  <c r="P67" i="26"/>
  <c r="S67" i="26" s="1"/>
  <c r="T67" i="26" s="1"/>
  <c r="V72" i="26"/>
  <c r="Y72" i="26" s="1"/>
  <c r="Z72" i="26" s="1"/>
  <c r="G67" i="26"/>
  <c r="H67" i="26" s="1"/>
  <c r="I67" i="26" s="1"/>
  <c r="P68" i="26"/>
  <c r="S68" i="26" s="1"/>
  <c r="T68" i="26" s="1"/>
  <c r="P69" i="26"/>
  <c r="S69" i="26" s="1"/>
  <c r="T69" i="26" s="1"/>
  <c r="G68" i="26"/>
  <c r="H68" i="26" s="1"/>
  <c r="I68" i="26" s="1"/>
  <c r="AC67" i="26"/>
  <c r="AD67" i="26" s="1"/>
  <c r="AE67" i="26" s="1"/>
  <c r="L68" i="26"/>
  <c r="C69" i="26"/>
  <c r="D69" i="26" s="1"/>
  <c r="E69" i="26" s="1"/>
  <c r="C70" i="26"/>
  <c r="D70" i="26" s="1"/>
  <c r="E70" i="26" s="1"/>
  <c r="C67" i="26"/>
  <c r="D67" i="26" s="1"/>
  <c r="E67" i="26" s="1"/>
  <c r="P70" i="26"/>
  <c r="S70" i="26" s="1"/>
  <c r="T70" i="26" s="1"/>
  <c r="C71" i="26"/>
  <c r="D71" i="26" s="1"/>
  <c r="E71" i="26" s="1"/>
  <c r="L69" i="26"/>
  <c r="C68" i="26"/>
  <c r="D68" i="26" s="1"/>
  <c r="E68" i="26" s="1"/>
  <c r="G69" i="26"/>
  <c r="H69" i="26" s="1"/>
  <c r="I69" i="26" s="1"/>
  <c r="AC68" i="26"/>
  <c r="AD68" i="26" s="1"/>
  <c r="AE68" i="26" s="1"/>
  <c r="L67" i="26"/>
  <c r="L70" i="26"/>
  <c r="P71" i="26"/>
  <c r="S71" i="26" s="1"/>
  <c r="T71" i="26" s="1"/>
  <c r="G70" i="26"/>
  <c r="H70" i="26" s="1"/>
  <c r="I70" i="26" s="1"/>
  <c r="C72" i="26"/>
  <c r="D72" i="26" s="1"/>
  <c r="E72" i="26" s="1"/>
  <c r="AC69" i="26"/>
  <c r="AD69" i="26" s="1"/>
  <c r="AE69" i="26" s="1"/>
  <c r="AC70" i="26"/>
  <c r="AD70" i="26" s="1"/>
  <c r="AE70" i="26" s="1"/>
  <c r="L71" i="26"/>
  <c r="G72" i="26"/>
  <c r="H72" i="26" s="1"/>
  <c r="I72" i="26" s="1"/>
  <c r="P72" i="26"/>
  <c r="S72" i="26" s="1"/>
  <c r="T72" i="26" s="1"/>
  <c r="G71" i="26"/>
  <c r="H71" i="26" s="1"/>
  <c r="I71" i="26" s="1"/>
  <c r="AC72" i="26"/>
  <c r="AD72" i="26" s="1"/>
  <c r="AE72" i="26" s="1"/>
  <c r="AC71" i="26"/>
  <c r="AD71" i="26" s="1"/>
  <c r="AE71" i="26" s="1"/>
  <c r="L72" i="26"/>
  <c r="B41" i="17"/>
  <c r="B42" i="17"/>
  <c r="P81" i="26"/>
  <c r="V81" i="26"/>
  <c r="Y81" i="26" s="1"/>
  <c r="Z81" i="26" s="1"/>
  <c r="G81" i="26"/>
  <c r="H81" i="26" s="1"/>
  <c r="I81" i="26" s="1"/>
  <c r="AC81" i="26"/>
  <c r="AD81" i="26" s="1"/>
  <c r="AE81" i="26" s="1"/>
  <c r="AC83" i="26"/>
  <c r="AD83" i="26" s="1"/>
  <c r="AE83" i="26" s="1"/>
  <c r="C81" i="26"/>
  <c r="D81" i="26" s="1"/>
  <c r="E81" i="26" s="1"/>
  <c r="L81" i="26"/>
  <c r="AC85" i="26"/>
  <c r="AD85" i="26" s="1"/>
  <c r="AE85" i="26" s="1"/>
  <c r="AC84" i="26"/>
  <c r="AD84" i="26" s="1"/>
  <c r="AE84" i="26" s="1"/>
  <c r="P98" i="26"/>
  <c r="S98" i="26" s="1"/>
  <c r="T98" i="26" s="1"/>
  <c r="P94" i="26"/>
  <c r="S94" i="26" s="1"/>
  <c r="T94" i="26" s="1"/>
  <c r="L97" i="26"/>
  <c r="P97" i="26"/>
  <c r="L98" i="26"/>
  <c r="V98" i="26"/>
  <c r="Y98" i="26" s="1"/>
  <c r="Z98" i="26" s="1"/>
  <c r="V97" i="26"/>
  <c r="Y97" i="26" s="1"/>
  <c r="Z97" i="26" s="1"/>
  <c r="V94" i="26"/>
  <c r="L82" i="26"/>
  <c r="L94" i="26"/>
  <c r="L92" i="26"/>
  <c r="V96" i="26"/>
  <c r="V88" i="26"/>
  <c r="Y88" i="26" s="1"/>
  <c r="Z88" i="26" s="1"/>
  <c r="L89" i="26"/>
  <c r="P99" i="26"/>
  <c r="S99" i="26" s="1"/>
  <c r="T99" i="26" s="1"/>
  <c r="V91" i="26"/>
  <c r="V82" i="26"/>
  <c r="Y82" i="26" s="1"/>
  <c r="Z82" i="26" s="1"/>
  <c r="L93" i="26"/>
  <c r="P93" i="26"/>
  <c r="V87" i="26"/>
  <c r="Y87" i="26" s="1"/>
  <c r="Z87" i="26" s="1"/>
  <c r="P92" i="26"/>
  <c r="S92" i="26" s="1"/>
  <c r="T92" i="26" s="1"/>
  <c r="G82" i="26"/>
  <c r="H82" i="26" s="1"/>
  <c r="I82" i="26" s="1"/>
  <c r="L99" i="26"/>
  <c r="P96" i="26"/>
  <c r="P95" i="26"/>
  <c r="S95" i="26" s="1"/>
  <c r="T95" i="26" s="1"/>
  <c r="V99" i="26"/>
  <c r="L91" i="26"/>
  <c r="P91" i="26"/>
  <c r="S91" i="26" s="1"/>
  <c r="T91" i="26" s="1"/>
  <c r="L96" i="26"/>
  <c r="V95" i="26"/>
  <c r="V89" i="26"/>
  <c r="L90" i="26"/>
  <c r="V90" i="26"/>
  <c r="Y90" i="26" s="1"/>
  <c r="Z90" i="26" s="1"/>
  <c r="L87" i="26"/>
  <c r="V93" i="26"/>
  <c r="Y93" i="26" s="1"/>
  <c r="Z93" i="26" s="1"/>
  <c r="P90" i="26"/>
  <c r="S90" i="26" s="1"/>
  <c r="T90" i="26" s="1"/>
  <c r="V92" i="26"/>
  <c r="Y92" i="26" s="1"/>
  <c r="Z92" i="26" s="1"/>
  <c r="L88" i="26"/>
  <c r="C82" i="26"/>
  <c r="D82" i="26" s="1"/>
  <c r="E82" i="26" s="1"/>
  <c r="P82" i="26"/>
  <c r="S82" i="26" s="1"/>
  <c r="T82" i="26" s="1"/>
  <c r="P88" i="26"/>
  <c r="S88" i="26" s="1"/>
  <c r="T88" i="26" s="1"/>
  <c r="P87" i="26"/>
  <c r="S87" i="26" s="1"/>
  <c r="T87" i="26" s="1"/>
  <c r="P89" i="26"/>
  <c r="S89" i="26" s="1"/>
  <c r="T89" i="26" s="1"/>
  <c r="L95" i="26"/>
  <c r="P86" i="26"/>
  <c r="S86" i="26" s="1"/>
  <c r="T86" i="26" s="1"/>
  <c r="L86" i="26"/>
  <c r="V86" i="26"/>
  <c r="Y86" i="26" s="1"/>
  <c r="Z86" i="26" s="1"/>
  <c r="AC82" i="26"/>
  <c r="AD82" i="26" s="1"/>
  <c r="AE82" i="26" s="1"/>
  <c r="L85" i="26"/>
  <c r="C86" i="26"/>
  <c r="D86" i="26" s="1"/>
  <c r="E86" i="26" s="1"/>
  <c r="G85" i="26"/>
  <c r="H85" i="26" s="1"/>
  <c r="I85" i="26" s="1"/>
  <c r="P85" i="26"/>
  <c r="S85" i="26" s="1"/>
  <c r="T85" i="26" s="1"/>
  <c r="C85" i="26"/>
  <c r="D85" i="26" s="1"/>
  <c r="E85" i="26" s="1"/>
  <c r="V85" i="26"/>
  <c r="G83" i="26"/>
  <c r="H83" i="26" s="1"/>
  <c r="I83" i="26" s="1"/>
  <c r="G84" i="26"/>
  <c r="H84" i="26" s="1"/>
  <c r="I84" i="26" s="1"/>
  <c r="C87" i="26"/>
  <c r="D87" i="26" s="1"/>
  <c r="E87" i="26" s="1"/>
  <c r="G86" i="26"/>
  <c r="H86" i="26" s="1"/>
  <c r="I86" i="26" s="1"/>
  <c r="C84" i="26"/>
  <c r="D84" i="26" s="1"/>
  <c r="E84" i="26" s="1"/>
  <c r="C83" i="26"/>
  <c r="D83" i="26" s="1"/>
  <c r="E83" i="26" s="1"/>
  <c r="V84" i="26"/>
  <c r="Y84" i="26" s="1"/>
  <c r="Z84" i="26" s="1"/>
  <c r="L83" i="26"/>
  <c r="P83" i="26"/>
  <c r="S83" i="26" s="1"/>
  <c r="T83" i="26" s="1"/>
  <c r="L84" i="26"/>
  <c r="V83" i="26"/>
  <c r="Y83" i="26" s="1"/>
  <c r="Z83" i="26" s="1"/>
  <c r="P84" i="26"/>
  <c r="S84" i="26" s="1"/>
  <c r="T84" i="26" s="1"/>
  <c r="C88" i="26"/>
  <c r="D88" i="26" s="1"/>
  <c r="E88" i="26" s="1"/>
  <c r="G87" i="26"/>
  <c r="H87" i="26" s="1"/>
  <c r="I87" i="26" s="1"/>
  <c r="AC86" i="26"/>
  <c r="AD86" i="26" s="1"/>
  <c r="AE86" i="26" s="1"/>
  <c r="G88" i="26"/>
  <c r="H88" i="26" s="1"/>
  <c r="I88" i="26" s="1"/>
  <c r="C89" i="26"/>
  <c r="D89" i="26" s="1"/>
  <c r="E89" i="26" s="1"/>
  <c r="AC87" i="26"/>
  <c r="AD87" i="26" s="1"/>
  <c r="AE87" i="26" s="1"/>
  <c r="AC88" i="26"/>
  <c r="AD88" i="26" s="1"/>
  <c r="AE88" i="26" s="1"/>
  <c r="C90" i="26"/>
  <c r="D90" i="26" s="1"/>
  <c r="E90" i="26" s="1"/>
  <c r="G89" i="26"/>
  <c r="H89" i="26" s="1"/>
  <c r="I89" i="26" s="1"/>
  <c r="G90" i="26"/>
  <c r="H90" i="26" s="1"/>
  <c r="I90" i="26" s="1"/>
  <c r="AC89" i="26"/>
  <c r="AD89" i="26" s="1"/>
  <c r="AE89" i="26" s="1"/>
  <c r="C91" i="26"/>
  <c r="D91" i="26" s="1"/>
  <c r="E91" i="26" s="1"/>
  <c r="G91" i="26"/>
  <c r="H91" i="26" s="1"/>
  <c r="I91" i="26" s="1"/>
  <c r="AC90" i="26"/>
  <c r="AD90" i="26" s="1"/>
  <c r="AE90" i="26" s="1"/>
  <c r="C92" i="26"/>
  <c r="D92" i="26" s="1"/>
  <c r="E92" i="26" s="1"/>
  <c r="AC91" i="26"/>
  <c r="AD91" i="26" s="1"/>
  <c r="AE91" i="26" s="1"/>
  <c r="G92" i="26"/>
  <c r="H92" i="26" s="1"/>
  <c r="I92" i="26" s="1"/>
  <c r="C93" i="26"/>
  <c r="D93" i="26" s="1"/>
  <c r="E93" i="26" s="1"/>
  <c r="G93" i="26"/>
  <c r="H93" i="26" s="1"/>
  <c r="I93" i="26" s="1"/>
  <c r="C94" i="26"/>
  <c r="D94" i="26" s="1"/>
  <c r="E94" i="26" s="1"/>
  <c r="AC92" i="26"/>
  <c r="AD92" i="26" s="1"/>
  <c r="AE92" i="26" s="1"/>
  <c r="AC93" i="26"/>
  <c r="AD93" i="26" s="1"/>
  <c r="AE93" i="26" s="1"/>
  <c r="C95" i="26"/>
  <c r="D95" i="26" s="1"/>
  <c r="E95" i="26" s="1"/>
  <c r="G94" i="26"/>
  <c r="H94" i="26" s="1"/>
  <c r="I94" i="26" s="1"/>
  <c r="G95" i="26"/>
  <c r="H95" i="26" s="1"/>
  <c r="I95" i="26" s="1"/>
  <c r="AC94" i="26"/>
  <c r="AD94" i="26" s="1"/>
  <c r="AE94" i="26" s="1"/>
  <c r="C96" i="26"/>
  <c r="D96" i="26" s="1"/>
  <c r="E96" i="26" s="1"/>
  <c r="C97" i="26"/>
  <c r="D97" i="26" s="1"/>
  <c r="E97" i="26" s="1"/>
  <c r="AC95" i="26"/>
  <c r="AD95" i="26" s="1"/>
  <c r="AE95" i="26" s="1"/>
  <c r="G96" i="26"/>
  <c r="H96" i="26" s="1"/>
  <c r="I96" i="26" s="1"/>
  <c r="G97" i="26"/>
  <c r="H97" i="26" s="1"/>
  <c r="I97" i="26" s="1"/>
  <c r="C98" i="26"/>
  <c r="D98" i="26" s="1"/>
  <c r="E98" i="26" s="1"/>
  <c r="AC96" i="26"/>
  <c r="AD96" i="26" s="1"/>
  <c r="AE96" i="26" s="1"/>
  <c r="C99" i="26"/>
  <c r="D99" i="26" s="1"/>
  <c r="E99" i="26" s="1"/>
  <c r="AC97" i="26"/>
  <c r="AD97" i="26" s="1"/>
  <c r="AE97" i="26" s="1"/>
  <c r="G98" i="26"/>
  <c r="H98" i="26" s="1"/>
  <c r="I98" i="26" s="1"/>
  <c r="AC98" i="26"/>
  <c r="AD98" i="26" s="1"/>
  <c r="AE98" i="26" s="1"/>
  <c r="G99" i="26"/>
  <c r="H99" i="26" s="1"/>
  <c r="I99" i="26" s="1"/>
  <c r="AC99" i="26"/>
  <c r="AD99" i="26" s="1"/>
  <c r="AE99" i="26" s="1"/>
  <c r="S81" i="26"/>
  <c r="T81" i="26" s="1"/>
  <c r="Y89" i="26"/>
  <c r="Z89" i="26" s="1"/>
  <c r="P15" i="26"/>
  <c r="S15" i="26" s="1"/>
  <c r="T15" i="26" s="1"/>
  <c r="P14" i="26"/>
  <c r="V15" i="26"/>
  <c r="G15" i="26"/>
  <c r="H15" i="26" s="1"/>
  <c r="I15" i="26" s="1"/>
  <c r="AC15" i="26"/>
  <c r="AD15" i="26" s="1"/>
  <c r="AE15" i="26" s="1"/>
  <c r="L15" i="26"/>
  <c r="C15" i="26"/>
  <c r="D15" i="26" s="1"/>
  <c r="E15" i="26" s="1"/>
  <c r="AC17" i="26"/>
  <c r="AD17" i="26" s="1"/>
  <c r="AE17" i="26" s="1"/>
  <c r="AC18" i="26"/>
  <c r="AD18" i="26" s="1"/>
  <c r="AE18" i="26" s="1"/>
  <c r="AC19" i="26"/>
  <c r="AD19" i="26" s="1"/>
  <c r="AE19" i="26" s="1"/>
  <c r="V32" i="26"/>
  <c r="Y32" i="26" s="1"/>
  <c r="Z32" i="26" s="1"/>
  <c r="V31" i="26"/>
  <c r="L31" i="26"/>
  <c r="L16" i="26"/>
  <c r="P28" i="26"/>
  <c r="S28" i="26" s="1"/>
  <c r="T28" i="26" s="1"/>
  <c r="L28" i="26"/>
  <c r="V28" i="26"/>
  <c r="Y28" i="26" s="1"/>
  <c r="Z28" i="26" s="1"/>
  <c r="L32" i="26"/>
  <c r="P32" i="26"/>
  <c r="S32" i="26" s="1"/>
  <c r="T32" i="26" s="1"/>
  <c r="P31" i="26"/>
  <c r="S31" i="26" s="1"/>
  <c r="T31" i="26" s="1"/>
  <c r="L22" i="26"/>
  <c r="V27" i="26"/>
  <c r="Y27" i="26" s="1"/>
  <c r="Z27" i="26" s="1"/>
  <c r="C16" i="26"/>
  <c r="D16" i="26" s="1"/>
  <c r="E16" i="26" s="1"/>
  <c r="P16" i="26"/>
  <c r="S16" i="26" s="1"/>
  <c r="T16" i="26" s="1"/>
  <c r="P22" i="26"/>
  <c r="S22" i="26" s="1"/>
  <c r="T22" i="26" s="1"/>
  <c r="P21" i="26"/>
  <c r="S21" i="26" s="1"/>
  <c r="T21" i="26" s="1"/>
  <c r="L24" i="26"/>
  <c r="V24" i="26"/>
  <c r="Y24" i="26" s="1"/>
  <c r="Z24" i="26" s="1"/>
  <c r="V30" i="26"/>
  <c r="Y30" i="26" s="1"/>
  <c r="Z30" i="26" s="1"/>
  <c r="V22" i="26"/>
  <c r="Y22" i="26" s="1"/>
  <c r="Z22" i="26" s="1"/>
  <c r="V25" i="26"/>
  <c r="Y25" i="26" s="1"/>
  <c r="Z25" i="26" s="1"/>
  <c r="L21" i="26"/>
  <c r="L29" i="26"/>
  <c r="V33" i="26"/>
  <c r="Y33" i="26" s="1"/>
  <c r="Z33" i="26" s="1"/>
  <c r="P24" i="26"/>
  <c r="S24" i="26" s="1"/>
  <c r="T24" i="26" s="1"/>
  <c r="V26" i="26"/>
  <c r="Y26" i="26" s="1"/>
  <c r="Z26" i="26" s="1"/>
  <c r="V16" i="26"/>
  <c r="Y16" i="26" s="1"/>
  <c r="Z16" i="26" s="1"/>
  <c r="P26" i="26"/>
  <c r="S26" i="26" s="1"/>
  <c r="T26" i="26" s="1"/>
  <c r="L25" i="26"/>
  <c r="P25" i="26"/>
  <c r="S25" i="26" s="1"/>
  <c r="T25" i="26" s="1"/>
  <c r="L30" i="26"/>
  <c r="L33" i="26"/>
  <c r="V23" i="26"/>
  <c r="Y23" i="26" s="1"/>
  <c r="Z23" i="26" s="1"/>
  <c r="P30" i="26"/>
  <c r="S30" i="26" s="1"/>
  <c r="T30" i="26" s="1"/>
  <c r="L26" i="26"/>
  <c r="L23" i="26"/>
  <c r="P33" i="26"/>
  <c r="S33" i="26" s="1"/>
  <c r="T33" i="26" s="1"/>
  <c r="V29" i="26"/>
  <c r="Y29" i="26" s="1"/>
  <c r="Z29" i="26" s="1"/>
  <c r="L27" i="26"/>
  <c r="P27" i="26"/>
  <c r="S27" i="26" s="1"/>
  <c r="T27" i="26" s="1"/>
  <c r="V21" i="26"/>
  <c r="Y21" i="26" s="1"/>
  <c r="Z21" i="26" s="1"/>
  <c r="G16" i="26"/>
  <c r="H16" i="26" s="1"/>
  <c r="I16" i="26" s="1"/>
  <c r="P29" i="26"/>
  <c r="S29" i="26" s="1"/>
  <c r="T29" i="26" s="1"/>
  <c r="P23" i="26"/>
  <c r="S23" i="26" s="1"/>
  <c r="T23" i="26" s="1"/>
  <c r="V20" i="26"/>
  <c r="Y20" i="26" s="1"/>
  <c r="Z20" i="26" s="1"/>
  <c r="P20" i="26"/>
  <c r="S20" i="26" s="1"/>
  <c r="T20" i="26" s="1"/>
  <c r="L20" i="26"/>
  <c r="C20" i="26"/>
  <c r="D20" i="26" s="1"/>
  <c r="E20" i="26" s="1"/>
  <c r="G19" i="26"/>
  <c r="H19" i="26" s="1"/>
  <c r="I19" i="26" s="1"/>
  <c r="P19" i="26"/>
  <c r="S19" i="26" s="1"/>
  <c r="T19" i="26" s="1"/>
  <c r="C19" i="26"/>
  <c r="D19" i="26" s="1"/>
  <c r="E19" i="26" s="1"/>
  <c r="V19" i="26"/>
  <c r="Y19" i="26" s="1"/>
  <c r="Z19" i="26" s="1"/>
  <c r="AC16" i="26"/>
  <c r="AD16" i="26" s="1"/>
  <c r="AE16" i="26" s="1"/>
  <c r="L19" i="26"/>
  <c r="C17" i="26"/>
  <c r="D17" i="26" s="1"/>
  <c r="E17" i="26" s="1"/>
  <c r="P18" i="26"/>
  <c r="S18" i="26" s="1"/>
  <c r="T18" i="26" s="1"/>
  <c r="V18" i="26"/>
  <c r="Y18" i="26" s="1"/>
  <c r="Z18" i="26" s="1"/>
  <c r="P17" i="26"/>
  <c r="S17" i="26" s="1"/>
  <c r="T17" i="26" s="1"/>
  <c r="L18" i="26"/>
  <c r="V17" i="26"/>
  <c r="Y17" i="26" s="1"/>
  <c r="Z17" i="26" s="1"/>
  <c r="C18" i="26"/>
  <c r="D18" i="26" s="1"/>
  <c r="E18" i="26" s="1"/>
  <c r="G18" i="26"/>
  <c r="H18" i="26" s="1"/>
  <c r="I18" i="26" s="1"/>
  <c r="L17" i="26"/>
  <c r="C21" i="26"/>
  <c r="D21" i="26" s="1"/>
  <c r="E21" i="26" s="1"/>
  <c r="G20" i="26"/>
  <c r="H20" i="26" s="1"/>
  <c r="I20" i="26" s="1"/>
  <c r="G17" i="26"/>
  <c r="H17" i="26" s="1"/>
  <c r="I17" i="26" s="1"/>
  <c r="G21" i="26"/>
  <c r="H21" i="26" s="1"/>
  <c r="I21" i="26" s="1"/>
  <c r="AC20" i="26"/>
  <c r="AD20" i="26" s="1"/>
  <c r="AE20" i="26" s="1"/>
  <c r="C22" i="26"/>
  <c r="D22" i="26" s="1"/>
  <c r="E22" i="26" s="1"/>
  <c r="AC21" i="26"/>
  <c r="AD21" i="26" s="1"/>
  <c r="AE21" i="26" s="1"/>
  <c r="C23" i="26"/>
  <c r="D23" i="26" s="1"/>
  <c r="E23" i="26" s="1"/>
  <c r="G22" i="26"/>
  <c r="H22" i="26" s="1"/>
  <c r="I22" i="26" s="1"/>
  <c r="C24" i="26"/>
  <c r="D24" i="26" s="1"/>
  <c r="E24" i="26" s="1"/>
  <c r="G23" i="26"/>
  <c r="H23" i="26" s="1"/>
  <c r="I23" i="26" s="1"/>
  <c r="AC22" i="26"/>
  <c r="AD22" i="26" s="1"/>
  <c r="AE22" i="26" s="1"/>
  <c r="C25" i="26"/>
  <c r="D25" i="26" s="1"/>
  <c r="E25" i="26" s="1"/>
  <c r="G24" i="26"/>
  <c r="H24" i="26" s="1"/>
  <c r="I24" i="26" s="1"/>
  <c r="AC23" i="26"/>
  <c r="AD23" i="26" s="1"/>
  <c r="AE23" i="26" s="1"/>
  <c r="AC24" i="26"/>
  <c r="AD24" i="26" s="1"/>
  <c r="AE24" i="26" s="1"/>
  <c r="C26" i="26"/>
  <c r="D26" i="26" s="1"/>
  <c r="E26" i="26" s="1"/>
  <c r="G25" i="26"/>
  <c r="H25" i="26" s="1"/>
  <c r="I25" i="26" s="1"/>
  <c r="G26" i="26"/>
  <c r="H26" i="26" s="1"/>
  <c r="I26" i="26" s="1"/>
  <c r="C27" i="26"/>
  <c r="D27" i="26" s="1"/>
  <c r="E27" i="26" s="1"/>
  <c r="AC25" i="26"/>
  <c r="AD25" i="26" s="1"/>
  <c r="AE25" i="26" s="1"/>
  <c r="G27" i="26"/>
  <c r="H27" i="26" s="1"/>
  <c r="I27" i="26" s="1"/>
  <c r="AC26" i="26"/>
  <c r="AD26" i="26" s="1"/>
  <c r="AE26" i="26" s="1"/>
  <c r="C28" i="26"/>
  <c r="D28" i="26" s="1"/>
  <c r="E28" i="26" s="1"/>
  <c r="AC27" i="26"/>
  <c r="AD27" i="26" s="1"/>
  <c r="AE27" i="26" s="1"/>
  <c r="G28" i="26"/>
  <c r="H28" i="26" s="1"/>
  <c r="I28" i="26" s="1"/>
  <c r="C29" i="26"/>
  <c r="D29" i="26" s="1"/>
  <c r="E29" i="26" s="1"/>
  <c r="G29" i="26"/>
  <c r="H29" i="26" s="1"/>
  <c r="I29" i="26" s="1"/>
  <c r="AC28" i="26"/>
  <c r="C30" i="26"/>
  <c r="D30" i="26" s="1"/>
  <c r="E30" i="26" s="1"/>
  <c r="AC29" i="26"/>
  <c r="AD29" i="26" s="1"/>
  <c r="AE29" i="26" s="1"/>
  <c r="G30" i="26"/>
  <c r="H30" i="26" s="1"/>
  <c r="I30" i="26" s="1"/>
  <c r="C31" i="26"/>
  <c r="D31" i="26" s="1"/>
  <c r="E31" i="26" s="1"/>
  <c r="AC30" i="26"/>
  <c r="G31" i="26"/>
  <c r="H31" i="26" s="1"/>
  <c r="I31" i="26" s="1"/>
  <c r="C32" i="26"/>
  <c r="D32" i="26" s="1"/>
  <c r="E32" i="26" s="1"/>
  <c r="AC31" i="26"/>
  <c r="AD31" i="26" s="1"/>
  <c r="AE31" i="26" s="1"/>
  <c r="G32" i="26"/>
  <c r="H32" i="26" s="1"/>
  <c r="I32" i="26" s="1"/>
  <c r="C33" i="26"/>
  <c r="D33" i="26" s="1"/>
  <c r="E33" i="26" s="1"/>
  <c r="G33" i="26"/>
  <c r="H33" i="26" s="1"/>
  <c r="I33" i="26" s="1"/>
  <c r="AC32" i="26"/>
  <c r="AC33" i="26"/>
  <c r="AD33" i="26" s="1"/>
  <c r="AE33" i="26" s="1"/>
  <c r="Y96" i="26"/>
  <c r="Z96" i="26" s="1"/>
  <c r="S93" i="26"/>
  <c r="T93" i="26" s="1"/>
  <c r="S97" i="26"/>
  <c r="T97" i="26" s="1"/>
  <c r="P48" i="26"/>
  <c r="S48" i="26" s="1"/>
  <c r="T48" i="26" s="1"/>
  <c r="V48" i="26"/>
  <c r="Y48" i="26" s="1"/>
  <c r="Z48" i="26" s="1"/>
  <c r="G48" i="26"/>
  <c r="H48" i="26" s="1"/>
  <c r="I48" i="26" s="1"/>
  <c r="AC48" i="26"/>
  <c r="AD48" i="26" s="1"/>
  <c r="AE48" i="26" s="1"/>
  <c r="L48" i="26"/>
  <c r="C48" i="26"/>
  <c r="D48" i="26" s="1"/>
  <c r="E48" i="26" s="1"/>
  <c r="AC50" i="26"/>
  <c r="AD50" i="26" s="1"/>
  <c r="AE50" i="26" s="1"/>
  <c r="AC52" i="26"/>
  <c r="AD52" i="26" s="1"/>
  <c r="AE52" i="26" s="1"/>
  <c r="AC51" i="26"/>
  <c r="AD51" i="26" s="1"/>
  <c r="AE51" i="26" s="1"/>
  <c r="L61" i="26"/>
  <c r="V61" i="26"/>
  <c r="Y61" i="26" s="1"/>
  <c r="Z61" i="26" s="1"/>
  <c r="L49" i="26"/>
  <c r="L65" i="26"/>
  <c r="P65" i="26"/>
  <c r="S65" i="26" s="1"/>
  <c r="T65" i="26" s="1"/>
  <c r="L64" i="26"/>
  <c r="P64" i="26"/>
  <c r="S64" i="26" s="1"/>
  <c r="T64" i="26" s="1"/>
  <c r="P61" i="26"/>
  <c r="S61" i="26" s="1"/>
  <c r="T61" i="26" s="1"/>
  <c r="V65" i="26"/>
  <c r="Y65" i="26" s="1"/>
  <c r="Z65" i="26" s="1"/>
  <c r="V64" i="26"/>
  <c r="Y64" i="26" s="1"/>
  <c r="Z64" i="26" s="1"/>
  <c r="L54" i="26"/>
  <c r="L62" i="26"/>
  <c r="V66" i="26"/>
  <c r="Y66" i="26" s="1"/>
  <c r="Z66" i="26" s="1"/>
  <c r="P57" i="26"/>
  <c r="S57" i="26" s="1"/>
  <c r="T57" i="26" s="1"/>
  <c r="V59" i="26"/>
  <c r="Y59" i="26" s="1"/>
  <c r="Z59" i="26" s="1"/>
  <c r="L60" i="26"/>
  <c r="V54" i="26"/>
  <c r="Y54" i="26" s="1"/>
  <c r="Z54" i="26" s="1"/>
  <c r="G49" i="26"/>
  <c r="H49" i="26" s="1"/>
  <c r="I49" i="26" s="1"/>
  <c r="C49" i="26"/>
  <c r="D49" i="26" s="1"/>
  <c r="E49" i="26" s="1"/>
  <c r="P54" i="26"/>
  <c r="S54" i="26" s="1"/>
  <c r="T54" i="26" s="1"/>
  <c r="V62" i="26"/>
  <c r="Y62" i="26" s="1"/>
  <c r="Z62" i="26" s="1"/>
  <c r="L59" i="26"/>
  <c r="L56" i="26"/>
  <c r="P66" i="26"/>
  <c r="S66" i="26" s="1"/>
  <c r="T66" i="26" s="1"/>
  <c r="V60" i="26"/>
  <c r="Y60" i="26" s="1"/>
  <c r="Z60" i="26" s="1"/>
  <c r="P60" i="26"/>
  <c r="P56" i="26"/>
  <c r="S56" i="26" s="1"/>
  <c r="T56" i="26" s="1"/>
  <c r="L55" i="26"/>
  <c r="P55" i="26"/>
  <c r="S55" i="26" s="1"/>
  <c r="T55" i="26" s="1"/>
  <c r="V63" i="26"/>
  <c r="Y63" i="26" s="1"/>
  <c r="Z63" i="26" s="1"/>
  <c r="V55" i="26"/>
  <c r="Y55" i="26" s="1"/>
  <c r="Z55" i="26" s="1"/>
  <c r="L58" i="26"/>
  <c r="P58" i="26"/>
  <c r="S58" i="26" s="1"/>
  <c r="T58" i="26" s="1"/>
  <c r="V58" i="26"/>
  <c r="Y58" i="26" s="1"/>
  <c r="Z58" i="26" s="1"/>
  <c r="L63" i="26"/>
  <c r="L66" i="26"/>
  <c r="V56" i="26"/>
  <c r="Y56" i="26" s="1"/>
  <c r="Z56" i="26" s="1"/>
  <c r="V49" i="26"/>
  <c r="Y49" i="26" s="1"/>
  <c r="Z49" i="26" s="1"/>
  <c r="P59" i="26"/>
  <c r="S59" i="26" s="1"/>
  <c r="T59" i="26" s="1"/>
  <c r="L57" i="26"/>
  <c r="P63" i="26"/>
  <c r="S63" i="26" s="1"/>
  <c r="T63" i="26" s="1"/>
  <c r="P62" i="26"/>
  <c r="S62" i="26" s="1"/>
  <c r="T62" i="26" s="1"/>
  <c r="V57" i="26"/>
  <c r="Y57" i="26" s="1"/>
  <c r="Z57" i="26" s="1"/>
  <c r="P49" i="26"/>
  <c r="S49" i="26" s="1"/>
  <c r="T49" i="26" s="1"/>
  <c r="P53" i="26"/>
  <c r="S53" i="26" s="1"/>
  <c r="T53" i="26" s="1"/>
  <c r="L53" i="26"/>
  <c r="V53" i="26"/>
  <c r="Y53" i="26" s="1"/>
  <c r="Z53" i="26" s="1"/>
  <c r="G52" i="26"/>
  <c r="H52" i="26" s="1"/>
  <c r="I52" i="26" s="1"/>
  <c r="P52" i="26"/>
  <c r="S52" i="26" s="1"/>
  <c r="T52" i="26" s="1"/>
  <c r="C52" i="26"/>
  <c r="D52" i="26" s="1"/>
  <c r="E52" i="26" s="1"/>
  <c r="V52" i="26"/>
  <c r="Y52" i="26" s="1"/>
  <c r="Z52" i="26" s="1"/>
  <c r="AC49" i="26"/>
  <c r="AD49" i="26" s="1"/>
  <c r="AE49" i="26" s="1"/>
  <c r="L52" i="26"/>
  <c r="C53" i="26"/>
  <c r="D53" i="26" s="1"/>
  <c r="E53" i="26" s="1"/>
  <c r="P50" i="26"/>
  <c r="S50" i="26" s="1"/>
  <c r="T50" i="26" s="1"/>
  <c r="L51" i="26"/>
  <c r="V50" i="26"/>
  <c r="Y50" i="26" s="1"/>
  <c r="Z50" i="26" s="1"/>
  <c r="G50" i="26"/>
  <c r="H50" i="26" s="1"/>
  <c r="I50" i="26" s="1"/>
  <c r="G51" i="26"/>
  <c r="H51" i="26" s="1"/>
  <c r="I51" i="26" s="1"/>
  <c r="L50" i="26"/>
  <c r="C50" i="26"/>
  <c r="D50" i="26" s="1"/>
  <c r="E50" i="26" s="1"/>
  <c r="P51" i="26"/>
  <c r="S51" i="26" s="1"/>
  <c r="T51" i="26" s="1"/>
  <c r="C51" i="26"/>
  <c r="D51" i="26" s="1"/>
  <c r="E51" i="26" s="1"/>
  <c r="V51" i="26"/>
  <c r="Y51" i="26" s="1"/>
  <c r="Z51" i="26" s="1"/>
  <c r="G53" i="26"/>
  <c r="H53" i="26" s="1"/>
  <c r="I53" i="26" s="1"/>
  <c r="C54" i="26"/>
  <c r="D54" i="26" s="1"/>
  <c r="E54" i="26" s="1"/>
  <c r="AC53" i="26"/>
  <c r="AD53" i="26" s="1"/>
  <c r="AE53" i="26" s="1"/>
  <c r="C55" i="26"/>
  <c r="D55" i="26" s="1"/>
  <c r="E55" i="26" s="1"/>
  <c r="G54" i="26"/>
  <c r="H54" i="26" s="1"/>
  <c r="I54" i="26" s="1"/>
  <c r="C56" i="26"/>
  <c r="D56" i="26" s="1"/>
  <c r="E56" i="26" s="1"/>
  <c r="G55" i="26"/>
  <c r="H55" i="26" s="1"/>
  <c r="I55" i="26" s="1"/>
  <c r="AC54" i="26"/>
  <c r="AD54" i="26" s="1"/>
  <c r="AE54" i="26" s="1"/>
  <c r="G56" i="26"/>
  <c r="H56" i="26" s="1"/>
  <c r="I56" i="26" s="1"/>
  <c r="C57" i="26"/>
  <c r="D57" i="26" s="1"/>
  <c r="E57" i="26" s="1"/>
  <c r="AC55" i="26"/>
  <c r="AD55" i="26" s="1"/>
  <c r="AE55" i="26" s="1"/>
  <c r="G57" i="26"/>
  <c r="H57" i="26" s="1"/>
  <c r="I57" i="26" s="1"/>
  <c r="AC56" i="26"/>
  <c r="AD56" i="26" s="1"/>
  <c r="AE56" i="26" s="1"/>
  <c r="C58" i="26"/>
  <c r="D58" i="26" s="1"/>
  <c r="E58" i="26" s="1"/>
  <c r="G58" i="26"/>
  <c r="H58" i="26" s="1"/>
  <c r="I58" i="26" s="1"/>
  <c r="AC57" i="26"/>
  <c r="AD57" i="26" s="1"/>
  <c r="AE57" i="26" s="1"/>
  <c r="C59" i="26"/>
  <c r="D59" i="26" s="1"/>
  <c r="E59" i="26" s="1"/>
  <c r="G59" i="26"/>
  <c r="H59" i="26" s="1"/>
  <c r="I59" i="26" s="1"/>
  <c r="C60" i="26"/>
  <c r="D60" i="26" s="1"/>
  <c r="E60" i="26" s="1"/>
  <c r="AC58" i="26"/>
  <c r="AD58" i="26" s="1"/>
  <c r="AE58" i="26" s="1"/>
  <c r="AC59" i="26"/>
  <c r="AD59" i="26" s="1"/>
  <c r="AE59" i="26" s="1"/>
  <c r="C61" i="26"/>
  <c r="D61" i="26" s="1"/>
  <c r="E61" i="26" s="1"/>
  <c r="G60" i="26"/>
  <c r="H60" i="26" s="1"/>
  <c r="I60" i="26" s="1"/>
  <c r="C62" i="26"/>
  <c r="D62" i="26" s="1"/>
  <c r="E62" i="26" s="1"/>
  <c r="AC60" i="26"/>
  <c r="AD60" i="26" s="1"/>
  <c r="AE60" i="26" s="1"/>
  <c r="G61" i="26"/>
  <c r="H61" i="26" s="1"/>
  <c r="I61" i="26" s="1"/>
  <c r="G62" i="26"/>
  <c r="H62" i="26" s="1"/>
  <c r="I62" i="26" s="1"/>
  <c r="AC61" i="26"/>
  <c r="AD61" i="26" s="1"/>
  <c r="AE61" i="26" s="1"/>
  <c r="C63" i="26"/>
  <c r="D63" i="26" s="1"/>
  <c r="E63" i="26" s="1"/>
  <c r="C64" i="26"/>
  <c r="D64" i="26" s="1"/>
  <c r="E64" i="26" s="1"/>
  <c r="AC62" i="26"/>
  <c r="AD62" i="26" s="1"/>
  <c r="AE62" i="26" s="1"/>
  <c r="G63" i="26"/>
  <c r="H63" i="26" s="1"/>
  <c r="I63" i="26" s="1"/>
  <c r="G64" i="26"/>
  <c r="H64" i="26" s="1"/>
  <c r="I64" i="26" s="1"/>
  <c r="C65" i="26"/>
  <c r="D65" i="26" s="1"/>
  <c r="E65" i="26" s="1"/>
  <c r="AC63" i="26"/>
  <c r="AD63" i="26" s="1"/>
  <c r="AE63" i="26" s="1"/>
  <c r="AC64" i="26"/>
  <c r="AD64" i="26" s="1"/>
  <c r="AE64" i="26" s="1"/>
  <c r="G65" i="26"/>
  <c r="H65" i="26" s="1"/>
  <c r="I65" i="26" s="1"/>
  <c r="C66" i="26"/>
  <c r="D66" i="26" s="1"/>
  <c r="E66" i="26" s="1"/>
  <c r="G66" i="26"/>
  <c r="H66" i="26" s="1"/>
  <c r="I66" i="26" s="1"/>
  <c r="AC65" i="26"/>
  <c r="AD65" i="26" s="1"/>
  <c r="AE65" i="26" s="1"/>
  <c r="AC66" i="26"/>
  <c r="AD66" i="26" s="1"/>
  <c r="AE66" i="26" s="1"/>
  <c r="S60" i="26"/>
  <c r="T60" i="26" s="1"/>
  <c r="Y15" i="26"/>
  <c r="Z15" i="26" s="1"/>
  <c r="Y31" i="26"/>
  <c r="Z31" i="26" s="1"/>
  <c r="Y91" i="26"/>
  <c r="Z91" i="26" s="1"/>
  <c r="S96" i="26"/>
  <c r="T96" i="26" s="1"/>
  <c r="Y99" i="26"/>
  <c r="Z99" i="26" s="1"/>
  <c r="Y95" i="26"/>
  <c r="Z95" i="26" s="1"/>
  <c r="Y85" i="26"/>
  <c r="Z85" i="26" s="1"/>
  <c r="Y94" i="26"/>
  <c r="Z94" i="26" s="1"/>
  <c r="Q35" i="17"/>
  <c r="F36" i="17"/>
  <c r="G24" i="23" s="1"/>
  <c r="C36" i="23" s="1"/>
  <c r="P47" i="26"/>
  <c r="V47" i="26"/>
  <c r="F42" i="17"/>
  <c r="AC5" i="17" s="1"/>
  <c r="Q29" i="23" s="1"/>
  <c r="F35" i="17"/>
  <c r="M42" i="17"/>
  <c r="AE5" i="17" s="1"/>
  <c r="S29" i="23" s="1"/>
  <c r="M35" i="17"/>
  <c r="I36" i="17"/>
  <c r="H24" i="23" s="1"/>
  <c r="V14" i="26"/>
  <c r="P80" i="26"/>
  <c r="V80" i="26"/>
  <c r="Y80" i="26" s="1"/>
  <c r="Z80" i="26" s="1"/>
  <c r="I42" i="17"/>
  <c r="AD5" i="17" s="1"/>
  <c r="R29" i="23" s="1"/>
  <c r="I35" i="17"/>
  <c r="B36" i="17"/>
  <c r="D24" i="23" s="1"/>
  <c r="B36" i="39"/>
  <c r="D26" i="23" s="1"/>
  <c r="M36" i="39"/>
  <c r="I26" i="23" s="1"/>
  <c r="L14" i="26"/>
  <c r="B35" i="17"/>
  <c r="B36" i="42"/>
  <c r="D27" i="23" s="1"/>
  <c r="M36" i="17"/>
  <c r="I24" i="23" s="1"/>
  <c r="C38" i="23" s="1"/>
  <c r="Q36" i="42"/>
  <c r="F27" i="23" s="1"/>
  <c r="F36" i="42"/>
  <c r="G27" i="23" s="1"/>
  <c r="Q36" i="17"/>
  <c r="F24" i="23" s="1"/>
  <c r="F35" i="42"/>
  <c r="B35" i="42"/>
  <c r="M36" i="42"/>
  <c r="I27" i="23" s="1"/>
  <c r="I36" i="42"/>
  <c r="H27" i="23" s="1"/>
  <c r="F35" i="39"/>
  <c r="Q35" i="42"/>
  <c r="M35" i="42"/>
  <c r="I35" i="42"/>
  <c r="F36" i="39"/>
  <c r="G26" i="23" s="1"/>
  <c r="B35" i="39"/>
  <c r="M35" i="39"/>
  <c r="I35" i="39"/>
  <c r="Q35" i="39"/>
  <c r="I36" i="39"/>
  <c r="H26" i="23" s="1"/>
  <c r="Q36" i="39"/>
  <c r="F26" i="23" s="1"/>
  <c r="F41" i="42"/>
  <c r="M41" i="42"/>
  <c r="Q41" i="42"/>
  <c r="I41" i="42"/>
  <c r="F41" i="39"/>
  <c r="I41" i="39"/>
  <c r="M41" i="39"/>
  <c r="Q41" i="39"/>
  <c r="I41" i="17"/>
  <c r="Z5" i="17"/>
  <c r="N29" i="23" s="1"/>
  <c r="Q42" i="17"/>
  <c r="AB5" i="17" s="1"/>
  <c r="P29" i="23" s="1"/>
  <c r="AC14" i="26"/>
  <c r="AD14" i="26" s="1"/>
  <c r="AE14" i="26" s="1"/>
  <c r="C14" i="26"/>
  <c r="D14" i="26" s="1"/>
  <c r="E14" i="26" s="1"/>
  <c r="G14" i="26"/>
  <c r="H14" i="26" s="1"/>
  <c r="I14" i="26" s="1"/>
  <c r="B40" i="42"/>
  <c r="Y5" i="42" s="1"/>
  <c r="B41" i="42"/>
  <c r="Y5" i="39"/>
  <c r="B41" i="39"/>
  <c r="C47" i="26"/>
  <c r="D47" i="26" s="1"/>
  <c r="E47" i="26" s="1"/>
  <c r="AC47" i="26"/>
  <c r="AD47" i="26" s="1"/>
  <c r="AE47" i="26" s="1"/>
  <c r="G47" i="26"/>
  <c r="H47" i="26" s="1"/>
  <c r="I47" i="26" s="1"/>
  <c r="L47" i="26"/>
  <c r="G80" i="26"/>
  <c r="H80" i="26" s="1"/>
  <c r="I80" i="26" s="1"/>
  <c r="AC80" i="26"/>
  <c r="AD80" i="26" s="1"/>
  <c r="AE80" i="26" s="1"/>
  <c r="C80" i="26"/>
  <c r="D80" i="26" s="1"/>
  <c r="E80" i="26" s="1"/>
  <c r="L80" i="26"/>
  <c r="Q41" i="17"/>
  <c r="F5" i="26"/>
  <c r="F7" i="26"/>
  <c r="F6" i="26"/>
  <c r="Q40" i="42"/>
  <c r="AA5" i="42" s="1"/>
  <c r="M41" i="17"/>
  <c r="AA5" i="17"/>
  <c r="O29" i="23" s="1"/>
  <c r="D41" i="17"/>
  <c r="I40" i="39"/>
  <c r="AC5" i="39" s="1"/>
  <c r="F40" i="42"/>
  <c r="AB5" i="42" s="1"/>
  <c r="M40" i="39"/>
  <c r="AD5" i="39" s="1"/>
  <c r="M40" i="42"/>
  <c r="AD5" i="42" s="1"/>
  <c r="I40" i="42"/>
  <c r="AC5" i="42" s="1"/>
  <c r="F40" i="39"/>
  <c r="AB5" i="39" s="1"/>
  <c r="D40" i="42"/>
  <c r="Z5" i="42" s="1"/>
  <c r="D40" i="39"/>
  <c r="Z5" i="39" s="1"/>
  <c r="H28" i="23" l="1"/>
  <c r="C37" i="23"/>
  <c r="I38" i="23"/>
  <c r="F38" i="23"/>
  <c r="I37" i="23"/>
  <c r="F37" i="23"/>
  <c r="F36" i="23"/>
  <c r="I36" i="23"/>
  <c r="K68" i="26"/>
  <c r="M68" i="26" s="1"/>
  <c r="N68" i="26" s="1"/>
  <c r="K67" i="26"/>
  <c r="M67" i="26" s="1"/>
  <c r="N67" i="26" s="1"/>
  <c r="K69" i="26"/>
  <c r="M69" i="26" s="1"/>
  <c r="N69" i="26" s="1"/>
  <c r="K70" i="26"/>
  <c r="M70" i="26" s="1"/>
  <c r="N70" i="26" s="1"/>
  <c r="K72" i="26"/>
  <c r="M72" i="26" s="1"/>
  <c r="N72" i="26" s="1"/>
  <c r="K71" i="26"/>
  <c r="M71" i="26" s="1"/>
  <c r="N71" i="26" s="1"/>
  <c r="K101" i="26"/>
  <c r="M101" i="26" s="1"/>
  <c r="N101" i="26" s="1"/>
  <c r="K100" i="26"/>
  <c r="M100" i="26" s="1"/>
  <c r="N100" i="26" s="1"/>
  <c r="K102" i="26"/>
  <c r="M102" i="26" s="1"/>
  <c r="N102" i="26" s="1"/>
  <c r="K103" i="26"/>
  <c r="M103" i="26" s="1"/>
  <c r="N103" i="26" s="1"/>
  <c r="K105" i="26"/>
  <c r="M105" i="26" s="1"/>
  <c r="N105" i="26" s="1"/>
  <c r="K104" i="26"/>
  <c r="M104" i="26" s="1"/>
  <c r="N104" i="26" s="1"/>
  <c r="K35" i="26"/>
  <c r="M35" i="26" s="1"/>
  <c r="N35" i="26" s="1"/>
  <c r="K34" i="26"/>
  <c r="M34" i="26" s="1"/>
  <c r="N34" i="26" s="1"/>
  <c r="K36" i="26"/>
  <c r="M36" i="26" s="1"/>
  <c r="N36" i="26" s="1"/>
  <c r="K37" i="26"/>
  <c r="M37" i="26" s="1"/>
  <c r="N37" i="26" s="1"/>
  <c r="K38" i="26"/>
  <c r="M38" i="26" s="1"/>
  <c r="N38" i="26" s="1"/>
  <c r="K39" i="26"/>
  <c r="M39" i="26" s="1"/>
  <c r="N39" i="26" s="1"/>
  <c r="AD32" i="26"/>
  <c r="AE32" i="26" s="1"/>
  <c r="AD28" i="26"/>
  <c r="AE28" i="26" s="1"/>
  <c r="K22" i="26"/>
  <c r="M22" i="26" s="1"/>
  <c r="N22" i="26" s="1"/>
  <c r="K18" i="26"/>
  <c r="M18" i="26" s="1"/>
  <c r="N18" i="26" s="1"/>
  <c r="K16" i="26"/>
  <c r="M16" i="26" s="1"/>
  <c r="N16" i="26" s="1"/>
  <c r="K32" i="26"/>
  <c r="M32" i="26" s="1"/>
  <c r="N32" i="26" s="1"/>
  <c r="K28" i="26"/>
  <c r="M28" i="26" s="1"/>
  <c r="N28" i="26" s="1"/>
  <c r="K24" i="26"/>
  <c r="M24" i="26" s="1"/>
  <c r="N24" i="26" s="1"/>
  <c r="K19" i="26"/>
  <c r="M19" i="26" s="1"/>
  <c r="N19" i="26" s="1"/>
  <c r="K15" i="26"/>
  <c r="M15" i="26" s="1"/>
  <c r="N15" i="26" s="1"/>
  <c r="K31" i="26"/>
  <c r="M31" i="26" s="1"/>
  <c r="N31" i="26" s="1"/>
  <c r="K27" i="26"/>
  <c r="M27" i="26" s="1"/>
  <c r="N27" i="26" s="1"/>
  <c r="K23" i="26"/>
  <c r="M23" i="26" s="1"/>
  <c r="N23" i="26" s="1"/>
  <c r="K21" i="26"/>
  <c r="M21" i="26" s="1"/>
  <c r="N21" i="26" s="1"/>
  <c r="K26" i="26"/>
  <c r="M26" i="26" s="1"/>
  <c r="N26" i="26" s="1"/>
  <c r="K33" i="26"/>
  <c r="M33" i="26" s="1"/>
  <c r="N33" i="26" s="1"/>
  <c r="K29" i="26"/>
  <c r="K25" i="26"/>
  <c r="M25" i="26" s="1"/>
  <c r="N25" i="26" s="1"/>
  <c r="K20" i="26"/>
  <c r="M20" i="26" s="1"/>
  <c r="N20" i="26" s="1"/>
  <c r="K30" i="26"/>
  <c r="M30" i="26" s="1"/>
  <c r="N30" i="26" s="1"/>
  <c r="K17" i="26"/>
  <c r="M17" i="26" s="1"/>
  <c r="N17" i="26" s="1"/>
  <c r="K55" i="26"/>
  <c r="M55" i="26" s="1"/>
  <c r="N55" i="26" s="1"/>
  <c r="K60" i="26"/>
  <c r="M60" i="26" s="1"/>
  <c r="N60" i="26" s="1"/>
  <c r="K56" i="26"/>
  <c r="M56" i="26" s="1"/>
  <c r="N56" i="26" s="1"/>
  <c r="K66" i="26"/>
  <c r="M66" i="26" s="1"/>
  <c r="N66" i="26" s="1"/>
  <c r="K62" i="26"/>
  <c r="M62" i="26" s="1"/>
  <c r="N62" i="26" s="1"/>
  <c r="K58" i="26"/>
  <c r="M58" i="26" s="1"/>
  <c r="N58" i="26" s="1"/>
  <c r="K53" i="26"/>
  <c r="M53" i="26" s="1"/>
  <c r="N53" i="26" s="1"/>
  <c r="K63" i="26"/>
  <c r="M63" i="26" s="1"/>
  <c r="N63" i="26" s="1"/>
  <c r="K50" i="26"/>
  <c r="M50" i="26" s="1"/>
  <c r="N50" i="26" s="1"/>
  <c r="K54" i="26"/>
  <c r="M54" i="26" s="1"/>
  <c r="N54" i="26" s="1"/>
  <c r="K48" i="26"/>
  <c r="M48" i="26" s="1"/>
  <c r="N48" i="26" s="1"/>
  <c r="K64" i="26"/>
  <c r="M64" i="26" s="1"/>
  <c r="N64" i="26" s="1"/>
  <c r="K51" i="26"/>
  <c r="M51" i="26" s="1"/>
  <c r="N51" i="26" s="1"/>
  <c r="K59" i="26"/>
  <c r="M59" i="26" s="1"/>
  <c r="N59" i="26" s="1"/>
  <c r="K49" i="26"/>
  <c r="M49" i="26" s="1"/>
  <c r="N49" i="26" s="1"/>
  <c r="K65" i="26"/>
  <c r="M65" i="26" s="1"/>
  <c r="N65" i="26" s="1"/>
  <c r="K61" i="26"/>
  <c r="M61" i="26" s="1"/>
  <c r="N61" i="26" s="1"/>
  <c r="K57" i="26"/>
  <c r="M57" i="26" s="1"/>
  <c r="N57" i="26" s="1"/>
  <c r="K52" i="26"/>
  <c r="M52" i="26" s="1"/>
  <c r="N52" i="26" s="1"/>
  <c r="K88" i="26"/>
  <c r="M88" i="26" s="1"/>
  <c r="N88" i="26" s="1"/>
  <c r="K81" i="26"/>
  <c r="M81" i="26" s="1"/>
  <c r="N81" i="26" s="1"/>
  <c r="K97" i="26"/>
  <c r="M97" i="26" s="1"/>
  <c r="N97" i="26" s="1"/>
  <c r="K99" i="26"/>
  <c r="M99" i="26" s="1"/>
  <c r="N99" i="26" s="1"/>
  <c r="K95" i="26"/>
  <c r="M95" i="26" s="1"/>
  <c r="N95" i="26" s="1"/>
  <c r="K91" i="26"/>
  <c r="M91" i="26" s="1"/>
  <c r="N91" i="26" s="1"/>
  <c r="K86" i="26"/>
  <c r="M86" i="26" s="1"/>
  <c r="N86" i="26" s="1"/>
  <c r="K87" i="26"/>
  <c r="M87" i="26" s="1"/>
  <c r="N87" i="26" s="1"/>
  <c r="K96" i="26"/>
  <c r="M96" i="26" s="1"/>
  <c r="N96" i="26" s="1"/>
  <c r="K92" i="26"/>
  <c r="M92" i="26" s="1"/>
  <c r="N92" i="26" s="1"/>
  <c r="K83" i="26"/>
  <c r="M83" i="26" s="1"/>
  <c r="N83" i="26" s="1"/>
  <c r="K84" i="26"/>
  <c r="M84" i="26" s="1"/>
  <c r="N84" i="26" s="1"/>
  <c r="K82" i="26"/>
  <c r="M82" i="26" s="1"/>
  <c r="N82" i="26" s="1"/>
  <c r="K98" i="26"/>
  <c r="M98" i="26" s="1"/>
  <c r="N98" i="26" s="1"/>
  <c r="K94" i="26"/>
  <c r="M94" i="26" s="1"/>
  <c r="N94" i="26" s="1"/>
  <c r="K90" i="26"/>
  <c r="M90" i="26" s="1"/>
  <c r="N90" i="26" s="1"/>
  <c r="K85" i="26"/>
  <c r="M85" i="26" s="1"/>
  <c r="N85" i="26" s="1"/>
  <c r="K93" i="26"/>
  <c r="M93" i="26" s="1"/>
  <c r="N93" i="26" s="1"/>
  <c r="K89" i="26"/>
  <c r="M89" i="26" s="1"/>
  <c r="N89" i="26" s="1"/>
  <c r="AD30" i="26"/>
  <c r="AE30" i="26" s="1"/>
  <c r="M29" i="26"/>
  <c r="N29" i="26" s="1"/>
  <c r="I28" i="23"/>
  <c r="Y14" i="26"/>
  <c r="Z14" i="26" s="1"/>
  <c r="Y47" i="26"/>
  <c r="Z47" i="26" s="1"/>
  <c r="S80" i="26"/>
  <c r="T80" i="26" s="1"/>
  <c r="S47" i="26"/>
  <c r="T47" i="26" s="1"/>
  <c r="S14" i="26"/>
  <c r="T14" i="26" s="1"/>
  <c r="F28" i="23"/>
  <c r="G28" i="23"/>
  <c r="I40" i="26"/>
  <c r="E40" i="26"/>
  <c r="AE73" i="26"/>
  <c r="E73" i="26"/>
  <c r="I73" i="26"/>
  <c r="AE106" i="26"/>
  <c r="I106" i="26"/>
  <c r="E106" i="26"/>
  <c r="K47" i="26"/>
  <c r="M47" i="26" s="1"/>
  <c r="N47" i="26" s="1"/>
  <c r="K80" i="26"/>
  <c r="M80" i="26" s="1"/>
  <c r="N80" i="26" s="1"/>
  <c r="K14" i="26"/>
  <c r="M14" i="26" s="1"/>
  <c r="N14" i="26" s="1"/>
  <c r="AE40" i="26" l="1"/>
  <c r="N106" i="26"/>
  <c r="N107" i="26" s="1"/>
  <c r="G12" i="23" s="1"/>
  <c r="G18" i="23" s="1"/>
  <c r="T40" i="26"/>
  <c r="T41" i="26" s="1"/>
  <c r="H10" i="23" s="1"/>
  <c r="H16" i="23" s="1"/>
  <c r="Z40" i="26"/>
  <c r="Z41" i="26" s="1"/>
  <c r="I10" i="23" s="1"/>
  <c r="I16" i="23" s="1"/>
  <c r="T73" i="26"/>
  <c r="T74" i="26" s="1"/>
  <c r="H11" i="23" s="1"/>
  <c r="H17" i="23" s="1"/>
  <c r="Z73" i="26"/>
  <c r="Z74" i="26" s="1"/>
  <c r="I11" i="23" s="1"/>
  <c r="I17" i="23" s="1"/>
  <c r="Z106" i="26"/>
  <c r="Z107" i="26" s="1"/>
  <c r="I12" i="23" s="1"/>
  <c r="I18" i="23" s="1"/>
  <c r="T106" i="26"/>
  <c r="T107" i="26" s="1"/>
  <c r="H12" i="23" s="1"/>
  <c r="H18" i="23" s="1"/>
  <c r="E41" i="26"/>
  <c r="D10" i="23" s="1"/>
  <c r="D16" i="23" s="1"/>
  <c r="D29" i="23" s="1"/>
  <c r="N30" i="23" s="1"/>
  <c r="AE41" i="26"/>
  <c r="F10" i="23" s="1"/>
  <c r="F16" i="23" s="1"/>
  <c r="E74" i="26"/>
  <c r="D11" i="23" s="1"/>
  <c r="D17" i="23" s="1"/>
  <c r="D30" i="23" s="1"/>
  <c r="N31" i="23" s="1"/>
  <c r="AE74" i="26"/>
  <c r="F11" i="23" s="1"/>
  <c r="F17" i="23" s="1"/>
  <c r="P31" i="23" s="1"/>
  <c r="E107" i="26"/>
  <c r="D12" i="23" s="1"/>
  <c r="D18" i="23" s="1"/>
  <c r="D31" i="23" s="1"/>
  <c r="N32" i="23" s="1"/>
  <c r="AE107" i="26"/>
  <c r="F12" i="23" s="1"/>
  <c r="F18" i="23" s="1"/>
  <c r="N40" i="26"/>
  <c r="N41" i="26" s="1"/>
  <c r="G10" i="23" s="1"/>
  <c r="G16" i="23" s="1"/>
  <c r="N73" i="26"/>
  <c r="N74" i="26" s="1"/>
  <c r="G11" i="23" s="1"/>
  <c r="G17" i="23" s="1"/>
  <c r="I29" i="23" l="1"/>
  <c r="S30" i="23" s="1"/>
  <c r="G29" i="23"/>
  <c r="Q30" i="23" s="1"/>
  <c r="H29" i="23"/>
  <c r="R30" i="23" s="1"/>
  <c r="P30" i="23"/>
  <c r="I30" i="23"/>
  <c r="S31" i="23" s="1"/>
  <c r="G31" i="23"/>
  <c r="G30" i="23"/>
  <c r="F31" i="23"/>
  <c r="P32" i="23" s="1"/>
  <c r="H30" i="23"/>
  <c r="R31" i="23" s="1"/>
  <c r="H31" i="23"/>
  <c r="R32" i="23" s="1"/>
  <c r="I31" i="23"/>
  <c r="H38" i="23" l="1"/>
  <c r="J38" i="23" s="1"/>
  <c r="S32" i="23"/>
  <c r="E36" i="23"/>
  <c r="G36" i="23" s="1"/>
  <c r="Q31" i="23"/>
  <c r="H36" i="23"/>
  <c r="J36" i="23" s="1"/>
  <c r="Q32" i="23"/>
  <c r="E38" i="23"/>
  <c r="G38" i="23" s="1"/>
  <c r="H37" i="23"/>
  <c r="J37" i="23" s="1"/>
  <c r="E37" i="23"/>
  <c r="G37" i="23" s="1"/>
  <c r="B36" i="23"/>
  <c r="D36" i="23" s="1"/>
  <c r="B37" i="23" l="1"/>
  <c r="D37" i="23" s="1"/>
  <c r="B38" i="23"/>
  <c r="D38" i="23" s="1"/>
</calcChain>
</file>

<file path=xl/sharedStrings.xml><?xml version="1.0" encoding="utf-8"?>
<sst xmlns="http://schemas.openxmlformats.org/spreadsheetml/2006/main" count="955" uniqueCount="497">
  <si>
    <t>פחם</t>
  </si>
  <si>
    <t>מתחדשות</t>
  </si>
  <si>
    <t>אחוז מתחדשות</t>
  </si>
  <si>
    <t>גז</t>
  </si>
  <si>
    <t>הסבה</t>
  </si>
  <si>
    <t>גריטה והקמה</t>
  </si>
  <si>
    <t>שנה</t>
  </si>
  <si>
    <t>BCM גז</t>
  </si>
  <si>
    <t>שימור והקמה</t>
  </si>
  <si>
    <t>BCMב NMMBTU</t>
  </si>
  <si>
    <t>הנחות עבודה</t>
  </si>
  <si>
    <t>שער הדולר</t>
  </si>
  <si>
    <t>ריבית היוון</t>
  </si>
  <si>
    <t>נתונים כלכליים</t>
  </si>
  <si>
    <t>המרות</t>
  </si>
  <si>
    <t>יצור משקי - Twh</t>
  </si>
  <si>
    <t>גז מוסב</t>
  </si>
  <si>
    <t>סך</t>
  </si>
  <si>
    <t>עלות ב-₪ לקוו"ט מותקן מחז"מ</t>
  </si>
  <si>
    <t>הסבה לגז</t>
  </si>
  <si>
    <t>תפעול משתנה באג' לקוט"ש פחמי</t>
  </si>
  <si>
    <t>תפעול משתנה באג' לקוט"ש מחז"מ</t>
  </si>
  <si>
    <t>ממוצע נתוני חח"י בפועל</t>
  </si>
  <si>
    <t>ממוצע הערכת חח"י</t>
  </si>
  <si>
    <t>נתוני חח"י בניכוי FGD</t>
  </si>
  <si>
    <t>מקור</t>
  </si>
  <si>
    <t>עלות תפעול קבועה</t>
  </si>
  <si>
    <t>מיליון טון פחם</t>
  </si>
  <si>
    <t>עלות הקמה</t>
  </si>
  <si>
    <t>שימור</t>
  </si>
  <si>
    <t>גריטה</t>
  </si>
  <si>
    <t>מהוון</t>
  </si>
  <si>
    <t>סה"כ</t>
  </si>
  <si>
    <t>סולר</t>
  </si>
  <si>
    <t>עלויות דלקים חירום (אג'/קוט"ש)</t>
  </si>
  <si>
    <t>פליטות CO2 לפי חלופה (מיליון טון)</t>
  </si>
  <si>
    <t>גודל אוכלוסייה ב-2030</t>
  </si>
  <si>
    <t>סך CO2 ב-2030</t>
  </si>
  <si>
    <t>פליטות לנפש 2030</t>
  </si>
  <si>
    <t>עלות השקעה בשימור 2 יחידות - חד פעמי (מלש"ח)</t>
  </si>
  <si>
    <t>סך הכל</t>
  </si>
  <si>
    <t>עלות דלקים</t>
  </si>
  <si>
    <t>ערך קרקע</t>
  </si>
  <si>
    <t>תרחיש פחם זול, גז יקר</t>
  </si>
  <si>
    <t>תרחיש פחם יקר, גז זול</t>
  </si>
  <si>
    <t>עלויות חח"י</t>
  </si>
  <si>
    <t>אתרים פחמיים</t>
  </si>
  <si>
    <t>רבין 5-6</t>
  </si>
  <si>
    <t>פליטות לקוט"ש  לתקופה(גר'/קוטש)</t>
  </si>
  <si>
    <t>25% מתחדשות</t>
  </si>
  <si>
    <t>שנת ייחוס - 2030</t>
  </si>
  <si>
    <t>פחם  - TWH</t>
  </si>
  <si>
    <t>גז - TWH</t>
  </si>
  <si>
    <t>פחם - TWH</t>
  </si>
  <si>
    <t>תוספת מתחדשות - TWH</t>
  </si>
  <si>
    <t>סך הכל - TWH</t>
  </si>
  <si>
    <t>ייצור משקי ומתחדשות</t>
  </si>
  <si>
    <t>עמידה ביעד גזי חממה לנפש - 2030</t>
  </si>
  <si>
    <t>טבלה מסכמת</t>
  </si>
  <si>
    <t>הערכת שמאי - מתקן התפלה</t>
  </si>
  <si>
    <t>MMBTU in a ton of coal</t>
  </si>
  <si>
    <t>נתוני דלקים ועלויות יצור</t>
  </si>
  <si>
    <t>מחושב לפי תמהיל העלויות</t>
  </si>
  <si>
    <t>הספק [מ״ו]</t>
  </si>
  <si>
    <t xml:space="preserve"> רבין 5-6</t>
  </si>
  <si>
    <t>רוטנברג 1-2</t>
  </si>
  <si>
    <t>MMBTU per MWh of coal</t>
  </si>
  <si>
    <t>פחם מוסב לגז</t>
  </si>
  <si>
    <t>MMBTU per MWh of converted coal</t>
  </si>
  <si>
    <t>MWh per BCM</t>
  </si>
  <si>
    <t>3. השימוש בסולר משלים את יתרת האנרגיה הנדרשת בכל שנה</t>
  </si>
  <si>
    <t>עלות הדלקים בשנת תרחיש החרום [מיליוני ש״ח]</t>
  </si>
  <si>
    <t>עלות עודפת [מש״ח]</t>
  </si>
  <si>
    <t>הערות לטבלה:</t>
  </si>
  <si>
    <t xml:space="preserve">נתוני חח"י </t>
  </si>
  <si>
    <r>
      <t>תחזית ביקוש משק</t>
    </r>
    <r>
      <rPr>
        <sz val="11"/>
        <rFont val="Calibri (Body)"/>
      </rPr>
      <t>י</t>
    </r>
    <r>
      <rPr>
        <sz val="11"/>
        <rFont val="Calibri"/>
        <family val="2"/>
        <charset val="177"/>
        <scheme val="minor"/>
      </rPr>
      <t xml:space="preserve"> -</t>
    </r>
    <r>
      <rPr>
        <sz val="11"/>
        <rFont val="Calibri (Body)"/>
      </rPr>
      <t>TWH</t>
    </r>
  </si>
  <si>
    <r>
      <t xml:space="preserve">אחוז מתחדשות </t>
    </r>
    <r>
      <rPr>
        <sz val="11"/>
        <rFont val="Calibri (Body)"/>
      </rPr>
      <t xml:space="preserve"> 2030</t>
    </r>
  </si>
  <si>
    <r>
      <t xml:space="preserve">עלות ב-₪ לקוו"ט מותקן </t>
    </r>
    <r>
      <rPr>
        <sz val="11"/>
        <rFont val="Calibri (Body)"/>
      </rPr>
      <t>מחזור פתוח</t>
    </r>
  </si>
  <si>
    <r>
      <t xml:space="preserve">תפעול משתנה באג' לקוט"ש </t>
    </r>
    <r>
      <rPr>
        <sz val="11"/>
        <rFont val="Calibri (Body)"/>
      </rPr>
      <t>מחזור פתוח</t>
    </r>
  </si>
  <si>
    <r>
      <t xml:space="preserve">ערך קרקע תחנת כוח (מיליון </t>
    </r>
    <r>
      <rPr>
        <sz val="11"/>
        <rFont val="Calibri (Body)"/>
      </rPr>
      <t>ש״ח</t>
    </r>
    <r>
      <rPr>
        <sz val="11"/>
        <rFont val="Calibri"/>
        <family val="2"/>
        <charset val="177"/>
        <scheme val="minor"/>
      </rPr>
      <t>/דונם)</t>
    </r>
  </si>
  <si>
    <r>
      <t>MMBTU i</t>
    </r>
    <r>
      <rPr>
        <sz val="11"/>
        <rFont val="Calibri (Body)"/>
      </rPr>
      <t>n MWh</t>
    </r>
  </si>
  <si>
    <r>
      <t xml:space="preserve">עלות כוללת </t>
    </r>
    <r>
      <rPr>
        <sz val="11"/>
        <rFont val="Calibri (Body)"/>
      </rPr>
      <t>[מש״ח]</t>
    </r>
  </si>
  <si>
    <r>
      <t xml:space="preserve">סהכ יצור </t>
    </r>
    <r>
      <rPr>
        <sz val="11"/>
        <rFont val="Calibri (Body)"/>
      </rPr>
      <t>[TWH]</t>
    </r>
  </si>
  <si>
    <r>
      <t xml:space="preserve">מתחדשות </t>
    </r>
    <r>
      <rPr>
        <sz val="11"/>
        <rFont val="Calibri (Body)"/>
      </rPr>
      <t>[TWH]</t>
    </r>
  </si>
  <si>
    <r>
      <t xml:space="preserve">סולר </t>
    </r>
    <r>
      <rPr>
        <sz val="11"/>
        <rFont val="Calibri (Body)"/>
      </rPr>
      <t>[TWH]</t>
    </r>
  </si>
  <si>
    <r>
      <t xml:space="preserve">25% </t>
    </r>
    <r>
      <rPr>
        <sz val="11"/>
        <rFont val="Calibri (Body)"/>
      </rPr>
      <t>מתחדשות</t>
    </r>
    <r>
      <rPr>
        <sz val="11"/>
        <rFont val="Calibri"/>
        <family val="2"/>
        <charset val="177"/>
        <scheme val="minor"/>
      </rPr>
      <t xml:space="preserve"> </t>
    </r>
  </si>
  <si>
    <t>גודל אוכלוסייה ב-2040</t>
  </si>
  <si>
    <t>רוטנברג 3-4</t>
  </si>
  <si>
    <t>סך הכל לתקופה</t>
  </si>
  <si>
    <t>**עלות גריטה על בסיס עיבודי רשות החשמל</t>
  </si>
  <si>
    <t>עלות גריטת 2 יחידות (מלש"ח)**</t>
  </si>
  <si>
    <t>מקור: סטטיסטיקאי ראשי חח״י, הנחות הרצת תפ"ט בסימוכין 794/16/2019</t>
  </si>
  <si>
    <t>סגירת 1-4 ללא מדיניות הפחתה</t>
  </si>
  <si>
    <t>הערות:</t>
  </si>
  <si>
    <t>תפעול תחנה פחמית (₪ לקוו"ט)</t>
  </si>
  <si>
    <t>תפעול תחנות גז (₪ לקוו"ט)</t>
  </si>
  <si>
    <t>סך הכל (מלש"ח)</t>
  </si>
  <si>
    <t>יחידות הייצור -מ"ו מותקן</t>
  </si>
  <si>
    <t>מועדי הקמה מוקדמת - שנה</t>
  </si>
  <si>
    <t>נתוני תפעול - עלות</t>
  </si>
  <si>
    <t>יעד פליטות לנפש 2030</t>
  </si>
  <si>
    <t>נתוני תפ"ט ועיבודי רשות החשמל</t>
  </si>
  <si>
    <t>אחוז מתחדשות ב 2025</t>
  </si>
  <si>
    <t>סך עלות ליחידה (מליוני $)</t>
  </si>
  <si>
    <t>סך עלות ל 6 יחידות  (מליוני $)</t>
  </si>
  <si>
    <t>עלות גריטה כוללת ל 6 יחידות (מלש"ח)</t>
  </si>
  <si>
    <t>סה"כ אג' לקוט"ש</t>
  </si>
  <si>
    <t>החלטת ממשלה משנת 2015</t>
  </si>
  <si>
    <t>עלות תפעול קבועה  ב-₪ לקוו"ט לתמהיל מחז״ם ופיקר</t>
  </si>
  <si>
    <t>תפעול משתנה  באג' לקוט"ש ליחידת גז משוקללת</t>
  </si>
  <si>
    <t>הערכת רשות החשמל</t>
  </si>
  <si>
    <t>הספק פחם לפני גריטת 1-4 (MW)</t>
  </si>
  <si>
    <t>הספק פחם אחרי גריטת 1-4 (MW)</t>
  </si>
  <si>
    <t>יצור בפחם בשנת 2018 לאור מדיניות ההפחתה (TWh)</t>
  </si>
  <si>
    <t>עומס מינימום בתחנה פחמית (MW)</t>
  </si>
  <si>
    <t>עומס מינימום בתחנה מוסבת (MW)</t>
  </si>
  <si>
    <t>סגירת 1-4 ומדיניות הפחתה</t>
  </si>
  <si>
    <t>הספק פחם (MW)</t>
  </si>
  <si>
    <t>הספק מוסב (MW)</t>
  </si>
  <si>
    <t>פחם ביחידה פחמית TWh</t>
  </si>
  <si>
    <t>פחם ביחידה מוסבת  TWh</t>
  </si>
  <si>
    <t>גז ביחידה מוסבת - TWH</t>
  </si>
  <si>
    <t>פחם ביחידה בשימור  TWh</t>
  </si>
  <si>
    <t>פחם TWh</t>
  </si>
  <si>
    <t>הספק פחם בשימור (MW)</t>
  </si>
  <si>
    <t>מתחדשות TWh</t>
  </si>
  <si>
    <t>מתחדשות  TWH</t>
  </si>
  <si>
    <t>פחם   TWH</t>
  </si>
  <si>
    <t>סגירת 1-4 עם מדיניות הפחתה</t>
  </si>
  <si>
    <t xml:space="preserve"> ton of coal per MWh</t>
  </si>
  <si>
    <t>פליטות ממוצעות לקוט"ש 2015</t>
  </si>
  <si>
    <t>פליטות ממוצעיות לקוט"ש 2018</t>
  </si>
  <si>
    <t>זיהום שנתי ממוצע (אלפי טון)</t>
  </si>
  <si>
    <t>פליטות לנפש 2030 [ק"ג לנפש]</t>
  </si>
  <si>
    <t>פליטות מזהמים ממוצע לשנה</t>
  </si>
  <si>
    <r>
      <t xml:space="preserve">סגירת 1-4 </t>
    </r>
    <r>
      <rPr>
        <sz val="11"/>
        <color rgb="FFFF0000"/>
        <rFont val="Calibri"/>
        <family val="2"/>
        <scheme val="minor"/>
      </rPr>
      <t>ללא</t>
    </r>
    <r>
      <rPr>
        <sz val="11"/>
        <color theme="1"/>
        <rFont val="Calibri"/>
        <family val="2"/>
        <charset val="177"/>
        <scheme val="minor"/>
      </rPr>
      <t xml:space="preserve"> מדיניות הפחתה</t>
    </r>
  </si>
  <si>
    <r>
      <t xml:space="preserve">סגירת 1-4 </t>
    </r>
    <r>
      <rPr>
        <sz val="11"/>
        <color rgb="FFFF0000"/>
        <rFont val="Calibri"/>
        <family val="2"/>
        <scheme val="minor"/>
      </rPr>
      <t>עם</t>
    </r>
    <r>
      <rPr>
        <sz val="11"/>
        <color theme="1"/>
        <rFont val="Calibri"/>
        <family val="2"/>
        <charset val="177"/>
        <scheme val="minor"/>
      </rPr>
      <t xml:space="preserve"> מדיניות הפחתה</t>
    </r>
  </si>
  <si>
    <t>פליטות לנפש 2040</t>
  </si>
  <si>
    <t>אנרגיה בשנה למ"ו מוסב [TWh]</t>
  </si>
  <si>
    <t>אנרגיה בשנה למ"ו בשימור [TWh]</t>
  </si>
  <si>
    <t>הערות</t>
  </si>
  <si>
    <t>כל יחידה מופעלת פעם בשבוע ל-8 שעות (סך הכל 416 שעות) בעומס מינימלי של 52%;</t>
  </si>
  <si>
    <t>כל יחידה מופעלת בשני תרגילים שנתיים של שבוע שלם (סך הכל 336 שעות) בעומס מינימלי של 52%.</t>
  </si>
  <si>
    <t>נתון</t>
  </si>
  <si>
    <t>אלפי טון ב-2030</t>
  </si>
  <si>
    <t>אלפי טון ב 2040</t>
  </si>
  <si>
    <t>אלפי טון בממוצע לשנה בתקופה</t>
  </si>
  <si>
    <t>עלות קבועה (₪ לקוו"ט לשנה)</t>
  </si>
  <si>
    <t>פליטות לנפש - 2030</t>
  </si>
  <si>
    <t>פליטות לנפש - 2040</t>
  </si>
  <si>
    <t>סך SO2 ב-2030 [אלפי טון]</t>
  </si>
  <si>
    <t>סך SO2 ב-2040 [אלפי טון]</t>
  </si>
  <si>
    <t>1. הנחנו כי  בתרחיש החרום הפחם ייצר לפי ההספק המותקן בכל חלופה כ 7000 שעות בשנה בעומס מלא. הקף השעות נובע ממגבלות זמינות</t>
  </si>
  <si>
    <t>2. הנחנו כי תחנות מוסבות יוכלו לפעול בפחם בתוך שבוע ואילו תחנה בשימור תוכל לפעול בפחם בתוך כחודש</t>
  </si>
  <si>
    <t>נתוני עזר</t>
  </si>
  <si>
    <t>משך הפעלת אונייה מגזזת בשנת התרחיש (חודשים)</t>
  </si>
  <si>
    <t>מקדם חום ליצור בגז (MMBTU/MWh)</t>
  </si>
  <si>
    <t>מקדם חום ליצור בפחם (MMBTU/MWh)</t>
  </si>
  <si>
    <t>מקדם הספק ליצור בפחם בחירום</t>
  </si>
  <si>
    <t>משך הפעלת יחידת בשימור בחירום (חודשים)</t>
  </si>
  <si>
    <t>גליון מחירי דלקים</t>
  </si>
  <si>
    <t>תחזית בנק עולמי</t>
  </si>
  <si>
    <t>תפעול פחם</t>
  </si>
  <si>
    <t>תפעול גז</t>
  </si>
  <si>
    <t>תפעול פחם מוסב</t>
  </si>
  <si>
    <t xml:space="preserve">תפעול פחם </t>
  </si>
  <si>
    <t>תפעול פחם בשימור</t>
  </si>
  <si>
    <t>עלות שימור  יחידות פחמיות לשנה (ש״ח לקוו״ט)</t>
  </si>
  <si>
    <t>תפעול תחנות גז מוסב (₪ לקוו"ט)</t>
  </si>
  <si>
    <t>רבין 1-4</t>
  </si>
  <si>
    <r>
      <rPr>
        <sz val="11"/>
        <rFont val="Calibri (Body)"/>
      </rPr>
      <t xml:space="preserve">סה״כ </t>
    </r>
    <r>
      <rPr>
        <sz val="11"/>
        <rFont val="Calibri"/>
        <family val="2"/>
        <charset val="177"/>
        <scheme val="minor"/>
      </rPr>
      <t xml:space="preserve">מ"ו מותקן פחמי </t>
    </r>
    <r>
      <rPr>
        <sz val="11"/>
        <rFont val="Calibri (Body)"/>
      </rPr>
      <t>לפני  גריטת 1-4</t>
    </r>
  </si>
  <si>
    <t>תוספת בהסבה (₪ לקוו"ט)</t>
  </si>
  <si>
    <t>העלות המוכרת לחח"י לתפעול המתקנים</t>
  </si>
  <si>
    <t>עדכון תוכנית פיתוח חח"י 2016</t>
  </si>
  <si>
    <t>שטח מתפנה בגריטת תחנות פחם (דונם)</t>
  </si>
  <si>
    <t>תרחיש מרכזי</t>
  </si>
  <si>
    <t>פחם זול גז יקר</t>
  </si>
  <si>
    <t>פחם יקר גז זול</t>
  </si>
  <si>
    <t>תרחיש</t>
  </si>
  <si>
    <t>$ לטון</t>
  </si>
  <si>
    <t>$ לMMBTU</t>
  </si>
  <si>
    <t>אג' לקוטש</t>
  </si>
  <si>
    <t xml:space="preserve">MMBTU in BCM  </t>
  </si>
  <si>
    <t>עלות תפעול קבועה ב-₪ לקוו"ט פחמי</t>
  </si>
  <si>
    <t>עלות תפעול קבועה ב-₪ לקוו"ט מוסב</t>
  </si>
  <si>
    <t>עלות תפעול קבועה ב-₪ לקוו"ט מחז"מ</t>
  </si>
  <si>
    <t>עלות תפעול קבועה ב-₪ לקוו"ט מחזור פתוח</t>
  </si>
  <si>
    <t>עלות ב-₪ לקוו"ט ליחידת יצור משוקללת בגז</t>
  </si>
  <si>
    <t>הספק פחם והספק חליפי לפי חלופה ולפי שנה</t>
  </si>
  <si>
    <t xml:space="preserve">       תמהיל הדלקים לפי חלופה ולפי שנה</t>
  </si>
  <si>
    <t>יצור בפחם בשנת 2015 לפני מדיניות ההפחתה (TWh)</t>
  </si>
  <si>
    <t>גז ביחידות מוסבות BCM</t>
  </si>
  <si>
    <t>קצב גידול ביקוש</t>
  </si>
  <si>
    <t>שנת הקמה</t>
  </si>
  <si>
    <t>1981-1984</t>
  </si>
  <si>
    <t>1995-1996</t>
  </si>
  <si>
    <t>1990-19991</t>
  </si>
  <si>
    <t>2000-2001</t>
  </si>
  <si>
    <t>צריכת פחם וגז לפי חלופה</t>
  </si>
  <si>
    <t>פליטות גזי חממה</t>
  </si>
  <si>
    <t>פליטות בשנה בממוצע (מיליון טון)</t>
  </si>
  <si>
    <t>עלות הפסקת הספקת גז - ביטחון אנרגטי</t>
  </si>
  <si>
    <t>עלות הון חח״י - השקעה ראשונית ליישום החלופות</t>
  </si>
  <si>
    <t>תוספת מתחדשות</t>
  </si>
  <si>
    <t>עלות תפעול שנתית</t>
  </si>
  <si>
    <t>מתחדשות 25%</t>
  </si>
  <si>
    <t>הפרש (מלש״ח)</t>
  </si>
  <si>
    <t>משך הפעלת יחידה מוסבת בחירום (חודשים)</t>
  </si>
  <si>
    <t>גזי חממה בממוצע לתקופה [גר׳/קוט״ש]</t>
  </si>
  <si>
    <t xml:space="preserve"> [TWH] LNG</t>
  </si>
  <si>
    <t>עלויות פרישת עובדים ל 2 יחידות</t>
  </si>
  <si>
    <t>סה"כ עלות שימור והקמה ל 2 יחידות</t>
  </si>
  <si>
    <t>סה"כ עלות גריטה והקמה ל 2 יחידות</t>
  </si>
  <si>
    <t>עלות שימור נומינלי</t>
  </si>
  <si>
    <t>עלות גריטה נומינלי</t>
  </si>
  <si>
    <t>הוספת FGR ומערך מובילים  (מליוני $)</t>
  </si>
  <si>
    <t>התאמת מערכת הבקרה והחשמל, החלפת ציוד  (מליוני $)</t>
  </si>
  <si>
    <t>הסבת דוודים לגז  (מליוני $)</t>
  </si>
  <si>
    <t>קטליסט  (מליוני $)</t>
  </si>
  <si>
    <t>עלות PRMS  (מליוני $)</t>
  </si>
  <si>
    <t>עלות להחלפת משחנים  (מליוני $)</t>
  </si>
  <si>
    <t>עלויות פרישת עובדים (מיליוני ש"ח)</t>
  </si>
  <si>
    <t>עלות הסבה נומינלי</t>
  </si>
  <si>
    <t>יצור [TWh]</t>
  </si>
  <si>
    <t>תפ"ט</t>
  </si>
  <si>
    <t>עלות עודפת מהוונת לשנת 2019 [מש"ח]</t>
  </si>
  <si>
    <t>פחם זול וגז יקר</t>
  </si>
  <si>
    <t>פחם יקר וגז זול</t>
  </si>
  <si>
    <t>סך עלויות עודפות לפי תרחישים</t>
  </si>
  <si>
    <t>מתחדשות משוקלל</t>
  </si>
  <si>
    <r>
      <t xml:space="preserve">תרחיש </t>
    </r>
    <r>
      <rPr>
        <b/>
        <sz val="11"/>
        <rFont val="Calibri (Body)"/>
      </rPr>
      <t>מרכזי</t>
    </r>
    <r>
      <rPr>
        <b/>
        <sz val="11"/>
        <rFont val="Calibri"/>
        <family val="2"/>
        <charset val="177"/>
        <scheme val="minor"/>
      </rPr>
      <t xml:space="preserve"> </t>
    </r>
  </si>
  <si>
    <t xml:space="preserve">פחם זול, גז יקר </t>
  </si>
  <si>
    <t>פחם יקר, גז זול</t>
  </si>
  <si>
    <t xml:space="preserve">עלויות עודפות ישירות </t>
  </si>
  <si>
    <r>
      <t xml:space="preserve">סגירת 1-4 </t>
    </r>
    <r>
      <rPr>
        <b/>
        <sz val="11"/>
        <color rgb="FFFF0000"/>
        <rFont val="Calibri (Body)"/>
      </rPr>
      <t>עם</t>
    </r>
    <r>
      <rPr>
        <b/>
        <sz val="11"/>
        <color theme="1"/>
        <rFont val="Calibri"/>
        <family val="2"/>
        <scheme val="minor"/>
      </rPr>
      <t xml:space="preserve"> מדיניות הפחתה</t>
    </r>
  </si>
  <si>
    <r>
      <t xml:space="preserve">סגירת 1-4 </t>
    </r>
    <r>
      <rPr>
        <b/>
        <sz val="11"/>
        <color rgb="FFFF0000"/>
        <rFont val="Calibri (Body)"/>
      </rPr>
      <t>ללא</t>
    </r>
    <r>
      <rPr>
        <b/>
        <sz val="11"/>
        <color theme="1"/>
        <rFont val="Calibri"/>
        <family val="2"/>
        <scheme val="minor"/>
      </rPr>
      <t xml:space="preserve"> מדיניות הפחתה</t>
    </r>
  </si>
  <si>
    <t>הפרש עלויות</t>
  </si>
  <si>
    <r>
      <t xml:space="preserve">תרחיש </t>
    </r>
    <r>
      <rPr>
        <sz val="11"/>
        <rFont val="Calibri (Body)"/>
      </rPr>
      <t>מרכזי</t>
    </r>
    <r>
      <rPr>
        <sz val="11"/>
        <rFont val="Calibri"/>
        <family val="2"/>
        <charset val="177"/>
        <scheme val="minor"/>
      </rPr>
      <t xml:space="preserve"> </t>
    </r>
  </si>
  <si>
    <t>דלקים</t>
  </si>
  <si>
    <t xml:space="preserve">הסבה לגז </t>
  </si>
  <si>
    <t>שמור והקמה</t>
  </si>
  <si>
    <t>אחוזים</t>
  </si>
  <si>
    <t>תמהיל יצור בתקופה [TW h]</t>
  </si>
  <si>
    <t>מליון טון פחם</t>
  </si>
  <si>
    <t>גז BCM</t>
  </si>
  <si>
    <t>סיכום</t>
  </si>
  <si>
    <t>עלות גריטה כוללת ל 6 יחידות מהוון ל 2019  (מלש"ח)</t>
  </si>
  <si>
    <t>$ ל-mmbtu</t>
  </si>
  <si>
    <t>עלויות משתנות [אג׳/קוט״ש]</t>
  </si>
  <si>
    <t>דלק</t>
  </si>
  <si>
    <t>מחיר [אג׳/קוט״ש]</t>
  </si>
  <si>
    <t>גגות קטנים</t>
  </si>
  <si>
    <t>גגות גדולים ומאגרי מים</t>
  </si>
  <si>
    <t>קרקעות</t>
  </si>
  <si>
    <t>סוג מתקן</t>
  </si>
  <si>
    <t>משקל מתוך ההספק הנוסף בעתיד</t>
  </si>
  <si>
    <t>מחיר מייצג 2018 [אג'/קוט"ש]</t>
  </si>
  <si>
    <t>מחיר מייצג 2030 [אג'/קוט"ש]</t>
  </si>
  <si>
    <t>אחוז פיקר מתוך ההספק המותקן הנוסף</t>
  </si>
  <si>
    <t>סה״כ/ממוצע</t>
  </si>
  <si>
    <t>עיבוד רשות החשמל מחובות הדיווח</t>
  </si>
  <si>
    <t>הספק גז מוקם מצטבר (MW)</t>
  </si>
  <si>
    <t xml:space="preserve"> בחלופות השימור והגריטה נדרשת תוספת הספק בהקף של כ 3660 מ״ו. הספק זה נפרס בהתאם לשנות הגריטה/שימור</t>
  </si>
  <si>
    <t>סך CO2 ב-2040</t>
  </si>
  <si>
    <t>אוכלוסיה 2030 (מליוני איש)</t>
  </si>
  <si>
    <t>אוכלוסיה 2040 (מליוני איש)</t>
  </si>
  <si>
    <t>שנת שימור הקמה במדיניות המוצעת</t>
  </si>
  <si>
    <t>שנת גריטה מתוכננת במדיניות קיימת</t>
  </si>
  <si>
    <t>תפעול משתנה ללא מתקנים להפחתת פליטות (דולר ל-MWH)</t>
  </si>
  <si>
    <t>תפעול משתנה באג׳ לקוט״ש של מתקנים להפחתת פליטות ללא FGD</t>
  </si>
  <si>
    <t xml:space="preserve"> רוטנברג 3-4</t>
  </si>
  <si>
    <t>LNG</t>
  </si>
  <si>
    <t>מתחדשות כולל-TWH</t>
  </si>
  <si>
    <t>נתוני פליטות סגלויות</t>
  </si>
  <si>
    <t>פליטות הסטוריות</t>
  </si>
  <si>
    <t>פליטות היסטוריות</t>
  </si>
  <si>
    <t>פליטות  חלקיקים (אלפי טון)</t>
  </si>
  <si>
    <t>פליטות חלקיקים לפי חלופה (אלפי טון)</t>
  </si>
  <si>
    <t>פליטות חלקיקים  [Ton/TWh]</t>
  </si>
  <si>
    <t>המשך מדיניות</t>
  </si>
  <si>
    <t>הקמת הספק MW</t>
  </si>
  <si>
    <t>אורך חיי יחידת ייצור בשנים</t>
  </si>
  <si>
    <t>הספק מותקן נדרש להקמהMW</t>
  </si>
  <si>
    <t>מס יחידות ייצור</t>
  </si>
  <si>
    <t>עלות הקמת הספק- מלש"ח</t>
  </si>
  <si>
    <t>תזרים תשלומים- מלש"ח</t>
  </si>
  <si>
    <t>% ריבית היוון שנתית</t>
  </si>
  <si>
    <t>שנת הסבה במדיניות מוצעתֿ</t>
  </si>
  <si>
    <t>השקעה כוללת בשימור ל -6 יחידות (מלש"ח)</t>
  </si>
  <si>
    <t>השקעה כוללת בשימור ל- 6 יחידות מהוון ל 2019 (מלש"ח)</t>
  </si>
  <si>
    <t xml:space="preserve">סה"כ מהוון </t>
  </si>
  <si>
    <t xml:space="preserve">עלות ל 6 יחידות  (מליוני ש"ח) </t>
  </si>
  <si>
    <t>הרצת תפ״ט</t>
  </si>
  <si>
    <t>הסתברות תרחיש:</t>
  </si>
  <si>
    <t>סה״כ</t>
  </si>
  <si>
    <t>עלות ביטחון אנרגטי</t>
  </si>
  <si>
    <t>MMBTU per TON OF NATURAL GAS</t>
  </si>
  <si>
    <t>2. הנחנו כי האוניה המגזזת  תפעל החל מהחודש השני בשנת התרחיש ותספק כ 15000 MMBTU בשעה.</t>
  </si>
  <si>
    <t>בלו פחם (₪ לטון)</t>
  </si>
  <si>
    <t>בלו גז (₪ לטון)</t>
  </si>
  <si>
    <t>שימור/גריטה</t>
  </si>
  <si>
    <t>הסדרה 914</t>
  </si>
  <si>
    <t xml:space="preserve">הסדרה 914 </t>
  </si>
  <si>
    <t>עלות עודפת</t>
  </si>
  <si>
    <t>תעריף הזרמת גז (אג'/MMBTU)</t>
  </si>
  <si>
    <t>נצילות ממוצעת של יחידות פחמיות במדיניות ההפחתה</t>
  </si>
  <si>
    <t>אנרגיה מיוצרת בפחם (TWH)</t>
  </si>
  <si>
    <t>צריכת פחם (אלפי טון)</t>
  </si>
  <si>
    <t>מליוני MMBTU נצרך בשנה בפחם</t>
  </si>
  <si>
    <t>נצילות יחידות פחם (MMBTU/MWH)</t>
  </si>
  <si>
    <t>נצילות %</t>
  </si>
  <si>
    <t>נצילות יצור בגז HHV (MMBTU/MWH)</t>
  </si>
  <si>
    <t>נצילות % HHV</t>
  </si>
  <si>
    <r>
      <t xml:space="preserve">נצילות פחמית מוסבת לגז </t>
    </r>
    <r>
      <rPr>
        <sz val="9"/>
        <rFont val="Calibri"/>
        <family val="2"/>
        <scheme val="minor"/>
      </rPr>
      <t>(כולל חסכון בצריכה עצמית)</t>
    </r>
  </si>
  <si>
    <t>מקדם תוספת עלות בגין ריבית בזמן הקמה</t>
  </si>
  <si>
    <t>יחידת גז משוקללת</t>
  </si>
  <si>
    <t>1* Boiler Coal firing. (dry nm3@6%O2). Unit Load 575 MW. Orot Rabin 5&amp;6, Rutenberg 1&amp;2</t>
  </si>
  <si>
    <t>2* Boiler Gas Firing. (dry nm3@3%O2). Unit Load 575 MW. Orot Rabin 5&amp;6, Rutenberg 1&amp;2</t>
  </si>
  <si>
    <t>יחידות פחמיות לאחר הפחתת פליטות. הערה מס' 1</t>
  </si>
  <si>
    <t>יחידות פחמיות לאחר הסבה לגז עם הפחתת פליטות. הערה מס' 2</t>
  </si>
  <si>
    <t>בלו גז ליחידה ממוצעת (אג'/קוט"ש)</t>
  </si>
  <si>
    <t>בלו גז ליחידה מוסבת (אג'/קוט"ש)</t>
  </si>
  <si>
    <t>תעריף הזרמת גז ליחידה ממוצעת (אג'/קוט"ש)</t>
  </si>
  <si>
    <t>נצילות פחם במדיניות ההפחתה HHV</t>
  </si>
  <si>
    <t>ממוצע צריכת דלק ליצור בגז טבעי (MMBTU/MWH) HHV</t>
  </si>
  <si>
    <t>ממוצע צריכת דלק ליצור ביחידה מוסבת (MMBTU/MWH )</t>
  </si>
  <si>
    <t xml:space="preserve">תפעול משתנה באג' לקוט"ש מוסב  </t>
  </si>
  <si>
    <t>צריכת דלקים בשנים 2020-2040</t>
  </si>
  <si>
    <t xml:space="preserve">סך עלות ל 6 יחידות נומינלי  (מליוני ש"ח) </t>
  </si>
  <si>
    <t>סך עלות ל 6 יחידות מהון (מליוני ש״ח</t>
  </si>
  <si>
    <t>עלות השימור</t>
  </si>
  <si>
    <t>עלות גריטה</t>
  </si>
  <si>
    <t>טבלה מסכמת פליטות חלקיקים</t>
  </si>
  <si>
    <t>תעריף הזרמת גז מוסב ליחידה ממוצעת (אג'/קוט"ש)</t>
  </si>
  <si>
    <t>בלו פחם ליחידה ממוצעת (אג'/קוט"ש)</t>
  </si>
  <si>
    <t>הובלה פחם ליחידה ממוצעת (אג'/קוט"ש)</t>
  </si>
  <si>
    <t>עלויות הזרמה ובלו [אג׳/קוט״ש]</t>
  </si>
  <si>
    <t>מחיר פחם ע"פ הבנק בעולמי לשנת 2030 (דולר/טון)</t>
  </si>
  <si>
    <t>גז [אג׳/קוט״ש]</t>
  </si>
  <si>
    <t>פחם [אג׳/קוט״ש]</t>
  </si>
  <si>
    <t>קצב אספקת גז מאוניה מגזזת (MMBTU/HOUR)</t>
  </si>
  <si>
    <t>חלופת שימור /גריטה - שנת הקמה</t>
  </si>
  <si>
    <t>חלופת המשך מדיניות - שנת הקמה</t>
  </si>
  <si>
    <t>חלופת שימור/ גריטה זמן להקמת יחידה נוספת בשנים</t>
  </si>
  <si>
    <t>חלופת המשך מדיניות /הסבה זמן להקמת יחידה נוספת בשנים</t>
  </si>
  <si>
    <t>עודף עלות בחלופת הסבה</t>
  </si>
  <si>
    <t>עודף עלות בחלופת שימור/ גריטה</t>
  </si>
  <si>
    <t>עלות הקמת יחידות חדשות</t>
  </si>
  <si>
    <t>המשקל של כל סוג מתקן בתמהיל האנרגיה הסולארית בעתיד מבוסס על הערכה ראשונית של פוטנציאל השטח הפנוי מכל סוג</t>
  </si>
  <si>
    <t>המחיר המייצג של מתקני גגות קטנים ב 2018 הוא שווה הערך המוצמד למדד של המחיר הלא מוצמד שקבעה הרשות למתקנים אלו</t>
  </si>
  <si>
    <t>פליטות לנפש 2040  (ק״ג לנפש)</t>
  </si>
  <si>
    <t>פליטות לנפש 2040 (ק״ג/נפש)</t>
  </si>
  <si>
    <t>פליטות לנפש 2040 (ק״ג לנפש)</t>
  </si>
  <si>
    <t>פליטות ממוצעיות לקוט"ש 2017</t>
  </si>
  <si>
    <t>(מליוני טון)</t>
  </si>
  <si>
    <t>מקדמי פליטות - לפי תקן (גר׳/קוט״ש)</t>
  </si>
  <si>
    <t>מקדמי פליטות - בפועל (גר׳/קוט״ש)</t>
  </si>
  <si>
    <t>חח״י</t>
  </si>
  <si>
    <t>עיבוד הרשות לפי דיווח פליטות מפל״ס ב 2017 מחולק בסך היצור בגז באותה שנה</t>
  </si>
  <si>
    <t>חלקיקים</t>
  </si>
  <si>
    <r>
      <t>פליטות  NO</t>
    </r>
    <r>
      <rPr>
        <b/>
        <vertAlign val="subscript"/>
        <sz val="22"/>
        <color rgb="FF000000"/>
        <rFont val="Calibri (Body)"/>
      </rPr>
      <t>X</t>
    </r>
    <r>
      <rPr>
        <b/>
        <sz val="22"/>
        <color rgb="FF000000"/>
        <rFont val="Calibri"/>
        <family val="2"/>
        <scheme val="minor"/>
      </rPr>
      <t xml:space="preserve"> (אלפי טון)</t>
    </r>
  </si>
  <si>
    <r>
      <t>פליטות NO</t>
    </r>
    <r>
      <rPr>
        <vertAlign val="subscript"/>
        <sz val="11"/>
        <color theme="1"/>
        <rFont val="Calibri (Body)"/>
      </rPr>
      <t>X</t>
    </r>
    <r>
      <rPr>
        <sz val="11"/>
        <color theme="1"/>
        <rFont val="Calibri"/>
        <family val="2"/>
        <charset val="177"/>
        <scheme val="minor"/>
      </rPr>
      <t xml:space="preserve">  לפי חלופה (אלפי טון)</t>
    </r>
  </si>
  <si>
    <r>
      <t>פליטות NO</t>
    </r>
    <r>
      <rPr>
        <b/>
        <vertAlign val="subscript"/>
        <sz val="11"/>
        <color theme="1"/>
        <rFont val="Calibri (Body)"/>
      </rPr>
      <t>X</t>
    </r>
    <r>
      <rPr>
        <b/>
        <sz val="11"/>
        <color theme="1"/>
        <rFont val="Calibri"/>
        <family val="2"/>
        <scheme val="minor"/>
      </rPr>
      <t xml:space="preserve"> [Ton/TWh]</t>
    </r>
  </si>
  <si>
    <r>
      <t>טבלה מסכמת פליטות NO</t>
    </r>
    <r>
      <rPr>
        <vertAlign val="subscript"/>
        <sz val="11"/>
        <color theme="1"/>
        <rFont val="Calibri (Body)"/>
      </rPr>
      <t>X</t>
    </r>
  </si>
  <si>
    <r>
      <t>טבלה מסכמת פליטות SO</t>
    </r>
    <r>
      <rPr>
        <vertAlign val="subscript"/>
        <sz val="11"/>
        <color theme="1"/>
        <rFont val="Calibri (Body)"/>
      </rPr>
      <t>X</t>
    </r>
  </si>
  <si>
    <r>
      <t>פליטות SO</t>
    </r>
    <r>
      <rPr>
        <b/>
        <vertAlign val="subscript"/>
        <sz val="11"/>
        <color theme="1"/>
        <rFont val="Calibri (Body)"/>
      </rPr>
      <t xml:space="preserve">x </t>
    </r>
    <r>
      <rPr>
        <b/>
        <sz val="11"/>
        <color theme="1"/>
        <rFont val="Calibri"/>
        <family val="2"/>
        <scheme val="minor"/>
      </rPr>
      <t>[Ton/TWh]</t>
    </r>
  </si>
  <si>
    <r>
      <t>פליטות  SO</t>
    </r>
    <r>
      <rPr>
        <b/>
        <vertAlign val="subscript"/>
        <sz val="22"/>
        <color rgb="FF000000"/>
        <rFont val="Calibri (Body)"/>
      </rPr>
      <t>x</t>
    </r>
    <r>
      <rPr>
        <b/>
        <sz val="22"/>
        <color rgb="FF000000"/>
        <rFont val="Calibri"/>
        <family val="2"/>
        <scheme val="minor"/>
      </rPr>
      <t xml:space="preserve">  (אלפי טון)</t>
    </r>
  </si>
  <si>
    <r>
      <t>SO</t>
    </r>
    <r>
      <rPr>
        <vertAlign val="subscript"/>
        <sz val="11"/>
        <color theme="1"/>
        <rFont val="Calibri (Body)"/>
      </rPr>
      <t>X</t>
    </r>
  </si>
  <si>
    <r>
      <t>NO</t>
    </r>
    <r>
      <rPr>
        <vertAlign val="subscript"/>
        <sz val="11"/>
        <color theme="1"/>
        <rFont val="Calibri (Body)"/>
      </rPr>
      <t>X</t>
    </r>
  </si>
  <si>
    <r>
      <t>CO</t>
    </r>
    <r>
      <rPr>
        <vertAlign val="subscript"/>
        <sz val="11"/>
        <color theme="1"/>
        <rFont val="Calibri (Body)"/>
      </rPr>
      <t>2</t>
    </r>
  </si>
  <si>
    <t>צריכת גז BCM 2018</t>
  </si>
  <si>
    <t>יצרן חשמל</t>
  </si>
  <si>
    <t>חחי</t>
  </si>
  <si>
    <t>יצרני חשמל פרטיים (ללא קוגנרציה)</t>
  </si>
  <si>
    <t xml:space="preserve">יצור בגז </t>
  </si>
  <si>
    <t>צריכת גז מליוני MMBTU</t>
  </si>
  <si>
    <t>HHV ל- LHV</t>
  </si>
  <si>
    <t xml:space="preserve">יחידות פחמיות לאחר הפחתת פליטות. </t>
  </si>
  <si>
    <t xml:space="preserve">יחידות פחמיות לאחר הסבה לגז עם הפחתת פליטות. </t>
  </si>
  <si>
    <t>אחוז פיקר  מתוך האנרגיה המיוצרת בגז</t>
  </si>
  <si>
    <t>מחיר הובלה לפחם (דולר לטון)</t>
  </si>
  <si>
    <t>סך פליטות לתקופה [מליון טון]</t>
  </si>
  <si>
    <t>-</t>
  </si>
  <si>
    <t>ניתוח עלות תועלת</t>
  </si>
  <si>
    <t>מקדם היוון שנתי</t>
  </si>
  <si>
    <t>הפרש פליטות ביחס למדיניות קיימת [מליוני טון]</t>
  </si>
  <si>
    <t>הפרש פליטות ביחס למדיניות קיימת (מהוון) [מליוני טון]</t>
  </si>
  <si>
    <t>פליטות לקוט״ש ממוצע</t>
  </si>
  <si>
    <t>הפרש פליטות ביחס למדיניות קיימת [אלפי טון]</t>
  </si>
  <si>
    <t>פליטות לפי סוג דלק [מליון טון]</t>
  </si>
  <si>
    <t>פליטות לפי סוג דלק (מהוון) [מליוני טון]</t>
  </si>
  <si>
    <t>פליטות לפי סוג דלק [אלפי טון]</t>
  </si>
  <si>
    <t>פליטות לפי סוג דלק (מהוון) [אלפיי טון]</t>
  </si>
  <si>
    <t>סך פליטות לתקופה [אלפי טון]</t>
  </si>
  <si>
    <t>סך פליטות לתקופה (מהוון( [אלפי טון]</t>
  </si>
  <si>
    <t>הפרש פליטות ביחס למדיניות קיימת (מהוון) [אלפיי טון]</t>
  </si>
  <si>
    <t>שינוי  בפליטות לאורך התקופה (מהוון)</t>
  </si>
  <si>
    <t>שינוי בפליטות גזי חממה לכל התקופה ביחס למדיניות קיימת (מהוון) [מליון טון]</t>
  </si>
  <si>
    <t>שינוי בפליטות SOX לכל התקופה ביחס למדיניות קיימת (מהוון) (אלפי טון)</t>
  </si>
  <si>
    <t>שינוי בפליטות NOX לכל התקופה ביחס למדיניות קיימת (מהוון) (אלפי טון)</t>
  </si>
  <si>
    <t>שינוי בפליטות חלקיקים לכל התקופה ביחס למדיניות קיימת (מהוון) (אלפי טון)</t>
  </si>
  <si>
    <t xml:space="preserve">                                                                                       </t>
  </si>
  <si>
    <t>תוספת עלות רשת לחיבור מתקנים קרקעיים</t>
  </si>
  <si>
    <t xml:space="preserve">מזהם </t>
  </si>
  <si>
    <t>NOx</t>
  </si>
  <si>
    <t xml:space="preserve"> תועלת מהפחתת זיהום מקומית [מש״ח]</t>
  </si>
  <si>
    <t>יחידה פחמית לאחר הפחתת פליטות</t>
  </si>
  <si>
    <t>יחידה פחמית לאחר הסבה לגז עם הפחתת פליטות</t>
  </si>
  <si>
    <t>עלות חיצונית לפי הגנ״ס (עדכון מיום 16.7.2019)</t>
  </si>
  <si>
    <t>ש״ח לטון</t>
  </si>
  <si>
    <r>
      <t>SO</t>
    </r>
    <r>
      <rPr>
        <vertAlign val="subscript"/>
        <sz val="11"/>
        <rFont val="Calibri (Body)"/>
      </rPr>
      <t>2</t>
    </r>
  </si>
  <si>
    <t>הגיליון מתמקד בחלופות להספק הפחמי ואינו כולל את ההספק הנוסף הנדרש למשק בכל החלופות לאור הגידול בביקוש</t>
  </si>
  <si>
    <t>גז ביחידות קיימות TWH</t>
  </si>
  <si>
    <t>מקדם הספק למחז״ם חדש</t>
  </si>
  <si>
    <t>מקדם הספק לפיקר חדש</t>
  </si>
  <si>
    <t>הערכה</t>
  </si>
  <si>
    <t>משך פחת למתקן יצור חשמל בגז (שנה)</t>
  </si>
  <si>
    <t>בסיס תעריף חח״י</t>
  </si>
  <si>
    <t>תפעול משתנה באג׳ לקוט״ש  של מתקנים להפחתת פליטות</t>
  </si>
  <si>
    <t>חישוב הרשות</t>
  </si>
  <si>
    <t>הספק בגז נדרש בתרחישי שימור וגריטה (מגה וואט)</t>
  </si>
  <si>
    <t>נצילות ממוצעת של יחידות יצור קיימות בגז לפי נתונים בפועל ב 2018</t>
  </si>
  <si>
    <t xml:space="preserve">גז במחז״מים חדשים TWH </t>
  </si>
  <si>
    <t>גז בפיקרים חדשים TWH</t>
  </si>
  <si>
    <t>MMBTU per MWh of average gas unit</t>
  </si>
  <si>
    <t>צריכת גז ממוצעת ביחידות קיימות</t>
  </si>
  <si>
    <t>צריכת גז בפיקרים חדשים</t>
  </si>
  <si>
    <t>צריכת גז  במחז״מים חדשים</t>
  </si>
  <si>
    <t>BCM גז יחידות קיימות</t>
  </si>
  <si>
    <t>גז פיקרים חדשים BCM</t>
  </si>
  <si>
    <t>גז מחז״מים חדשים BCM</t>
  </si>
  <si>
    <t>מחז״ם</t>
  </si>
  <si>
    <t>פיקר</t>
  </si>
  <si>
    <t>מתקני גז קיימים</t>
  </si>
  <si>
    <t>מחזמים חדשים</t>
  </si>
  <si>
    <t>פיקר חדש</t>
  </si>
  <si>
    <t>פיקרים חדשים</t>
  </si>
  <si>
    <t>גז מתקנים קיימים</t>
  </si>
  <si>
    <t>מח״זמים חדשים</t>
  </si>
  <si>
    <t>צריכת דלק</t>
  </si>
  <si>
    <t>הובלה ובלו [אג׳/קוט״ש]</t>
  </si>
  <si>
    <t>גז ביחידות קיימות</t>
  </si>
  <si>
    <t>גז במח״זמים חדשים</t>
  </si>
  <si>
    <t>גז בפיקרים חדשים</t>
  </si>
  <si>
    <t>נצילות מחז״ם חדש LHV</t>
  </si>
  <si>
    <t>נצילות מחז״ם חדש HHV</t>
  </si>
  <si>
    <t>נצילות פיקר חדש LHV</t>
  </si>
  <si>
    <t xml:space="preserve">חישוב  </t>
  </si>
  <si>
    <t>יצור בגז ביחידות פחמיות מוסבות</t>
  </si>
  <si>
    <t>יצור בפחם</t>
  </si>
  <si>
    <r>
      <t>מדיניות הפחתה ושימור</t>
    </r>
    <r>
      <rPr>
        <b/>
        <sz val="11"/>
        <rFont val="Calibri (Body)"/>
      </rPr>
      <t xml:space="preserve"> 1-4</t>
    </r>
  </si>
  <si>
    <t xml:space="preserve">5. יצור בחרום ביחידות 1-4  אשר שומרו =  לאנרגיה המיוצרת ב 1440 מגה וואט ב 7000 שעות </t>
  </si>
  <si>
    <r>
      <t>פחם</t>
    </r>
    <r>
      <rPr>
        <sz val="11"/>
        <rFont val="Calibri (Body)"/>
      </rPr>
      <t xml:space="preserve"> ביחידות פחמיות למעט 1-4   [TWH]</t>
    </r>
  </si>
  <si>
    <t>פחם ביחידות 1-4 באורות רבין [TWH]</t>
  </si>
  <si>
    <t>נתונים לגרף:</t>
  </si>
  <si>
    <t>3. פליטות פחמן דו חמצני מחושבות מחושבות לפי  מקדם פליטה סגולית של 53 ק״ג ל  - BTU</t>
  </si>
  <si>
    <t>4* פליטות מזהמים לפי  Gas Turbine (dry nm3@15%O2)</t>
  </si>
  <si>
    <t xml:space="preserve">פיקר בעבודה בגז טבעי. הערות 3,4,5 </t>
  </si>
  <si>
    <t>5*פליטות מזהמים לפי Siemens V.94.2. Open Cycle. 150 MW</t>
  </si>
  <si>
    <t>6*פליטות מזהמים לפי Combined Cycle with Gas Turbine 9FA. Unit Load 397 MW</t>
  </si>
  <si>
    <t>מחז"ם. הערות, מס' 3, 6</t>
  </si>
  <si>
    <t>נתוני יצרנים + 2% שיפור עתידי</t>
  </si>
  <si>
    <t>נתוני יצרנים +2% מקדם שיפור עתידי</t>
  </si>
  <si>
    <t xml:space="preserve">נצילות פיקר חדש HHV עם פקטור טמפרטורה </t>
  </si>
  <si>
    <t>מקדם הפחתת נצילות בגין טמפרטורת אתר (20 מעלות בממוצע שנתי)</t>
  </si>
  <si>
    <t xml:space="preserve">מקדם הפחתת נצילות בגין הזדקנות </t>
  </si>
  <si>
    <t>מקדם הפחתת נצילות בגין עומס חלקי והתנעות</t>
  </si>
  <si>
    <t>נצילות יצור ממוצעת ביחידות גז קיימות LHV</t>
  </si>
  <si>
    <r>
      <t xml:space="preserve">נצילות ייצור </t>
    </r>
    <r>
      <rPr>
        <sz val="11"/>
        <rFont val="Calibri (Body)"/>
      </rPr>
      <t>ממוצעת</t>
    </r>
    <r>
      <rPr>
        <sz val="11"/>
        <rFont val="Calibri"/>
        <family val="2"/>
        <charset val="177"/>
        <scheme val="minor"/>
      </rPr>
      <t xml:space="preserve"> ביחידות גז קיימות  HHV </t>
    </r>
  </si>
  <si>
    <t>חישוב</t>
  </si>
  <si>
    <t>הערכת ינ״ם</t>
  </si>
  <si>
    <t>נצילות מחז״ם חדש HHV עם פקטור טמפרטורה, עבודה בעומס חלקי והזדקנות</t>
  </si>
  <si>
    <t xml:space="preserve">נצילות פיקר חדש HHV  </t>
  </si>
  <si>
    <t>אוכלוסיה (תחזית למ״ס)</t>
  </si>
  <si>
    <t>*המקור לנתוני פרישת עובדי חח"י -הערכות חח"י</t>
  </si>
  <si>
    <t>מחיר משוקלל לקוט״ש סולארי</t>
  </si>
  <si>
    <t>יצור אנרגיה מתחדשת</t>
  </si>
  <si>
    <t>צפי לירידת מחיר בשנים 2018 - 2030 לפי בלומברג [%]</t>
  </si>
  <si>
    <t>תועלת</t>
  </si>
  <si>
    <t>עלות נטו בניכוי תועלת מהפחתת זיהום מקומית - תרחיש מרכזי [מש״ח]</t>
  </si>
  <si>
    <t>עלות נטו בניכוי תועלת מהפחתת זיהום מקומית - פחם זול וגז יקר [מש״ח]</t>
  </si>
  <si>
    <t>עלות נטו בניכוי תועלת מהפחתת זיהום מקומית - פחם יקר וגז זול [מש״ח]</t>
  </si>
  <si>
    <t xml:space="preserve">עלת ההפחתה (מהוון) </t>
  </si>
  <si>
    <t>עלות שולית להפחתת גזי חממה</t>
  </si>
  <si>
    <t>הפחתה [מליון טון]</t>
  </si>
  <si>
    <t>תוספת עלות [מש״ח]</t>
  </si>
  <si>
    <t>תרחיש פחם זול וגז יקר</t>
  </si>
  <si>
    <t>תרחיש פחם יקר וגז זול</t>
  </si>
  <si>
    <t>סך פליטות לתקופה (מהוון) [מליוני טון]</t>
  </si>
  <si>
    <r>
      <t xml:space="preserve">עלות שולית של הפחתה באמצעות </t>
    </r>
    <r>
      <rPr>
        <b/>
        <sz val="11"/>
        <color theme="1"/>
        <rFont val="Calibri"/>
        <family val="2"/>
        <scheme val="minor"/>
      </rPr>
      <t>שימור ביחס להסבה</t>
    </r>
  </si>
  <si>
    <r>
      <t xml:space="preserve">עלות שולית של הפחתה באמצעות </t>
    </r>
    <r>
      <rPr>
        <b/>
        <sz val="11"/>
        <color theme="1"/>
        <rFont val="Calibri"/>
        <family val="2"/>
        <scheme val="minor"/>
      </rPr>
      <t>הסבה, ביחס למדיניות הנוכחית</t>
    </r>
  </si>
  <si>
    <r>
      <t>עלות שולית של הפחתה באמצעות ג</t>
    </r>
    <r>
      <rPr>
        <b/>
        <sz val="11"/>
        <color theme="1"/>
        <rFont val="Calibri"/>
        <family val="2"/>
        <scheme val="minor"/>
      </rPr>
      <t>ריטה ביחס להסבה</t>
    </r>
  </si>
  <si>
    <t>עלות שולית להפחתת גזי חממה [₪/טון]</t>
  </si>
  <si>
    <t xml:space="preserve"> עלויות עודפות ביחס למדיניות נוכחית (מהוון) [מלש״ח]</t>
  </si>
  <si>
    <t>עלות עודפת ביחס למדיניות נוכחית בניכוי תועלות מהפחתת מזהמים מקומיים (מהוון) [מלש"ח]</t>
  </si>
  <si>
    <t>הפחתת פליטות [מליון טון]</t>
  </si>
  <si>
    <t>4. לפי החלטת הממשלה לעניין שימור אתר אורות רבין, שר האנרגיה נדרש להחליט בעניין שימור יחידות 1-4 באתר.  לצורך הסימולציה הנחנו כי היחידות ישומרו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</si>
</sst>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(&quot;₪&quot;* #,##0.00_);_(&quot;₪&quot;* \(#,##0.00\);_(&quot;₪&quot;* &quot;-&quot;??_);_(@_)"/>
    <numFmt numFmtId="43" formatCode="_(* #,##0.00_);_(* \(#,##0.00\);_(* &quot;-&quot;??_);_(@_)"/>
    <numFmt numFmtId="164" formatCode="&quot;₪&quot;\ #,##0.00;[Red]&quot;₪&quot;\ \-#,##0.00"/>
    <numFmt numFmtId="165" formatCode="_ * #,##0.00_ ;_ * \-#,##0.00_ ;_ * &quot;-&quot;??_ ;_ @_ "/>
    <numFmt numFmtId="166" formatCode="0.0"/>
    <numFmt numFmtId="167" formatCode="_ * #,##0_ ;_ * \-#,##0_ ;_ * &quot;-&quot;??_ ;_ @_ "/>
    <numFmt numFmtId="168" formatCode="_ * #,##0.0_ ;_ * \-#,##0.0_ ;_ * &quot;-&quot;??_ ;_ @_ "/>
    <numFmt numFmtId="169" formatCode="_(* #,##0_);_(* \(#,##0\);_(* &quot;-&quot;??_);_(@_)"/>
    <numFmt numFmtId="170" formatCode="_ * #,##0.000_ ;_ * \-#,##0.000_ ;_ * &quot;-&quot;??_ ;_ @_ "/>
    <numFmt numFmtId="171" formatCode="_ * #,##0.0000_ ;_ * \-#,##0.0000_ ;_ * &quot;-&quot;??_ ;_ @_ "/>
    <numFmt numFmtId="172" formatCode="_ * #,##0.00000_ ;_ * \-#,##0.00000_ ;_ * &quot;-&quot;??_ ;_ @_ "/>
    <numFmt numFmtId="173" formatCode="#,##0.0"/>
    <numFmt numFmtId="174" formatCode="0.00000"/>
    <numFmt numFmtId="175" formatCode="0.0%"/>
    <numFmt numFmtId="176" formatCode="0.000"/>
    <numFmt numFmtId="177" formatCode="0.000000000000000%"/>
  </numFmts>
  <fonts count="44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charset val="177"/>
      <scheme val="minor"/>
    </font>
    <font>
      <sz val="11"/>
      <name val="Calibri"/>
      <family val="2"/>
      <charset val="177"/>
      <scheme val="minor"/>
    </font>
    <font>
      <sz val="11"/>
      <name val="Calibri (Body)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theme="1"/>
      <name val="Calibri"/>
      <family val="2"/>
      <charset val="177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charset val="177"/>
      <scheme val="minor"/>
    </font>
    <font>
      <b/>
      <sz val="11"/>
      <name val="Calibri (Body)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sz val="11"/>
      <color theme="1"/>
      <name val="Symbol"/>
      <family val="1"/>
      <charset val="2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rgb="FF000000"/>
      <name val="Calibri"/>
      <family val="2"/>
      <charset val="177"/>
      <scheme val="minor"/>
    </font>
    <font>
      <b/>
      <sz val="11"/>
      <color rgb="FFFF0000"/>
      <name val="Calibri (Body)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14"/>
      <color theme="1"/>
      <name val="Calibri"/>
      <family val="2"/>
      <charset val="177"/>
      <scheme val="minor"/>
    </font>
    <font>
      <b/>
      <u/>
      <sz val="14"/>
      <color theme="1"/>
      <name val="Calibri"/>
      <family val="2"/>
      <scheme val="minor"/>
    </font>
    <font>
      <sz val="9"/>
      <color theme="1"/>
      <name val="Calibri"/>
      <family val="2"/>
      <charset val="177"/>
      <scheme val="minor"/>
    </font>
    <font>
      <b/>
      <vertAlign val="subscript"/>
      <sz val="22"/>
      <color rgb="FF000000"/>
      <name val="Calibri (Body)"/>
    </font>
    <font>
      <vertAlign val="subscript"/>
      <sz val="11"/>
      <color theme="1"/>
      <name val="Calibri (Body)"/>
    </font>
    <font>
      <b/>
      <vertAlign val="subscript"/>
      <sz val="11"/>
      <color theme="1"/>
      <name val="Calibri (Body)"/>
    </font>
    <font>
      <b/>
      <sz val="10"/>
      <color theme="1"/>
      <name val="Calibri"/>
      <family val="2"/>
      <scheme val="minor"/>
    </font>
    <font>
      <sz val="10"/>
      <color theme="1"/>
      <name val="ArialMT"/>
    </font>
    <font>
      <sz val="11"/>
      <name val="Calibri"/>
      <family val="2"/>
      <scheme val="minor"/>
    </font>
    <font>
      <vertAlign val="subscript"/>
      <sz val="11"/>
      <name val="Calibri (Body)"/>
    </font>
    <font>
      <sz val="14"/>
      <color rgb="FF000000"/>
      <name val="David"/>
    </font>
    <font>
      <sz val="10"/>
      <color rgb="FF21212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DEDED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theme="1"/>
      </bottom>
      <diagonal/>
    </border>
    <border>
      <left style="medium">
        <color theme="1"/>
      </left>
      <right/>
      <top style="medium">
        <color indexed="64"/>
      </top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thick">
        <color theme="1"/>
      </left>
      <right style="thick">
        <color theme="1"/>
      </right>
      <top style="thin">
        <color theme="1"/>
      </top>
      <bottom style="double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thick">
        <color theme="1"/>
      </left>
      <right/>
      <top/>
      <bottom style="medium">
        <color indexed="64"/>
      </bottom>
      <diagonal/>
    </border>
    <border>
      <left style="thick">
        <color theme="1"/>
      </left>
      <right/>
      <top/>
      <bottom/>
      <diagonal/>
    </border>
    <border>
      <left/>
      <right style="thick">
        <color theme="1"/>
      </right>
      <top/>
      <bottom/>
      <diagonal/>
    </border>
    <border>
      <left style="thick">
        <color theme="1"/>
      </left>
      <right/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/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medium">
        <color indexed="64"/>
      </top>
      <bottom/>
      <diagonal/>
    </border>
    <border>
      <left/>
      <right style="thick">
        <color theme="1"/>
      </right>
      <top style="medium">
        <color indexed="64"/>
      </top>
      <bottom/>
      <diagonal/>
    </border>
    <border>
      <left/>
      <right style="thick">
        <color theme="1"/>
      </right>
      <top/>
      <bottom style="medium">
        <color indexed="64"/>
      </bottom>
      <diagonal/>
    </border>
    <border>
      <left/>
      <right/>
      <top style="medium">
        <color indexed="64"/>
      </top>
      <bottom style="thick">
        <color theme="1"/>
      </bottom>
      <diagonal/>
    </border>
    <border>
      <left style="medium">
        <color theme="1"/>
      </left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medium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theme="1"/>
      </left>
      <right style="thick">
        <color theme="1"/>
      </right>
      <top/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1140">
    <xf numFmtId="0" fontId="0" fillId="0" borderId="0" xfId="0"/>
    <xf numFmtId="166" fontId="0" fillId="0" borderId="0" xfId="0" applyNumberFormat="1"/>
    <xf numFmtId="10" fontId="0" fillId="0" borderId="0" xfId="0" applyNumberFormat="1"/>
    <xf numFmtId="9" fontId="0" fillId="0" borderId="0" xfId="0" applyNumberFormat="1"/>
    <xf numFmtId="165" fontId="0" fillId="0" borderId="0" xfId="1" applyFont="1"/>
    <xf numFmtId="165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166" fontId="0" fillId="0" borderId="4" xfId="0" applyNumberFormat="1" applyBorder="1"/>
    <xf numFmtId="166" fontId="0" fillId="0" borderId="8" xfId="0" applyNumberFormat="1" applyBorder="1"/>
    <xf numFmtId="166" fontId="0" fillId="0" borderId="11" xfId="0" applyNumberFormat="1" applyBorder="1"/>
    <xf numFmtId="2" fontId="0" fillId="0" borderId="4" xfId="0" applyNumberFormat="1" applyBorder="1"/>
    <xf numFmtId="1" fontId="0" fillId="0" borderId="0" xfId="0" applyNumberFormat="1"/>
    <xf numFmtId="0" fontId="0" fillId="0" borderId="0" xfId="0" applyFill="1"/>
    <xf numFmtId="167" fontId="0" fillId="0" borderId="0" xfId="1" applyNumberFormat="1" applyFont="1"/>
    <xf numFmtId="167" fontId="0" fillId="0" borderId="0" xfId="0" applyNumberFormat="1"/>
    <xf numFmtId="0" fontId="0" fillId="0" borderId="0" xfId="0" applyFill="1" applyBorder="1"/>
    <xf numFmtId="166" fontId="0" fillId="0" borderId="0" xfId="0" applyNumberFormat="1" applyFill="1" applyBorder="1"/>
    <xf numFmtId="0" fontId="0" fillId="0" borderId="15" xfId="0" applyBorder="1"/>
    <xf numFmtId="2" fontId="0" fillId="0" borderId="0" xfId="0" applyNumberFormat="1" applyFill="1" applyBorder="1"/>
    <xf numFmtId="0" fontId="0" fillId="0" borderId="0" xfId="0" applyFill="1" applyBorder="1" applyAlignment="1"/>
    <xf numFmtId="2" fontId="0" fillId="0" borderId="0" xfId="0" applyNumberFormat="1" applyFill="1"/>
    <xf numFmtId="165" fontId="0" fillId="0" borderId="0" xfId="0" applyNumberFormat="1" applyFill="1"/>
    <xf numFmtId="168" fontId="0" fillId="0" borderId="0" xfId="1" applyNumberFormat="1" applyFont="1" applyBorder="1"/>
    <xf numFmtId="168" fontId="0" fillId="0" borderId="15" xfId="1" applyNumberFormat="1" applyFont="1" applyBorder="1"/>
    <xf numFmtId="0" fontId="0" fillId="0" borderId="14" xfId="0" applyBorder="1"/>
    <xf numFmtId="167" fontId="0" fillId="0" borderId="0" xfId="1" applyNumberFormat="1" applyFont="1" applyBorder="1"/>
    <xf numFmtId="167" fontId="0" fillId="0" borderId="15" xfId="1" applyNumberFormat="1" applyFont="1" applyBorder="1"/>
    <xf numFmtId="167" fontId="0" fillId="0" borderId="0" xfId="0" applyNumberFormat="1" applyBorder="1"/>
    <xf numFmtId="165" fontId="0" fillId="0" borderId="0" xfId="0" applyNumberFormat="1" applyBorder="1"/>
    <xf numFmtId="0" fontId="0" fillId="0" borderId="20" xfId="0" applyBorder="1"/>
    <xf numFmtId="169" fontId="0" fillId="0" borderId="0" xfId="0" applyNumberFormat="1"/>
    <xf numFmtId="0" fontId="0" fillId="0" borderId="3" xfId="0" applyFill="1" applyBorder="1"/>
    <xf numFmtId="0" fontId="0" fillId="0" borderId="15" xfId="0" applyFill="1" applyBorder="1"/>
    <xf numFmtId="0" fontId="0" fillId="0" borderId="14" xfId="0" applyFill="1" applyBorder="1"/>
    <xf numFmtId="0" fontId="0" fillId="0" borderId="21" xfId="0" applyBorder="1"/>
    <xf numFmtId="9" fontId="0" fillId="0" borderId="21" xfId="0" applyNumberFormat="1" applyBorder="1"/>
    <xf numFmtId="0" fontId="0" fillId="0" borderId="25" xfId="0" applyBorder="1"/>
    <xf numFmtId="0" fontId="0" fillId="2" borderId="23" xfId="0" applyFill="1" applyBorder="1"/>
    <xf numFmtId="0" fontId="0" fillId="0" borderId="3" xfId="0" applyBorder="1" applyAlignment="1">
      <alignment horizontal="right"/>
    </xf>
    <xf numFmtId="166" fontId="0" fillId="0" borderId="0" xfId="0" applyNumberFormat="1" applyBorder="1"/>
    <xf numFmtId="2" fontId="0" fillId="0" borderId="0" xfId="0" applyNumberFormat="1" applyBorder="1"/>
    <xf numFmtId="165" fontId="0" fillId="0" borderId="0" xfId="1" applyFont="1" applyBorder="1"/>
    <xf numFmtId="166" fontId="0" fillId="0" borderId="20" xfId="0" applyNumberFormat="1" applyBorder="1"/>
    <xf numFmtId="165" fontId="0" fillId="0" borderId="0" xfId="1" applyFont="1" applyFill="1" applyBorder="1"/>
    <xf numFmtId="165" fontId="0" fillId="0" borderId="0" xfId="0" applyNumberFormat="1" applyFill="1" applyBorder="1"/>
    <xf numFmtId="168" fontId="0" fillId="0" borderId="0" xfId="1" applyNumberFormat="1" applyFont="1" applyFill="1" applyBorder="1"/>
    <xf numFmtId="0" fontId="0" fillId="0" borderId="19" xfId="0" applyBorder="1"/>
    <xf numFmtId="0" fontId="0" fillId="0" borderId="0" xfId="0" applyAlignment="1">
      <alignment horizontal="center"/>
    </xf>
    <xf numFmtId="9" fontId="0" fillId="0" borderId="0" xfId="2" applyFont="1" applyFill="1" applyBorder="1"/>
    <xf numFmtId="166" fontId="0" fillId="0" borderId="3" xfId="0" applyNumberFormat="1" applyBorder="1"/>
    <xf numFmtId="2" fontId="0" fillId="0" borderId="15" xfId="0" applyNumberFormat="1" applyFill="1" applyBorder="1"/>
    <xf numFmtId="165" fontId="0" fillId="0" borderId="15" xfId="0" applyNumberFormat="1" applyBorder="1"/>
    <xf numFmtId="165" fontId="0" fillId="0" borderId="15" xfId="0" applyNumberFormat="1" applyFill="1" applyBorder="1"/>
    <xf numFmtId="2" fontId="0" fillId="0" borderId="3" xfId="0" applyNumberFormat="1" applyBorder="1"/>
    <xf numFmtId="2" fontId="0" fillId="0" borderId="15" xfId="0" applyNumberFormat="1" applyBorder="1"/>
    <xf numFmtId="2" fontId="0" fillId="0" borderId="3" xfId="0" applyNumberFormat="1" applyFill="1" applyBorder="1"/>
    <xf numFmtId="167" fontId="0" fillId="0" borderId="3" xfId="1" applyNumberFormat="1" applyFont="1" applyBorder="1"/>
    <xf numFmtId="168" fontId="0" fillId="0" borderId="3" xfId="1" applyNumberFormat="1" applyFont="1" applyBorder="1"/>
    <xf numFmtId="167" fontId="0" fillId="0" borderId="21" xfId="1" applyNumberFormat="1" applyFont="1" applyBorder="1"/>
    <xf numFmtId="0" fontId="0" fillId="0" borderId="23" xfId="0" applyBorder="1"/>
    <xf numFmtId="0" fontId="0" fillId="2" borderId="30" xfId="0" applyFill="1" applyBorder="1"/>
    <xf numFmtId="167" fontId="0" fillId="0" borderId="20" xfId="1" applyNumberFormat="1" applyFont="1" applyBorder="1"/>
    <xf numFmtId="0" fontId="0" fillId="0" borderId="22" xfId="0" applyBorder="1"/>
    <xf numFmtId="0" fontId="0" fillId="2" borderId="3" xfId="0" applyFill="1" applyBorder="1"/>
    <xf numFmtId="0" fontId="3" fillId="0" borderId="0" xfId="0" applyFont="1" applyFill="1"/>
    <xf numFmtId="0" fontId="4" fillId="0" borderId="3" xfId="0" applyFont="1" applyFill="1" applyBorder="1"/>
    <xf numFmtId="0" fontId="4" fillId="0" borderId="15" xfId="0" applyFont="1" applyFill="1" applyBorder="1"/>
    <xf numFmtId="167" fontId="4" fillId="0" borderId="15" xfId="1" applyNumberFormat="1" applyFont="1" applyFill="1" applyBorder="1"/>
    <xf numFmtId="0" fontId="4" fillId="0" borderId="3" xfId="0" applyFont="1" applyBorder="1"/>
    <xf numFmtId="167" fontId="4" fillId="0" borderId="15" xfId="0" applyNumberFormat="1" applyFont="1" applyBorder="1"/>
    <xf numFmtId="167" fontId="4" fillId="0" borderId="15" xfId="1" applyNumberFormat="1" applyFont="1" applyBorder="1"/>
    <xf numFmtId="0" fontId="4" fillId="0" borderId="14" xfId="0" applyFont="1" applyBorder="1"/>
    <xf numFmtId="0" fontId="4" fillId="0" borderId="0" xfId="0" applyFont="1" applyFill="1" applyBorder="1"/>
    <xf numFmtId="0" fontId="4" fillId="0" borderId="0" xfId="0" applyFont="1"/>
    <xf numFmtId="0" fontId="4" fillId="0" borderId="0" xfId="0" applyFont="1" applyBorder="1"/>
    <xf numFmtId="0" fontId="4" fillId="0" borderId="15" xfId="0" applyFont="1" applyBorder="1"/>
    <xf numFmtId="167" fontId="4" fillId="0" borderId="20" xfId="0" applyNumberFormat="1" applyFont="1" applyBorder="1"/>
    <xf numFmtId="167" fontId="4" fillId="0" borderId="21" xfId="0" applyNumberFormat="1" applyFont="1" applyBorder="1"/>
    <xf numFmtId="0" fontId="8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right" readingOrder="2"/>
    </xf>
    <xf numFmtId="0" fontId="4" fillId="0" borderId="22" xfId="0" applyFont="1" applyBorder="1"/>
    <xf numFmtId="165" fontId="4" fillId="0" borderId="22" xfId="1" applyFont="1" applyBorder="1"/>
    <xf numFmtId="166" fontId="0" fillId="0" borderId="15" xfId="0" applyNumberFormat="1" applyBorder="1"/>
    <xf numFmtId="2" fontId="0" fillId="0" borderId="21" xfId="0" applyNumberFormat="1" applyFill="1" applyBorder="1"/>
    <xf numFmtId="167" fontId="0" fillId="0" borderId="15" xfId="0" applyNumberFormat="1" applyBorder="1"/>
    <xf numFmtId="167" fontId="0" fillId="0" borderId="14" xfId="1" applyNumberFormat="1" applyFont="1" applyBorder="1"/>
    <xf numFmtId="1" fontId="0" fillId="0" borderId="15" xfId="0" applyNumberFormat="1" applyBorder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right" readingOrder="2"/>
    </xf>
    <xf numFmtId="0" fontId="0" fillId="0" borderId="32" xfId="0" applyFill="1" applyBorder="1"/>
    <xf numFmtId="167" fontId="2" fillId="0" borderId="34" xfId="1" applyNumberFormat="1" applyFont="1" applyBorder="1" applyAlignment="1">
      <alignment horizontal="center"/>
    </xf>
    <xf numFmtId="167" fontId="2" fillId="0" borderId="35" xfId="1" applyNumberFormat="1" applyFont="1" applyBorder="1" applyAlignment="1">
      <alignment horizontal="center"/>
    </xf>
    <xf numFmtId="168" fontId="0" fillId="0" borderId="22" xfId="1" applyNumberFormat="1" applyFont="1" applyBorder="1"/>
    <xf numFmtId="0" fontId="11" fillId="0" borderId="22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 wrapText="1"/>
    </xf>
    <xf numFmtId="166" fontId="4" fillId="0" borderId="15" xfId="0" applyNumberFormat="1" applyFont="1" applyFill="1" applyBorder="1" applyAlignment="1">
      <alignment horizontal="center"/>
    </xf>
    <xf numFmtId="1" fontId="0" fillId="0" borderId="3" xfId="0" applyNumberFormat="1" applyBorder="1"/>
    <xf numFmtId="0" fontId="0" fillId="2" borderId="22" xfId="0" applyFill="1" applyBorder="1"/>
    <xf numFmtId="9" fontId="0" fillId="2" borderId="22" xfId="0" applyNumberFormat="1" applyFill="1" applyBorder="1"/>
    <xf numFmtId="165" fontId="0" fillId="0" borderId="24" xfId="1" applyNumberFormat="1" applyFont="1" applyBorder="1"/>
    <xf numFmtId="165" fontId="0" fillId="0" borderId="25" xfId="1" applyNumberFormat="1" applyFont="1" applyBorder="1"/>
    <xf numFmtId="0" fontId="0" fillId="0" borderId="24" xfId="0" applyFill="1" applyBorder="1"/>
    <xf numFmtId="0" fontId="0" fillId="0" borderId="0" xfId="0" applyAlignment="1">
      <alignment horizontal="center"/>
    </xf>
    <xf numFmtId="0" fontId="0" fillId="0" borderId="35" xfId="0" applyBorder="1" applyAlignment="1">
      <alignment horizontal="center" wrapText="1"/>
    </xf>
    <xf numFmtId="0" fontId="0" fillId="0" borderId="34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0" fillId="0" borderId="0" xfId="0" applyAlignment="1">
      <alignment wrapText="1"/>
    </xf>
    <xf numFmtId="171" fontId="0" fillId="0" borderId="0" xfId="0" applyNumberFormat="1"/>
    <xf numFmtId="166" fontId="4" fillId="0" borderId="1" xfId="0" applyNumberFormat="1" applyFont="1" applyBorder="1" applyAlignment="1">
      <alignment horizontal="center"/>
    </xf>
    <xf numFmtId="166" fontId="4" fillId="0" borderId="19" xfId="0" applyNumberFormat="1" applyFont="1" applyBorder="1" applyAlignment="1">
      <alignment horizontal="center"/>
    </xf>
    <xf numFmtId="166" fontId="4" fillId="0" borderId="3" xfId="0" applyNumberFormat="1" applyFont="1" applyBorder="1" applyAlignment="1">
      <alignment horizontal="center"/>
    </xf>
    <xf numFmtId="166" fontId="4" fillId="0" borderId="3" xfId="0" applyNumberFormat="1" applyFont="1" applyFill="1" applyBorder="1" applyAlignment="1">
      <alignment horizontal="center"/>
    </xf>
    <xf numFmtId="166" fontId="4" fillId="0" borderId="14" xfId="0" applyNumberFormat="1" applyFont="1" applyBorder="1" applyAlignment="1">
      <alignment horizontal="center"/>
    </xf>
    <xf numFmtId="0" fontId="0" fillId="0" borderId="4" xfId="0" applyBorder="1"/>
    <xf numFmtId="166" fontId="2" fillId="0" borderId="4" xfId="0" applyNumberFormat="1" applyFont="1" applyBorder="1"/>
    <xf numFmtId="166" fontId="14" fillId="0" borderId="4" xfId="0" applyNumberFormat="1" applyFont="1" applyBorder="1"/>
    <xf numFmtId="0" fontId="0" fillId="0" borderId="8" xfId="0" applyBorder="1"/>
    <xf numFmtId="166" fontId="2" fillId="0" borderId="8" xfId="0" applyNumberFormat="1" applyFont="1" applyBorder="1"/>
    <xf numFmtId="166" fontId="2" fillId="0" borderId="11" xfId="0" applyNumberFormat="1" applyFont="1" applyBorder="1"/>
    <xf numFmtId="0" fontId="0" fillId="0" borderId="1" xfId="0" applyFill="1" applyBorder="1" applyAlignment="1">
      <alignment horizontal="right"/>
    </xf>
    <xf numFmtId="9" fontId="2" fillId="0" borderId="0" xfId="0" applyNumberFormat="1" applyFont="1" applyFill="1" applyBorder="1" applyAlignment="1">
      <alignment horizontal="center"/>
    </xf>
    <xf numFmtId="167" fontId="0" fillId="0" borderId="3" xfId="0" applyNumberFormat="1" applyBorder="1"/>
    <xf numFmtId="0" fontId="0" fillId="0" borderId="46" xfId="0" applyFill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51" xfId="0" applyBorder="1" applyAlignment="1">
      <alignment horizontal="center" wrapText="1"/>
    </xf>
    <xf numFmtId="0" fontId="17" fillId="0" borderId="0" xfId="0" applyFont="1"/>
    <xf numFmtId="0" fontId="0" fillId="0" borderId="23" xfId="0" applyBorder="1" applyAlignment="1">
      <alignment horizontal="center" wrapText="1"/>
    </xf>
    <xf numFmtId="0" fontId="0" fillId="0" borderId="32" xfId="0" applyBorder="1" applyAlignment="1">
      <alignment horizontal="center" wrapText="1"/>
    </xf>
    <xf numFmtId="167" fontId="2" fillId="0" borderId="32" xfId="1" applyNumberFormat="1" applyFont="1" applyBorder="1" applyAlignment="1">
      <alignment horizontal="center"/>
    </xf>
    <xf numFmtId="0" fontId="0" fillId="0" borderId="32" xfId="0" applyFill="1" applyBorder="1" applyAlignment="1">
      <alignment horizontal="center" wrapText="1"/>
    </xf>
    <xf numFmtId="167" fontId="2" fillId="0" borderId="32" xfId="1" applyNumberFormat="1" applyFont="1" applyFill="1" applyBorder="1" applyAlignment="1">
      <alignment horizontal="center"/>
    </xf>
    <xf numFmtId="0" fontId="0" fillId="0" borderId="45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9" fontId="0" fillId="0" borderId="0" xfId="0" applyNumberFormat="1" applyBorder="1"/>
    <xf numFmtId="0" fontId="2" fillId="2" borderId="1" xfId="0" applyFont="1" applyFill="1" applyBorder="1"/>
    <xf numFmtId="0" fontId="0" fillId="0" borderId="38" xfId="0" applyBorder="1"/>
    <xf numFmtId="168" fontId="0" fillId="0" borderId="52" xfId="1" applyNumberFormat="1" applyFont="1" applyBorder="1" applyAlignment="1">
      <alignment horizontal="center"/>
    </xf>
    <xf numFmtId="168" fontId="0" fillId="0" borderId="17" xfId="1" applyNumberFormat="1" applyFont="1" applyBorder="1" applyAlignment="1">
      <alignment horizontal="center"/>
    </xf>
    <xf numFmtId="168" fontId="0" fillId="0" borderId="42" xfId="1" applyNumberFormat="1" applyFont="1" applyBorder="1" applyAlignment="1">
      <alignment horizontal="center"/>
    </xf>
    <xf numFmtId="168" fontId="0" fillId="0" borderId="53" xfId="1" applyNumberFormat="1" applyFont="1" applyBorder="1" applyAlignment="1">
      <alignment horizontal="center"/>
    </xf>
    <xf numFmtId="168" fontId="0" fillId="0" borderId="8" xfId="1" applyNumberFormat="1" applyFont="1" applyBorder="1" applyAlignment="1">
      <alignment horizontal="center"/>
    </xf>
    <xf numFmtId="168" fontId="0" fillId="0" borderId="9" xfId="1" applyNumberFormat="1" applyFont="1" applyBorder="1" applyAlignment="1">
      <alignment horizontal="center"/>
    </xf>
    <xf numFmtId="168" fontId="0" fillId="0" borderId="10" xfId="1" applyNumberFormat="1" applyFont="1" applyBorder="1" applyAlignment="1">
      <alignment horizontal="center"/>
    </xf>
    <xf numFmtId="168" fontId="0" fillId="0" borderId="44" xfId="1" applyNumberFormat="1" applyFont="1" applyBorder="1" applyAlignment="1">
      <alignment horizontal="center"/>
    </xf>
    <xf numFmtId="168" fontId="0" fillId="0" borderId="27" xfId="1" applyNumberFormat="1" applyFont="1" applyBorder="1" applyAlignment="1">
      <alignment horizontal="center"/>
    </xf>
    <xf numFmtId="168" fontId="0" fillId="0" borderId="53" xfId="0" applyNumberFormat="1" applyBorder="1" applyAlignment="1">
      <alignment horizontal="center"/>
    </xf>
    <xf numFmtId="168" fontId="0" fillId="0" borderId="9" xfId="0" applyNumberFormat="1" applyBorder="1" applyAlignment="1">
      <alignment horizontal="center"/>
    </xf>
    <xf numFmtId="168" fontId="0" fillId="0" borderId="41" xfId="1" applyNumberFormat="1" applyFont="1" applyBorder="1" applyAlignment="1">
      <alignment horizontal="center"/>
    </xf>
    <xf numFmtId="168" fontId="0" fillId="0" borderId="4" xfId="1" applyNumberFormat="1" applyFont="1" applyBorder="1" applyAlignment="1">
      <alignment horizontal="center"/>
    </xf>
    <xf numFmtId="0" fontId="4" fillId="0" borderId="23" xfId="0" applyFont="1" applyBorder="1" applyAlignment="1">
      <alignment horizontal="center" wrapText="1"/>
    </xf>
    <xf numFmtId="0" fontId="4" fillId="0" borderId="23" xfId="0" applyFont="1" applyBorder="1"/>
    <xf numFmtId="0" fontId="4" fillId="0" borderId="24" xfId="0" applyFont="1" applyFill="1" applyBorder="1"/>
    <xf numFmtId="0" fontId="2" fillId="0" borderId="0" xfId="0" applyFont="1"/>
    <xf numFmtId="168" fontId="0" fillId="0" borderId="22" xfId="0" applyNumberFormat="1" applyFill="1" applyBorder="1" applyAlignment="1">
      <alignment horizontal="center" vertical="center"/>
    </xf>
    <xf numFmtId="168" fontId="0" fillId="0" borderId="22" xfId="1" applyNumberFormat="1" applyFont="1" applyBorder="1" applyAlignment="1">
      <alignment horizontal="center" vertical="center"/>
    </xf>
    <xf numFmtId="0" fontId="19" fillId="0" borderId="0" xfId="0" applyFont="1" applyAlignment="1">
      <alignment horizontal="right" vertical="center" readingOrder="2"/>
    </xf>
    <xf numFmtId="0" fontId="0" fillId="0" borderId="0" xfId="0" applyFill="1" applyBorder="1" applyAlignment="1">
      <alignment horizontal="center" vertical="center"/>
    </xf>
    <xf numFmtId="165" fontId="0" fillId="0" borderId="0" xfId="1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Fill="1" applyAlignment="1">
      <alignment horizontal="right" readingOrder="2"/>
    </xf>
    <xf numFmtId="0" fontId="0" fillId="0" borderId="19" xfId="0" applyFill="1" applyBorder="1"/>
    <xf numFmtId="0" fontId="0" fillId="0" borderId="21" xfId="0" applyFill="1" applyBorder="1"/>
    <xf numFmtId="175" fontId="0" fillId="0" borderId="15" xfId="2" applyNumberFormat="1" applyFont="1" applyBorder="1"/>
    <xf numFmtId="170" fontId="0" fillId="0" borderId="0" xfId="0" applyNumberFormat="1"/>
    <xf numFmtId="0" fontId="2" fillId="0" borderId="0" xfId="0" applyFont="1" applyBorder="1"/>
    <xf numFmtId="0" fontId="2" fillId="0" borderId="3" xfId="0" applyFont="1" applyBorder="1"/>
    <xf numFmtId="167" fontId="2" fillId="0" borderId="15" xfId="0" applyNumberFormat="1" applyFont="1" applyBorder="1"/>
    <xf numFmtId="0" fontId="14" fillId="0" borderId="3" xfId="0" applyFont="1" applyFill="1" applyBorder="1"/>
    <xf numFmtId="166" fontId="14" fillId="0" borderId="15" xfId="0" applyNumberFormat="1" applyFont="1" applyFill="1" applyBorder="1"/>
    <xf numFmtId="0" fontId="2" fillId="0" borderId="14" xfId="0" applyFont="1" applyFill="1" applyBorder="1"/>
    <xf numFmtId="0" fontId="14" fillId="0" borderId="15" xfId="0" applyFont="1" applyFill="1" applyBorder="1"/>
    <xf numFmtId="167" fontId="0" fillId="0" borderId="15" xfId="0" applyNumberFormat="1" applyFill="1" applyBorder="1" applyAlignment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167" fontId="0" fillId="0" borderId="3" xfId="0" applyNumberFormat="1" applyFill="1" applyBorder="1" applyAlignment="1">
      <alignment vertical="center"/>
    </xf>
    <xf numFmtId="0" fontId="2" fillId="3" borderId="23" xfId="0" applyFont="1" applyFill="1" applyBorder="1" applyAlignment="1">
      <alignment horizontal="center" vertical="center" wrapText="1"/>
    </xf>
    <xf numFmtId="167" fontId="0" fillId="0" borderId="30" xfId="0" applyNumberFormat="1" applyFill="1" applyBorder="1" applyAlignment="1">
      <alignment vertical="center"/>
    </xf>
    <xf numFmtId="167" fontId="0" fillId="0" borderId="32" xfId="0" applyNumberFormat="1" applyFill="1" applyBorder="1" applyAlignment="1">
      <alignment vertical="center"/>
    </xf>
    <xf numFmtId="167" fontId="0" fillId="0" borderId="14" xfId="0" applyNumberFormat="1" applyBorder="1"/>
    <xf numFmtId="3" fontId="4" fillId="0" borderId="2" xfId="0" applyNumberFormat="1" applyFont="1" applyFill="1" applyBorder="1"/>
    <xf numFmtId="0" fontId="4" fillId="0" borderId="3" xfId="0" applyFont="1" applyFill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0" fillId="0" borderId="14" xfId="0" applyFill="1" applyBorder="1" applyAlignment="1">
      <alignment horizontal="right"/>
    </xf>
    <xf numFmtId="3" fontId="4" fillId="0" borderId="3" xfId="0" applyNumberFormat="1" applyFont="1" applyFill="1" applyBorder="1"/>
    <xf numFmtId="0" fontId="0" fillId="2" borderId="1" xfId="0" applyFill="1" applyBorder="1" applyAlignment="1">
      <alignment horizontal="right"/>
    </xf>
    <xf numFmtId="0" fontId="0" fillId="2" borderId="19" xfId="0" applyFill="1" applyBorder="1"/>
    <xf numFmtId="0" fontId="0" fillId="0" borderId="1" xfId="0" applyBorder="1" applyAlignment="1">
      <alignment horizontal="right"/>
    </xf>
    <xf numFmtId="175" fontId="0" fillId="0" borderId="19" xfId="2" applyNumberFormat="1" applyFont="1" applyBorder="1" applyAlignment="1">
      <alignment horizontal="right"/>
    </xf>
    <xf numFmtId="2" fontId="4" fillId="0" borderId="0" xfId="0" applyNumberFormat="1" applyFont="1" applyFill="1" applyBorder="1"/>
    <xf numFmtId="1" fontId="4" fillId="0" borderId="0" xfId="0" applyNumberFormat="1" applyFont="1" applyFill="1" applyBorder="1"/>
    <xf numFmtId="9" fontId="4" fillId="0" borderId="2" xfId="0" applyNumberFormat="1" applyFont="1" applyFill="1" applyBorder="1"/>
    <xf numFmtId="9" fontId="0" fillId="0" borderId="20" xfId="0" applyNumberFormat="1" applyFill="1" applyBorder="1"/>
    <xf numFmtId="0" fontId="0" fillId="0" borderId="23" xfId="0" applyBorder="1" applyAlignment="1">
      <alignment horizontal="center"/>
    </xf>
    <xf numFmtId="0" fontId="21" fillId="5" borderId="0" xfId="0" applyFont="1" applyFill="1"/>
    <xf numFmtId="0" fontId="0" fillId="5" borderId="0" xfId="0" applyFill="1"/>
    <xf numFmtId="167" fontId="0" fillId="0" borderId="15" xfId="1" applyNumberFormat="1" applyFont="1" applyFill="1" applyBorder="1"/>
    <xf numFmtId="0" fontId="22" fillId="0" borderId="0" xfId="0" applyFont="1"/>
    <xf numFmtId="0" fontId="20" fillId="0" borderId="30" xfId="0" applyFont="1" applyFill="1" applyBorder="1" applyAlignment="1">
      <alignment horizontal="center"/>
    </xf>
    <xf numFmtId="0" fontId="23" fillId="0" borderId="30" xfId="0" applyFont="1" applyFill="1" applyBorder="1" applyAlignment="1">
      <alignment horizontal="center"/>
    </xf>
    <xf numFmtId="174" fontId="0" fillId="0" borderId="0" xfId="0" applyNumberFormat="1" applyBorder="1"/>
    <xf numFmtId="167" fontId="0" fillId="0" borderId="2" xfId="1" applyNumberFormat="1" applyFont="1" applyFill="1" applyBorder="1"/>
    <xf numFmtId="174" fontId="0" fillId="0" borderId="20" xfId="0" applyNumberFormat="1" applyBorder="1"/>
    <xf numFmtId="0" fontId="13" fillId="2" borderId="23" xfId="0" applyFont="1" applyFill="1" applyBorder="1"/>
    <xf numFmtId="0" fontId="13" fillId="2" borderId="24" xfId="0" applyFont="1" applyFill="1" applyBorder="1"/>
    <xf numFmtId="0" fontId="0" fillId="0" borderId="23" xfId="0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2" fillId="2" borderId="23" xfId="0" applyFont="1" applyFill="1" applyBorder="1" applyAlignment="1"/>
    <xf numFmtId="0" fontId="4" fillId="2" borderId="23" xfId="0" applyFont="1" applyFill="1" applyBorder="1" applyAlignment="1">
      <alignment horizontal="center" wrapText="1"/>
    </xf>
    <xf numFmtId="0" fontId="4" fillId="2" borderId="22" xfId="0" applyFont="1" applyFill="1" applyBorder="1" applyAlignment="1">
      <alignment horizontal="center" wrapText="1"/>
    </xf>
    <xf numFmtId="0" fontId="4" fillId="2" borderId="25" xfId="0" applyFont="1" applyFill="1" applyBorder="1" applyAlignment="1">
      <alignment horizontal="center" wrapText="1"/>
    </xf>
    <xf numFmtId="166" fontId="0" fillId="0" borderId="3" xfId="0" applyNumberFormat="1" applyFill="1" applyBorder="1"/>
    <xf numFmtId="166" fontId="0" fillId="0" borderId="19" xfId="0" applyNumberFormat="1" applyFill="1" applyBorder="1"/>
    <xf numFmtId="166" fontId="0" fillId="0" borderId="15" xfId="0" applyNumberFormat="1" applyFill="1" applyBorder="1"/>
    <xf numFmtId="166" fontId="0" fillId="0" borderId="2" xfId="0" applyNumberFormat="1" applyFill="1" applyBorder="1"/>
    <xf numFmtId="166" fontId="0" fillId="0" borderId="1" xfId="0" applyNumberFormat="1" applyFill="1" applyBorder="1"/>
    <xf numFmtId="2" fontId="0" fillId="0" borderId="1" xfId="0" applyNumberFormat="1" applyBorder="1"/>
    <xf numFmtId="165" fontId="0" fillId="0" borderId="2" xfId="0" applyNumberFormat="1" applyBorder="1"/>
    <xf numFmtId="165" fontId="0" fillId="0" borderId="19" xfId="0" applyNumberFormat="1" applyBorder="1"/>
    <xf numFmtId="0" fontId="24" fillId="6" borderId="0" xfId="0" applyFont="1" applyFill="1" applyAlignment="1">
      <alignment readingOrder="2"/>
    </xf>
    <xf numFmtId="0" fontId="25" fillId="6" borderId="0" xfId="0" applyFont="1" applyFill="1" applyAlignment="1">
      <alignment readingOrder="1"/>
    </xf>
    <xf numFmtId="0" fontId="11" fillId="2" borderId="19" xfId="0" applyFont="1" applyFill="1" applyBorder="1" applyAlignment="1">
      <alignment horizontal="right"/>
    </xf>
    <xf numFmtId="0" fontId="9" fillId="2" borderId="29" xfId="0" applyFont="1" applyFill="1" applyBorder="1"/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3" xfId="0" applyFont="1" applyFill="1" applyBorder="1"/>
    <xf numFmtId="0" fontId="9" fillId="2" borderId="35" xfId="0" applyFont="1" applyFill="1" applyBorder="1"/>
    <xf numFmtId="0" fontId="9" fillId="2" borderId="36" xfId="0" applyFont="1" applyFill="1" applyBorder="1"/>
    <xf numFmtId="0" fontId="9" fillId="2" borderId="44" xfId="0" applyFont="1" applyFill="1" applyBorder="1"/>
    <xf numFmtId="0" fontId="9" fillId="2" borderId="34" xfId="0" applyFont="1" applyFill="1" applyBorder="1" applyAlignment="1">
      <alignment wrapText="1"/>
    </xf>
    <xf numFmtId="0" fontId="25" fillId="0" borderId="0" xfId="0" applyFont="1" applyAlignment="1">
      <alignment readingOrder="1"/>
    </xf>
    <xf numFmtId="0" fontId="0" fillId="0" borderId="4" xfId="0" applyBorder="1" applyAlignment="1">
      <alignment horizontal="center"/>
    </xf>
    <xf numFmtId="0" fontId="0" fillId="0" borderId="16" xfId="0" applyBorder="1"/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166" fontId="4" fillId="0" borderId="32" xfId="0" applyNumberFormat="1" applyFont="1" applyFill="1" applyBorder="1" applyAlignment="1">
      <alignment horizontal="center"/>
    </xf>
    <xf numFmtId="166" fontId="4" fillId="0" borderId="31" xfId="0" applyNumberFormat="1" applyFont="1" applyBorder="1" applyAlignment="1">
      <alignment horizontal="center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166" fontId="4" fillId="0" borderId="21" xfId="0" applyNumberFormat="1" applyFont="1" applyBorder="1" applyAlignment="1">
      <alignment horizontal="center"/>
    </xf>
    <xf numFmtId="166" fontId="4" fillId="0" borderId="30" xfId="0" applyNumberFormat="1" applyFont="1" applyBorder="1" applyAlignment="1">
      <alignment horizontal="center"/>
    </xf>
    <xf numFmtId="166" fontId="4" fillId="0" borderId="32" xfId="0" applyNumberFormat="1" applyFont="1" applyBorder="1" applyAlignment="1">
      <alignment horizontal="center"/>
    </xf>
    <xf numFmtId="0" fontId="4" fillId="0" borderId="32" xfId="0" applyFont="1" applyBorder="1" applyAlignment="1">
      <alignment horizontal="right" readingOrder="2"/>
    </xf>
    <xf numFmtId="0" fontId="4" fillId="0" borderId="31" xfId="0" applyFont="1" applyBorder="1" applyAlignment="1">
      <alignment horizontal="right" readingOrder="2"/>
    </xf>
    <xf numFmtId="0" fontId="5" fillId="0" borderId="32" xfId="0" applyFont="1" applyBorder="1" applyAlignment="1">
      <alignment horizontal="right" readingOrder="1"/>
    </xf>
    <xf numFmtId="167" fontId="4" fillId="0" borderId="0" xfId="0" applyNumberFormat="1" applyFont="1" applyBorder="1"/>
    <xf numFmtId="167" fontId="0" fillId="0" borderId="1" xfId="0" applyNumberFormat="1" applyFill="1" applyBorder="1" applyAlignment="1">
      <alignment vertical="center"/>
    </xf>
    <xf numFmtId="0" fontId="2" fillId="0" borderId="0" xfId="0" applyFont="1" applyFill="1" applyBorder="1"/>
    <xf numFmtId="167" fontId="0" fillId="0" borderId="0" xfId="1" applyNumberFormat="1" applyFont="1" applyFill="1" applyBorder="1"/>
    <xf numFmtId="1" fontId="0" fillId="0" borderId="15" xfId="0" applyNumberFormat="1" applyFill="1" applyBorder="1" applyAlignment="1">
      <alignment horizontal="right" vertical="center"/>
    </xf>
    <xf numFmtId="1" fontId="0" fillId="0" borderId="15" xfId="0" applyNumberFormat="1" applyFill="1" applyBorder="1" applyAlignment="1">
      <alignment horizontal="right"/>
    </xf>
    <xf numFmtId="0" fontId="0" fillId="0" borderId="3" xfId="0" applyFill="1" applyBorder="1" applyAlignment="1"/>
    <xf numFmtId="0" fontId="14" fillId="0" borderId="0" xfId="0" applyFont="1" applyFill="1" applyBorder="1"/>
    <xf numFmtId="167" fontId="2" fillId="0" borderId="20" xfId="0" applyNumberFormat="1" applyFont="1" applyFill="1" applyBorder="1"/>
    <xf numFmtId="167" fontId="2" fillId="0" borderId="21" xfId="1" applyNumberFormat="1" applyFont="1" applyFill="1" applyBorder="1"/>
    <xf numFmtId="0" fontId="2" fillId="0" borderId="3" xfId="0" applyFont="1" applyFill="1" applyBorder="1"/>
    <xf numFmtId="173" fontId="2" fillId="0" borderId="15" xfId="0" applyNumberFormat="1" applyFont="1" applyFill="1" applyBorder="1"/>
    <xf numFmtId="167" fontId="9" fillId="2" borderId="44" xfId="0" applyNumberFormat="1" applyFont="1" applyFill="1" applyBorder="1"/>
    <xf numFmtId="167" fontId="9" fillId="2" borderId="11" xfId="0" applyNumberFormat="1" applyFont="1" applyFill="1" applyBorder="1"/>
    <xf numFmtId="167" fontId="0" fillId="0" borderId="2" xfId="1" applyNumberFormat="1" applyFont="1" applyBorder="1"/>
    <xf numFmtId="0" fontId="0" fillId="0" borderId="3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7" borderId="1" xfId="0" applyFill="1" applyBorder="1" applyAlignment="1">
      <alignment horizontal="center"/>
    </xf>
    <xf numFmtId="1" fontId="0" fillId="7" borderId="1" xfId="0" applyNumberFormat="1" applyFont="1" applyFill="1" applyBorder="1"/>
    <xf numFmtId="0" fontId="0" fillId="7" borderId="19" xfId="0" applyFont="1" applyFill="1" applyBorder="1"/>
    <xf numFmtId="0" fontId="0" fillId="7" borderId="3" xfId="0" applyFill="1" applyBorder="1" applyAlignment="1">
      <alignment horizontal="center"/>
    </xf>
    <xf numFmtId="1" fontId="0" fillId="7" borderId="3" xfId="0" applyNumberFormat="1" applyFont="1" applyFill="1" applyBorder="1"/>
    <xf numFmtId="0" fontId="0" fillId="7" borderId="15" xfId="0" applyFont="1" applyFill="1" applyBorder="1"/>
    <xf numFmtId="0" fontId="0" fillId="7" borderId="14" xfId="0" applyFill="1" applyBorder="1" applyAlignment="1">
      <alignment horizontal="center"/>
    </xf>
    <xf numFmtId="1" fontId="0" fillId="7" borderId="14" xfId="0" applyNumberFormat="1" applyFont="1" applyFill="1" applyBorder="1"/>
    <xf numFmtId="165" fontId="0" fillId="7" borderId="21" xfId="1" applyNumberFormat="1" applyFont="1" applyFill="1" applyBorder="1"/>
    <xf numFmtId="0" fontId="2" fillId="2" borderId="24" xfId="0" applyFont="1" applyFill="1" applyBorder="1" applyAlignment="1"/>
    <xf numFmtId="0" fontId="2" fillId="2" borderId="25" xfId="0" applyFont="1" applyFill="1" applyBorder="1" applyAlignment="1"/>
    <xf numFmtId="0" fontId="14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9" xfId="0" applyFont="1" applyFill="1" applyBorder="1" applyAlignment="1">
      <alignment wrapText="1"/>
    </xf>
    <xf numFmtId="0" fontId="14" fillId="2" borderId="2" xfId="0" applyFont="1" applyFill="1" applyBorder="1" applyAlignment="1">
      <alignment wrapText="1"/>
    </xf>
    <xf numFmtId="0" fontId="0" fillId="2" borderId="0" xfId="0" applyFill="1" applyBorder="1" applyAlignment="1">
      <alignment horizontal="center"/>
    </xf>
    <xf numFmtId="0" fontId="0" fillId="3" borderId="23" xfId="0" applyFill="1" applyBorder="1" applyAlignment="1">
      <alignment horizontal="center" vertical="center"/>
    </xf>
    <xf numFmtId="0" fontId="0" fillId="0" borderId="0" xfId="0" applyAlignment="1">
      <alignment vertical="top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0" fillId="0" borderId="15" xfId="0" applyFill="1" applyBorder="1" applyAlignment="1">
      <alignment wrapText="1"/>
    </xf>
    <xf numFmtId="9" fontId="0" fillId="0" borderId="22" xfId="2" applyFont="1" applyBorder="1" applyAlignment="1">
      <alignment horizontal="center" vertical="top"/>
    </xf>
    <xf numFmtId="9" fontId="0" fillId="0" borderId="0" xfId="2" applyFont="1" applyBorder="1"/>
    <xf numFmtId="167" fontId="0" fillId="0" borderId="4" xfId="1" applyNumberFormat="1" applyFont="1" applyBorder="1"/>
    <xf numFmtId="167" fontId="0" fillId="0" borderId="4" xfId="0" applyNumberFormat="1" applyBorder="1"/>
    <xf numFmtId="9" fontId="0" fillId="0" borderId="4" xfId="2" applyFont="1" applyBorder="1"/>
    <xf numFmtId="9" fontId="0" fillId="0" borderId="4" xfId="0" applyNumberFormat="1" applyBorder="1"/>
    <xf numFmtId="43" fontId="0" fillId="0" borderId="0" xfId="0" applyNumberFormat="1" applyBorder="1" applyAlignment="1">
      <alignment vertical="center"/>
    </xf>
    <xf numFmtId="172" fontId="0" fillId="0" borderId="0" xfId="1" applyNumberFormat="1" applyFont="1" applyBorder="1" applyAlignment="1">
      <alignment horizontal="center" vertical="center" wrapText="1"/>
    </xf>
    <xf numFmtId="167" fontId="0" fillId="2" borderId="41" xfId="1" applyNumberFormat="1" applyFont="1" applyFill="1" applyBorder="1"/>
    <xf numFmtId="167" fontId="0" fillId="2" borderId="41" xfId="1" applyNumberFormat="1" applyFont="1" applyFill="1" applyBorder="1" applyAlignment="1">
      <alignment vertical="center" wrapText="1"/>
    </xf>
    <xf numFmtId="167" fontId="0" fillId="0" borderId="41" xfId="1" applyNumberFormat="1" applyFont="1" applyBorder="1"/>
    <xf numFmtId="9" fontId="0" fillId="0" borderId="0" xfId="2" applyNumberFormat="1" applyFont="1" applyBorder="1"/>
    <xf numFmtId="167" fontId="0" fillId="2" borderId="41" xfId="1" applyNumberFormat="1" applyFont="1" applyFill="1" applyBorder="1" applyAlignment="1">
      <alignment wrapText="1"/>
    </xf>
    <xf numFmtId="0" fontId="0" fillId="2" borderId="22" xfId="0" applyFill="1" applyBorder="1" applyAlignment="1">
      <alignment wrapText="1"/>
    </xf>
    <xf numFmtId="9" fontId="0" fillId="2" borderId="22" xfId="0" applyNumberFormat="1" applyFill="1" applyBorder="1" applyAlignment="1">
      <alignment wrapText="1"/>
    </xf>
    <xf numFmtId="167" fontId="0" fillId="0" borderId="15" xfId="0" applyNumberFormat="1" applyFill="1" applyBorder="1"/>
    <xf numFmtId="3" fontId="0" fillId="0" borderId="15" xfId="0" applyNumberFormat="1" applyBorder="1"/>
    <xf numFmtId="166" fontId="0" fillId="0" borderId="8" xfId="0" applyNumberFormat="1" applyBorder="1" applyAlignment="1">
      <alignment horizontal="right"/>
    </xf>
    <xf numFmtId="166" fontId="0" fillId="0" borderId="13" xfId="0" applyNumberFormat="1" applyBorder="1" applyAlignment="1">
      <alignment horizontal="right"/>
    </xf>
    <xf numFmtId="1" fontId="4" fillId="7" borderId="0" xfId="0" applyNumberFormat="1" applyFont="1" applyFill="1" applyBorder="1"/>
    <xf numFmtId="0" fontId="0" fillId="7" borderId="21" xfId="0" applyFill="1" applyBorder="1"/>
    <xf numFmtId="2" fontId="1" fillId="7" borderId="0" xfId="3" applyNumberFormat="1" applyFill="1" applyBorder="1"/>
    <xf numFmtId="2" fontId="4" fillId="7" borderId="0" xfId="0" applyNumberFormat="1" applyFont="1" applyFill="1" applyBorder="1"/>
    <xf numFmtId="0" fontId="12" fillId="2" borderId="14" xfId="0" applyFont="1" applyFill="1" applyBorder="1"/>
    <xf numFmtId="167" fontId="0" fillId="0" borderId="3" xfId="1" applyNumberFormat="1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Alignment="1">
      <alignment wrapText="1"/>
    </xf>
    <xf numFmtId="167" fontId="0" fillId="0" borderId="0" xfId="0" applyNumberFormat="1" applyFill="1" applyBorder="1" applyAlignment="1">
      <alignment wrapText="1"/>
    </xf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0" borderId="26" xfId="0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19" xfId="0" applyFill="1" applyBorder="1" applyAlignment="1">
      <alignment horizontal="center"/>
    </xf>
    <xf numFmtId="167" fontId="0" fillId="0" borderId="24" xfId="1" applyNumberFormat="1" applyFont="1" applyBorder="1"/>
    <xf numFmtId="167" fontId="0" fillId="0" borderId="23" xfId="1" applyNumberFormat="1" applyFont="1" applyBorder="1"/>
    <xf numFmtId="0" fontId="0" fillId="0" borderId="24" xfId="0" applyBorder="1"/>
    <xf numFmtId="167" fontId="0" fillId="0" borderId="25" xfId="0" applyNumberFormat="1" applyBorder="1"/>
    <xf numFmtId="10" fontId="0" fillId="0" borderId="25" xfId="0" applyNumberFormat="1" applyFill="1" applyBorder="1"/>
    <xf numFmtId="0" fontId="0" fillId="2" borderId="15" xfId="0" applyFill="1" applyBorder="1"/>
    <xf numFmtId="0" fontId="0" fillId="2" borderId="0" xfId="0" applyFill="1" applyBorder="1"/>
    <xf numFmtId="166" fontId="4" fillId="2" borderId="2" xfId="0" applyNumberFormat="1" applyFont="1" applyFill="1" applyBorder="1" applyAlignment="1">
      <alignment horizontal="right"/>
    </xf>
    <xf numFmtId="166" fontId="4" fillId="2" borderId="19" xfId="0" applyNumberFormat="1" applyFont="1" applyFill="1" applyBorder="1" applyAlignment="1">
      <alignment horizontal="right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/>
    <xf numFmtId="0" fontId="2" fillId="0" borderId="13" xfId="0" applyFont="1" applyFill="1" applyBorder="1"/>
    <xf numFmtId="0" fontId="2" fillId="0" borderId="8" xfId="0" applyFont="1" applyFill="1" applyBorder="1"/>
    <xf numFmtId="0" fontId="0" fillId="2" borderId="16" xfId="0" applyFill="1" applyBorder="1"/>
    <xf numFmtId="0" fontId="0" fillId="2" borderId="25" xfId="0" applyFill="1" applyBorder="1"/>
    <xf numFmtId="0" fontId="2" fillId="2" borderId="23" xfId="0" applyFont="1" applyFill="1" applyBorder="1"/>
    <xf numFmtId="0" fontId="2" fillId="2" borderId="25" xfId="0" applyFont="1" applyFill="1" applyBorder="1"/>
    <xf numFmtId="0" fontId="4" fillId="2" borderId="3" xfId="0" applyFont="1" applyFill="1" applyBorder="1" applyAlignment="1">
      <alignment horizontal="center"/>
    </xf>
    <xf numFmtId="176" fontId="0" fillId="0" borderId="0" xfId="0" applyNumberFormat="1" applyBorder="1"/>
    <xf numFmtId="0" fontId="0" fillId="0" borderId="0" xfId="0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0" fillId="0" borderId="3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37" xfId="0" applyBorder="1"/>
    <xf numFmtId="167" fontId="0" fillId="0" borderId="16" xfId="0" applyNumberFormat="1" applyBorder="1"/>
    <xf numFmtId="167" fontId="0" fillId="0" borderId="7" xfId="0" applyNumberFormat="1" applyBorder="1"/>
    <xf numFmtId="167" fontId="0" fillId="0" borderId="9" xfId="0" applyNumberFormat="1" applyBorder="1"/>
    <xf numFmtId="167" fontId="0" fillId="0" borderId="8" xfId="0" applyNumberFormat="1" applyBorder="1"/>
    <xf numFmtId="0" fontId="0" fillId="0" borderId="0" xfId="0" applyAlignment="1">
      <alignment vertical="center"/>
    </xf>
    <xf numFmtId="167" fontId="0" fillId="0" borderId="7" xfId="1" applyNumberFormat="1" applyFont="1" applyBorder="1"/>
    <xf numFmtId="167" fontId="0" fillId="0" borderId="16" xfId="1" applyNumberFormat="1" applyFont="1" applyBorder="1"/>
    <xf numFmtId="167" fontId="0" fillId="0" borderId="9" xfId="1" applyNumberFormat="1" applyFont="1" applyBorder="1"/>
    <xf numFmtId="167" fontId="0" fillId="0" borderId="8" xfId="1" applyNumberFormat="1" applyFont="1" applyBorder="1"/>
    <xf numFmtId="167" fontId="0" fillId="0" borderId="6" xfId="0" applyNumberFormat="1" applyBorder="1"/>
    <xf numFmtId="167" fontId="0" fillId="0" borderId="6" xfId="1" applyNumberFormat="1" applyFont="1" applyBorder="1"/>
    <xf numFmtId="164" fontId="0" fillId="0" borderId="0" xfId="0" applyNumberFormat="1"/>
    <xf numFmtId="0" fontId="0" fillId="0" borderId="2" xfId="0" applyFill="1" applyBorder="1" applyAlignment="1">
      <alignment wrapText="1"/>
    </xf>
    <xf numFmtId="167" fontId="0" fillId="0" borderId="19" xfId="0" applyNumberFormat="1" applyFill="1" applyBorder="1" applyAlignment="1">
      <alignment vertical="center"/>
    </xf>
    <xf numFmtId="167" fontId="2" fillId="2" borderId="3" xfId="0" applyNumberFormat="1" applyFont="1" applyFill="1" applyBorder="1"/>
    <xf numFmtId="167" fontId="2" fillId="2" borderId="15" xfId="0" applyNumberFormat="1" applyFont="1" applyFill="1" applyBorder="1"/>
    <xf numFmtId="167" fontId="2" fillId="2" borderId="32" xfId="0" applyNumberFormat="1" applyFont="1" applyFill="1" applyBorder="1"/>
    <xf numFmtId="0" fontId="0" fillId="0" borderId="3" xfId="0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14" xfId="0" applyFill="1" applyBorder="1" applyAlignment="1">
      <alignment vertical="top" wrapText="1"/>
    </xf>
    <xf numFmtId="0" fontId="0" fillId="0" borderId="20" xfId="0" applyFill="1" applyBorder="1" applyAlignment="1">
      <alignment vertical="top" wrapText="1"/>
    </xf>
    <xf numFmtId="0" fontId="2" fillId="8" borderId="30" xfId="0" applyFont="1" applyFill="1" applyBorder="1" applyAlignment="1">
      <alignment horizontal="center" vertical="top" wrapText="1"/>
    </xf>
    <xf numFmtId="1" fontId="0" fillId="0" borderId="13" xfId="0" applyNumberFormat="1" applyBorder="1"/>
    <xf numFmtId="1" fontId="2" fillId="0" borderId="13" xfId="0" applyNumberFormat="1" applyFont="1" applyFill="1" applyBorder="1"/>
    <xf numFmtId="1" fontId="0" fillId="0" borderId="8" xfId="0" applyNumberFormat="1" applyBorder="1"/>
    <xf numFmtId="0" fontId="14" fillId="2" borderId="37" xfId="0" applyFont="1" applyFill="1" applyBorder="1" applyAlignment="1">
      <alignment horizontal="right"/>
    </xf>
    <xf numFmtId="0" fontId="14" fillId="2" borderId="2" xfId="0" applyFont="1" applyFill="1" applyBorder="1"/>
    <xf numFmtId="167" fontId="14" fillId="2" borderId="16" xfId="1" applyNumberFormat="1" applyFont="1" applyFill="1" applyBorder="1"/>
    <xf numFmtId="167" fontId="14" fillId="2" borderId="6" xfId="1" applyNumberFormat="1" applyFont="1" applyFill="1" applyBorder="1"/>
    <xf numFmtId="167" fontId="14" fillId="2" borderId="7" xfId="1" applyNumberFormat="1" applyFont="1" applyFill="1" applyBorder="1"/>
    <xf numFmtId="167" fontId="14" fillId="2" borderId="58" xfId="1" applyNumberFormat="1" applyFont="1" applyFill="1" applyBorder="1"/>
    <xf numFmtId="0" fontId="14" fillId="2" borderId="31" xfId="0" applyFont="1" applyFill="1" applyBorder="1" applyAlignment="1">
      <alignment horizontal="right"/>
    </xf>
    <xf numFmtId="0" fontId="14" fillId="2" borderId="20" xfId="0" applyFont="1" applyFill="1" applyBorder="1"/>
    <xf numFmtId="167" fontId="14" fillId="2" borderId="10" xfId="1" applyNumberFormat="1" applyFont="1" applyFill="1" applyBorder="1"/>
    <xf numFmtId="167" fontId="14" fillId="2" borderId="11" xfId="1" applyNumberFormat="1" applyFont="1" applyFill="1" applyBorder="1"/>
    <xf numFmtId="167" fontId="14" fillId="2" borderId="13" xfId="1" applyNumberFormat="1" applyFont="1" applyFill="1" applyBorder="1"/>
    <xf numFmtId="167" fontId="14" fillId="2" borderId="18" xfId="1" applyNumberFormat="1" applyFont="1" applyFill="1" applyBorder="1"/>
    <xf numFmtId="0" fontId="0" fillId="2" borderId="6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7" xfId="0" applyFill="1" applyBorder="1" applyAlignment="1">
      <alignment horizontal="center" wrapText="1"/>
    </xf>
    <xf numFmtId="0" fontId="0" fillId="2" borderId="9" xfId="0" applyFill="1" applyBorder="1"/>
    <xf numFmtId="169" fontId="0" fillId="0" borderId="15" xfId="1" applyNumberFormat="1" applyFont="1" applyBorder="1"/>
    <xf numFmtId="9" fontId="0" fillId="0" borderId="22" xfId="0" applyNumberFormat="1" applyBorder="1"/>
    <xf numFmtId="0" fontId="4" fillId="0" borderId="3" xfId="0" applyFont="1" applyBorder="1" applyAlignment="1">
      <alignment wrapText="1"/>
    </xf>
    <xf numFmtId="0" fontId="0" fillId="0" borderId="23" xfId="0" applyFill="1" applyBorder="1" applyAlignment="1">
      <alignment horizontal="right"/>
    </xf>
    <xf numFmtId="0" fontId="0" fillId="0" borderId="25" xfId="0" applyFill="1" applyBorder="1"/>
    <xf numFmtId="166" fontId="0" fillId="4" borderId="4" xfId="0" applyNumberFormat="1" applyFill="1" applyBorder="1"/>
    <xf numFmtId="2" fontId="0" fillId="0" borderId="20" xfId="0" applyNumberFormat="1" applyBorder="1"/>
    <xf numFmtId="3" fontId="4" fillId="0" borderId="0" xfId="0" applyNumberFormat="1" applyFont="1" applyFill="1" applyBorder="1"/>
    <xf numFmtId="1" fontId="0" fillId="0" borderId="0" xfId="0" applyNumberFormat="1" applyBorder="1"/>
    <xf numFmtId="1" fontId="0" fillId="0" borderId="20" xfId="0" applyNumberFormat="1" applyBorder="1"/>
    <xf numFmtId="1" fontId="0" fillId="7" borderId="0" xfId="0" applyNumberFormat="1" applyFill="1" applyBorder="1"/>
    <xf numFmtId="0" fontId="0" fillId="7" borderId="14" xfId="0" applyFill="1" applyBorder="1"/>
    <xf numFmtId="1" fontId="0" fillId="7" borderId="20" xfId="0" applyNumberFormat="1" applyFill="1" applyBorder="1"/>
    <xf numFmtId="0" fontId="0" fillId="7" borderId="20" xfId="0" applyFill="1" applyBorder="1"/>
    <xf numFmtId="2" fontId="0" fillId="7" borderId="20" xfId="0" applyNumberFormat="1" applyFill="1" applyBorder="1"/>
    <xf numFmtId="9" fontId="0" fillId="7" borderId="21" xfId="2" applyFont="1" applyFill="1" applyBorder="1"/>
    <xf numFmtId="1" fontId="0" fillId="7" borderId="3" xfId="0" applyNumberFormat="1" applyFill="1" applyBorder="1"/>
    <xf numFmtId="1" fontId="0" fillId="0" borderId="14" xfId="0" applyNumberFormat="1" applyBorder="1"/>
    <xf numFmtId="175" fontId="0" fillId="0" borderId="21" xfId="2" applyNumberFormat="1" applyFont="1" applyBorder="1"/>
    <xf numFmtId="9" fontId="0" fillId="7" borderId="15" xfId="2" applyFont="1" applyFill="1" applyBorder="1"/>
    <xf numFmtId="167" fontId="0" fillId="0" borderId="58" xfId="0" applyNumberFormat="1" applyBorder="1"/>
    <xf numFmtId="167" fontId="0" fillId="0" borderId="28" xfId="0" applyNumberFormat="1" applyBorder="1"/>
    <xf numFmtId="167" fontId="0" fillId="0" borderId="5" xfId="0" applyNumberFormat="1" applyBorder="1"/>
    <xf numFmtId="0" fontId="2" fillId="2" borderId="19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0" fillId="2" borderId="24" xfId="0" applyFill="1" applyBorder="1" applyAlignment="1"/>
    <xf numFmtId="176" fontId="0" fillId="0" borderId="2" xfId="0" applyNumberFormat="1" applyBorder="1"/>
    <xf numFmtId="0" fontId="32" fillId="0" borderId="0" xfId="0" applyFont="1" applyAlignment="1">
      <alignment horizontal="right" readingOrder="2"/>
    </xf>
    <xf numFmtId="0" fontId="33" fillId="0" borderId="0" xfId="0" applyFont="1" applyAlignment="1">
      <alignment horizontal="right" readingOrder="2"/>
    </xf>
    <xf numFmtId="166" fontId="14" fillId="4" borderId="4" xfId="0" applyNumberFormat="1" applyFont="1" applyFill="1" applyBorder="1"/>
    <xf numFmtId="166" fontId="15" fillId="0" borderId="4" xfId="0" applyNumberFormat="1" applyFont="1" applyFill="1" applyBorder="1"/>
    <xf numFmtId="166" fontId="15" fillId="4" borderId="4" xfId="0" applyNumberFormat="1" applyFont="1" applyFill="1" applyBorder="1"/>
    <xf numFmtId="2" fontId="0" fillId="0" borderId="4" xfId="0" applyNumberFormat="1" applyFill="1" applyBorder="1"/>
    <xf numFmtId="2" fontId="0" fillId="4" borderId="4" xfId="0" applyNumberFormat="1" applyFill="1" applyBorder="1"/>
    <xf numFmtId="0" fontId="29" fillId="0" borderId="9" xfId="0" applyFont="1" applyBorder="1" applyAlignment="1">
      <alignment horizontal="right"/>
    </xf>
    <xf numFmtId="166" fontId="15" fillId="0" borderId="8" xfId="0" applyNumberFormat="1" applyFont="1" applyFill="1" applyBorder="1"/>
    <xf numFmtId="2" fontId="0" fillId="0" borderId="8" xfId="0" applyNumberFormat="1" applyFill="1" applyBorder="1"/>
    <xf numFmtId="0" fontId="30" fillId="0" borderId="10" xfId="0" applyFont="1" applyBorder="1"/>
    <xf numFmtId="166" fontId="16" fillId="4" borderId="11" xfId="0" applyNumberFormat="1" applyFont="1" applyFill="1" applyBorder="1"/>
    <xf numFmtId="166" fontId="2" fillId="0" borderId="11" xfId="0" applyNumberFormat="1" applyFont="1" applyFill="1" applyBorder="1"/>
    <xf numFmtId="166" fontId="2" fillId="0" borderId="13" xfId="0" applyNumberFormat="1" applyFont="1" applyFill="1" applyBorder="1"/>
    <xf numFmtId="166" fontId="2" fillId="0" borderId="13" xfId="0" applyNumberFormat="1" applyFont="1" applyBorder="1"/>
    <xf numFmtId="0" fontId="29" fillId="0" borderId="16" xfId="0" applyFont="1" applyBorder="1" applyAlignment="1">
      <alignment horizontal="right"/>
    </xf>
    <xf numFmtId="0" fontId="0" fillId="0" borderId="6" xfId="0" applyBorder="1"/>
    <xf numFmtId="0" fontId="15" fillId="4" borderId="6" xfId="0" applyFont="1" applyFill="1" applyBorder="1"/>
    <xf numFmtId="0" fontId="30" fillId="0" borderId="10" xfId="0" applyFont="1" applyBorder="1" applyAlignment="1">
      <alignment horizontal="right"/>
    </xf>
    <xf numFmtId="0" fontId="27" fillId="0" borderId="16" xfId="0" applyFont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  <xf numFmtId="167" fontId="4" fillId="0" borderId="0" xfId="1" applyNumberFormat="1" applyFont="1" applyBorder="1"/>
    <xf numFmtId="0" fontId="11" fillId="0" borderId="24" xfId="0" applyFont="1" applyFill="1" applyBorder="1" applyAlignment="1">
      <alignment horizontal="center" vertical="center" wrapText="1"/>
    </xf>
    <xf numFmtId="167" fontId="14" fillId="9" borderId="3" xfId="0" applyNumberFormat="1" applyFont="1" applyFill="1" applyBorder="1"/>
    <xf numFmtId="167" fontId="14" fillId="9" borderId="32" xfId="0" applyNumberFormat="1" applyFont="1" applyFill="1" applyBorder="1"/>
    <xf numFmtId="167" fontId="14" fillId="9" borderId="15" xfId="0" applyNumberFormat="1" applyFont="1" applyFill="1" applyBorder="1"/>
    <xf numFmtId="167" fontId="14" fillId="9" borderId="14" xfId="0" applyNumberFormat="1" applyFont="1" applyFill="1" applyBorder="1"/>
    <xf numFmtId="167" fontId="14" fillId="9" borderId="31" xfId="0" applyNumberFormat="1" applyFont="1" applyFill="1" applyBorder="1"/>
    <xf numFmtId="167" fontId="14" fillId="9" borderId="21" xfId="0" applyNumberFormat="1" applyFont="1" applyFill="1" applyBorder="1"/>
    <xf numFmtId="1" fontId="0" fillId="0" borderId="2" xfId="0" applyNumberFormat="1" applyBorder="1"/>
    <xf numFmtId="167" fontId="0" fillId="0" borderId="23" xfId="0" applyNumberFormat="1" applyBorder="1"/>
    <xf numFmtId="167" fontId="0" fillId="0" borderId="25" xfId="1" applyNumberFormat="1" applyFont="1" applyBorder="1"/>
    <xf numFmtId="0" fontId="0" fillId="0" borderId="3" xfId="0" applyFont="1" applyBorder="1" applyAlignment="1">
      <alignment horizontal="right" wrapText="1"/>
    </xf>
    <xf numFmtId="2" fontId="0" fillId="0" borderId="21" xfId="0" applyNumberFormat="1" applyBorder="1"/>
    <xf numFmtId="176" fontId="0" fillId="0" borderId="0" xfId="0" applyNumberFormat="1" applyFill="1" applyBorder="1"/>
    <xf numFmtId="0" fontId="29" fillId="0" borderId="9" xfId="0" applyFont="1" applyBorder="1" applyAlignment="1">
      <alignment horizontal="right" readingOrder="2"/>
    </xf>
    <xf numFmtId="0" fontId="0" fillId="2" borderId="3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0" fillId="2" borderId="15" xfId="0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4" fillId="0" borderId="0" xfId="0" applyFont="1"/>
    <xf numFmtId="0" fontId="14" fillId="0" borderId="0" xfId="0" applyFont="1" applyAlignment="1">
      <alignment vertical="center"/>
    </xf>
    <xf numFmtId="0" fontId="0" fillId="2" borderId="19" xfId="0" applyFill="1" applyBorder="1" applyAlignment="1">
      <alignment horizontal="right"/>
    </xf>
    <xf numFmtId="0" fontId="14" fillId="0" borderId="14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 wrapText="1"/>
    </xf>
    <xf numFmtId="0" fontId="14" fillId="0" borderId="23" xfId="0" applyFont="1" applyBorder="1" applyAlignment="1">
      <alignment horizontal="right" vertical="center" wrapText="1"/>
    </xf>
    <xf numFmtId="0" fontId="14" fillId="0" borderId="23" xfId="0" applyFont="1" applyBorder="1" applyAlignment="1">
      <alignment horizontal="right" wrapText="1"/>
    </xf>
    <xf numFmtId="167" fontId="14" fillId="0" borderId="25" xfId="0" applyNumberFormat="1" applyFont="1" applyBorder="1" applyAlignment="1">
      <alignment horizontal="right"/>
    </xf>
    <xf numFmtId="9" fontId="14" fillId="0" borderId="19" xfId="2" applyFont="1" applyBorder="1" applyAlignment="1">
      <alignment horizontal="right" vertical="center"/>
    </xf>
    <xf numFmtId="167" fontId="14" fillId="0" borderId="19" xfId="1" applyNumberFormat="1" applyFont="1" applyBorder="1" applyAlignment="1">
      <alignment horizontal="right" vertical="center"/>
    </xf>
    <xf numFmtId="167" fontId="14" fillId="0" borderId="25" xfId="1" applyNumberFormat="1" applyFont="1" applyBorder="1" applyAlignment="1">
      <alignment horizontal="right" vertical="center"/>
    </xf>
    <xf numFmtId="167" fontId="14" fillId="0" borderId="21" xfId="1" applyNumberFormat="1" applyFont="1" applyBorder="1" applyAlignment="1">
      <alignment horizontal="right" vertical="center"/>
    </xf>
    <xf numFmtId="0" fontId="14" fillId="0" borderId="19" xfId="0" applyFont="1" applyBorder="1" applyAlignment="1">
      <alignment horizontal="right" vertical="center"/>
    </xf>
    <xf numFmtId="0" fontId="14" fillId="0" borderId="21" xfId="0" applyFont="1" applyBorder="1" applyAlignment="1">
      <alignment horizontal="right" vertical="center"/>
    </xf>
    <xf numFmtId="0" fontId="0" fillId="0" borderId="24" xfId="0" applyFill="1" applyBorder="1" applyAlignment="1">
      <alignment wrapText="1"/>
    </xf>
    <xf numFmtId="0" fontId="0" fillId="0" borderId="25" xfId="0" applyFill="1" applyBorder="1" applyAlignment="1">
      <alignment wrapText="1"/>
    </xf>
    <xf numFmtId="0" fontId="0" fillId="0" borderId="32" xfId="0" applyFill="1" applyBorder="1" applyAlignment="1">
      <alignment horizontal="center"/>
    </xf>
    <xf numFmtId="0" fontId="4" fillId="0" borderId="32" xfId="0" applyFont="1" applyFill="1" applyBorder="1"/>
    <xf numFmtId="168" fontId="0" fillId="0" borderId="15" xfId="1" applyNumberFormat="1" applyFont="1" applyFill="1" applyBorder="1"/>
    <xf numFmtId="168" fontId="4" fillId="0" borderId="15" xfId="1" applyNumberFormat="1" applyFont="1" applyFill="1" applyBorder="1"/>
    <xf numFmtId="0" fontId="2" fillId="2" borderId="33" xfId="0" applyFont="1" applyFill="1" applyBorder="1"/>
    <xf numFmtId="167" fontId="0" fillId="0" borderId="14" xfId="1" applyNumberFormat="1" applyFont="1" applyFill="1" applyBorder="1"/>
    <xf numFmtId="167" fontId="0" fillId="0" borderId="20" xfId="1" applyNumberFormat="1" applyFont="1" applyFill="1" applyBorder="1"/>
    <xf numFmtId="167" fontId="0" fillId="0" borderId="20" xfId="0" applyNumberFormat="1" applyBorder="1"/>
    <xf numFmtId="167" fontId="0" fillId="0" borderId="20" xfId="0" applyNumberFormat="1" applyFill="1" applyBorder="1" applyAlignment="1">
      <alignment wrapText="1"/>
    </xf>
    <xf numFmtId="0" fontId="0" fillId="2" borderId="24" xfId="0" applyFill="1" applyBorder="1"/>
    <xf numFmtId="176" fontId="0" fillId="0" borderId="20" xfId="0" applyNumberFormat="1" applyBorder="1"/>
    <xf numFmtId="1" fontId="0" fillId="2" borderId="23" xfId="0" applyNumberFormat="1" applyFill="1" applyBorder="1"/>
    <xf numFmtId="1" fontId="0" fillId="2" borderId="24" xfId="0" applyNumberFormat="1" applyFill="1" applyBorder="1"/>
    <xf numFmtId="1" fontId="0" fillId="2" borderId="25" xfId="0" applyNumberFormat="1" applyFill="1" applyBorder="1"/>
    <xf numFmtId="0" fontId="38" fillId="0" borderId="30" xfId="0" applyFont="1" applyFill="1" applyBorder="1" applyAlignment="1">
      <alignment horizontal="center" vertical="top"/>
    </xf>
    <xf numFmtId="167" fontId="0" fillId="0" borderId="24" xfId="0" applyNumberFormat="1" applyBorder="1" applyAlignment="1">
      <alignment vertical="center"/>
    </xf>
    <xf numFmtId="167" fontId="0" fillId="0" borderId="20" xfId="0" applyNumberFormat="1" applyBorder="1" applyAlignment="1">
      <alignment vertical="center"/>
    </xf>
    <xf numFmtId="0" fontId="14" fillId="0" borderId="0" xfId="0" applyFon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 vertical="center"/>
    </xf>
    <xf numFmtId="3" fontId="39" fillId="0" borderId="0" xfId="0" applyNumberFormat="1" applyFont="1" applyAlignment="1">
      <alignment horizontal="right"/>
    </xf>
    <xf numFmtId="0" fontId="14" fillId="0" borderId="0" xfId="0" applyFont="1" applyFill="1" applyBorder="1" applyAlignment="1">
      <alignment horizontal="left"/>
    </xf>
    <xf numFmtId="167" fontId="14" fillId="0" borderId="0" xfId="0" applyNumberFormat="1" applyFont="1" applyFill="1" applyBorder="1"/>
    <xf numFmtId="2" fontId="0" fillId="0" borderId="2" xfId="0" applyNumberFormat="1" applyFill="1" applyBorder="1"/>
    <xf numFmtId="0" fontId="0" fillId="0" borderId="61" xfId="0" applyBorder="1"/>
    <xf numFmtId="0" fontId="0" fillId="0" borderId="62" xfId="0" applyBorder="1"/>
    <xf numFmtId="0" fontId="0" fillId="0" borderId="69" xfId="0" applyBorder="1"/>
    <xf numFmtId="0" fontId="2" fillId="0" borderId="71" xfId="0" applyFont="1" applyBorder="1" applyAlignment="1">
      <alignment wrapText="1"/>
    </xf>
    <xf numFmtId="0" fontId="2" fillId="0" borderId="72" xfId="0" applyFont="1" applyBorder="1" applyAlignment="1">
      <alignment wrapText="1"/>
    </xf>
    <xf numFmtId="167" fontId="0" fillId="0" borderId="0" xfId="0" applyNumberFormat="1" applyBorder="1" applyAlignment="1">
      <alignment vertical="center"/>
    </xf>
    <xf numFmtId="2" fontId="0" fillId="0" borderId="0" xfId="0" applyNumberFormat="1" applyFill="1" applyBorder="1" applyAlignment="1">
      <alignment horizontal="center"/>
    </xf>
    <xf numFmtId="167" fontId="0" fillId="0" borderId="75" xfId="0" applyNumberFormat="1" applyBorder="1" applyAlignment="1">
      <alignment vertical="center"/>
    </xf>
    <xf numFmtId="9" fontId="0" fillId="2" borderId="0" xfId="0" applyNumberFormat="1" applyFill="1" applyBorder="1" applyAlignment="1">
      <alignment horizontal="center"/>
    </xf>
    <xf numFmtId="167" fontId="0" fillId="0" borderId="61" xfId="0" applyNumberFormat="1" applyBorder="1" applyAlignment="1">
      <alignment vertical="center"/>
    </xf>
    <xf numFmtId="167" fontId="0" fillId="0" borderId="0" xfId="0" applyNumberFormat="1" applyFill="1" applyBorder="1" applyAlignment="1">
      <alignment vertical="center"/>
    </xf>
    <xf numFmtId="168" fontId="0" fillId="0" borderId="0" xfId="1" applyNumberFormat="1" applyFont="1" applyBorder="1" applyAlignment="1">
      <alignment horizontal="center"/>
    </xf>
    <xf numFmtId="9" fontId="0" fillId="2" borderId="0" xfId="0" applyNumberFormat="1" applyFill="1" applyBorder="1" applyAlignment="1">
      <alignment horizontal="center" vertical="center"/>
    </xf>
    <xf numFmtId="168" fontId="0" fillId="2" borderId="22" xfId="1" applyNumberFormat="1" applyFont="1" applyFill="1" applyBorder="1"/>
    <xf numFmtId="168" fontId="0" fillId="2" borderId="30" xfId="1" applyNumberFormat="1" applyFont="1" applyFill="1" applyBorder="1"/>
    <xf numFmtId="167" fontId="0" fillId="2" borderId="75" xfId="0" applyNumberFormat="1" applyFill="1" applyBorder="1" applyAlignment="1">
      <alignment vertical="center"/>
    </xf>
    <xf numFmtId="167" fontId="0" fillId="2" borderId="24" xfId="0" applyNumberFormat="1" applyFill="1" applyBorder="1" applyAlignment="1">
      <alignment vertical="center"/>
    </xf>
    <xf numFmtId="167" fontId="0" fillId="2" borderId="78" xfId="0" applyNumberFormat="1" applyFill="1" applyBorder="1" applyAlignment="1">
      <alignment vertical="center"/>
    </xf>
    <xf numFmtId="167" fontId="0" fillId="2" borderId="80" xfId="0" applyNumberFormat="1" applyFill="1" applyBorder="1" applyAlignment="1">
      <alignment vertical="center"/>
    </xf>
    <xf numFmtId="167" fontId="0" fillId="2" borderId="20" xfId="0" applyNumberFormat="1" applyFill="1" applyBorder="1" applyAlignment="1">
      <alignment vertical="center"/>
    </xf>
    <xf numFmtId="167" fontId="0" fillId="2" borderId="73" xfId="0" applyNumberFormat="1" applyFill="1" applyBorder="1" applyAlignment="1">
      <alignment vertical="center"/>
    </xf>
    <xf numFmtId="167" fontId="0" fillId="2" borderId="21" xfId="0" applyNumberFormat="1" applyFill="1" applyBorder="1" applyAlignment="1">
      <alignment vertical="center"/>
    </xf>
    <xf numFmtId="0" fontId="0" fillId="2" borderId="21" xfId="0" applyFill="1" applyBorder="1"/>
    <xf numFmtId="167" fontId="0" fillId="2" borderId="14" xfId="0" applyNumberFormat="1" applyFill="1" applyBorder="1" applyAlignment="1">
      <alignment vertical="center"/>
    </xf>
    <xf numFmtId="167" fontId="0" fillId="2" borderId="76" xfId="0" applyNumberFormat="1" applyFill="1" applyBorder="1" applyAlignment="1">
      <alignment vertical="center"/>
    </xf>
    <xf numFmtId="167" fontId="0" fillId="2" borderId="81" xfId="0" applyNumberFormat="1" applyFill="1" applyBorder="1" applyAlignment="1">
      <alignment vertical="center"/>
    </xf>
    <xf numFmtId="168" fontId="0" fillId="2" borderId="25" xfId="1" applyNumberFormat="1" applyFont="1" applyFill="1" applyBorder="1"/>
    <xf numFmtId="168" fontId="0" fillId="2" borderId="23" xfId="1" applyNumberFormat="1" applyFont="1" applyFill="1" applyBorder="1"/>
    <xf numFmtId="167" fontId="0" fillId="2" borderId="82" xfId="0" applyNumberFormat="1" applyFill="1" applyBorder="1" applyAlignment="1">
      <alignment vertical="center"/>
    </xf>
    <xf numFmtId="167" fontId="0" fillId="2" borderId="83" xfId="0" applyNumberFormat="1" applyFill="1" applyBorder="1" applyAlignment="1">
      <alignment vertical="center"/>
    </xf>
    <xf numFmtId="167" fontId="0" fillId="2" borderId="84" xfId="0" applyNumberFormat="1" applyFill="1" applyBorder="1" applyAlignment="1">
      <alignment vertical="center"/>
    </xf>
    <xf numFmtId="167" fontId="0" fillId="0" borderId="20" xfId="0" applyNumberFormat="1" applyFill="1" applyBorder="1" applyAlignment="1">
      <alignment vertical="center"/>
    </xf>
    <xf numFmtId="0" fontId="0" fillId="0" borderId="20" xfId="0" applyFill="1" applyBorder="1"/>
    <xf numFmtId="167" fontId="0" fillId="0" borderId="21" xfId="0" applyNumberFormat="1" applyFill="1" applyBorder="1" applyAlignment="1">
      <alignment vertical="center"/>
    </xf>
    <xf numFmtId="0" fontId="0" fillId="0" borderId="82" xfId="0" applyBorder="1"/>
    <xf numFmtId="0" fontId="0" fillId="0" borderId="74" xfId="0" applyBorder="1"/>
    <xf numFmtId="0" fontId="0" fillId="2" borderId="85" xfId="0" applyFill="1" applyBorder="1"/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1" fontId="0" fillId="2" borderId="19" xfId="0" applyNumberFormat="1" applyFill="1" applyBorder="1" applyAlignment="1">
      <alignment horizontal="center"/>
    </xf>
    <xf numFmtId="165" fontId="0" fillId="0" borderId="0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25" xfId="0" applyFont="1" applyFill="1" applyBorder="1" applyAlignment="1">
      <alignment horizontal="center"/>
    </xf>
    <xf numFmtId="166" fontId="7" fillId="0" borderId="24" xfId="0" applyNumberFormat="1" applyFont="1" applyFill="1" applyBorder="1" applyAlignment="1">
      <alignment horizontal="center"/>
    </xf>
    <xf numFmtId="166" fontId="7" fillId="0" borderId="25" xfId="0" applyNumberFormat="1" applyFont="1" applyFill="1" applyBorder="1" applyAlignment="1">
      <alignment horizontal="center"/>
    </xf>
    <xf numFmtId="0" fontId="0" fillId="2" borderId="4" xfId="0" applyFill="1" applyBorder="1" applyAlignment="1">
      <alignment horizontal="center" readingOrder="2"/>
    </xf>
    <xf numFmtId="0" fontId="4" fillId="0" borderId="0" xfId="0" applyFont="1" applyFill="1" applyAlignment="1">
      <alignment horizontal="right" wrapText="1" readingOrder="2"/>
    </xf>
    <xf numFmtId="1" fontId="0" fillId="10" borderId="85" xfId="0" applyNumberFormat="1" applyFill="1" applyBorder="1"/>
    <xf numFmtId="1" fontId="0" fillId="2" borderId="85" xfId="0" applyNumberFormat="1" applyFill="1" applyBorder="1"/>
    <xf numFmtId="1" fontId="0" fillId="2" borderId="87" xfId="0" applyNumberFormat="1" applyFill="1" applyBorder="1"/>
    <xf numFmtId="0" fontId="0" fillId="2" borderId="87" xfId="0" applyFill="1" applyBorder="1"/>
    <xf numFmtId="1" fontId="0" fillId="2" borderId="92" xfId="0" applyNumberFormat="1" applyFill="1" applyBorder="1"/>
    <xf numFmtId="0" fontId="0" fillId="2" borderId="92" xfId="0" applyFill="1" applyBorder="1"/>
    <xf numFmtId="0" fontId="13" fillId="0" borderId="0" xfId="0" applyFont="1" applyFill="1" applyBorder="1" applyAlignment="1">
      <alignment wrapText="1"/>
    </xf>
    <xf numFmtId="167" fontId="40" fillId="0" borderId="0" xfId="1" applyNumberFormat="1" applyFont="1" applyFill="1" applyBorder="1" applyAlignment="1">
      <alignment horizontal="center" vertical="center"/>
    </xf>
    <xf numFmtId="0" fontId="13" fillId="2" borderId="85" xfId="0" applyFont="1" applyFill="1" applyBorder="1" applyAlignment="1">
      <alignment wrapText="1"/>
    </xf>
    <xf numFmtId="0" fontId="13" fillId="2" borderId="85" xfId="0" applyFont="1" applyFill="1" applyBorder="1" applyAlignment="1">
      <alignment horizontal="center" wrapText="1"/>
    </xf>
    <xf numFmtId="0" fontId="40" fillId="0" borderId="85" xfId="0" applyFont="1" applyFill="1" applyBorder="1" applyAlignment="1">
      <alignment horizontal="center" vertical="center"/>
    </xf>
    <xf numFmtId="0" fontId="0" fillId="0" borderId="85" xfId="0" applyFill="1" applyBorder="1" applyAlignment="1">
      <alignment horizontal="center"/>
    </xf>
    <xf numFmtId="3" fontId="42" fillId="0" borderId="85" xfId="0" applyNumberFormat="1" applyFont="1" applyFill="1" applyBorder="1" applyAlignment="1">
      <alignment horizontal="center"/>
    </xf>
    <xf numFmtId="0" fontId="42" fillId="0" borderId="85" xfId="0" applyFont="1" applyFill="1" applyBorder="1" applyAlignment="1">
      <alignment horizontal="center"/>
    </xf>
    <xf numFmtId="0" fontId="0" fillId="0" borderId="0" xfId="3" applyFont="1" applyFill="1" applyBorder="1"/>
    <xf numFmtId="0" fontId="20" fillId="0" borderId="1" xfId="0" applyFont="1" applyFill="1" applyBorder="1" applyAlignment="1">
      <alignment horizontal="center"/>
    </xf>
    <xf numFmtId="0" fontId="20" fillId="0" borderId="2" xfId="0" applyFont="1" applyFill="1" applyBorder="1" applyAlignment="1">
      <alignment horizontal="center"/>
    </xf>
    <xf numFmtId="0" fontId="22" fillId="0" borderId="19" xfId="0" applyFont="1" applyBorder="1"/>
    <xf numFmtId="166" fontId="0" fillId="0" borderId="95" xfId="0" applyNumberFormat="1" applyBorder="1"/>
    <xf numFmtId="166" fontId="0" fillId="0" borderId="88" xfId="0" applyNumberFormat="1" applyBorder="1"/>
    <xf numFmtId="166" fontId="0" fillId="0" borderId="61" xfId="0" applyNumberFormat="1" applyBorder="1"/>
    <xf numFmtId="167" fontId="2" fillId="0" borderId="15" xfId="1" applyNumberFormat="1" applyFont="1" applyBorder="1" applyAlignment="1">
      <alignment horizontal="center"/>
    </xf>
    <xf numFmtId="0" fontId="4" fillId="0" borderId="97" xfId="0" applyFont="1" applyFill="1" applyBorder="1"/>
    <xf numFmtId="0" fontId="4" fillId="0" borderId="98" xfId="0" applyFont="1" applyFill="1" applyBorder="1"/>
    <xf numFmtId="0" fontId="0" fillId="0" borderId="99" xfId="0" applyFill="1" applyBorder="1"/>
    <xf numFmtId="0" fontId="4" fillId="0" borderId="100" xfId="0" applyFont="1" applyFill="1" applyBorder="1"/>
    <xf numFmtId="0" fontId="0" fillId="0" borderId="102" xfId="0" applyFill="1" applyBorder="1"/>
    <xf numFmtId="0" fontId="4" fillId="0" borderId="103" xfId="0" applyFont="1" applyFill="1" applyBorder="1"/>
    <xf numFmtId="0" fontId="4" fillId="0" borderId="104" xfId="0" applyFont="1" applyFill="1" applyBorder="1"/>
    <xf numFmtId="0" fontId="0" fillId="0" borderId="105" xfId="0" applyFill="1" applyBorder="1"/>
    <xf numFmtId="0" fontId="1" fillId="7" borderId="100" xfId="3" applyFill="1" applyBorder="1"/>
    <xf numFmtId="2" fontId="1" fillId="7" borderId="101" xfId="3" applyNumberFormat="1" applyFill="1" applyBorder="1"/>
    <xf numFmtId="0" fontId="0" fillId="7" borderId="102" xfId="3" applyFont="1" applyFill="1" applyBorder="1"/>
    <xf numFmtId="0" fontId="1" fillId="7" borderId="98" xfId="3" applyFill="1" applyBorder="1"/>
    <xf numFmtId="0" fontId="0" fillId="7" borderId="99" xfId="3" applyFont="1" applyFill="1" applyBorder="1"/>
    <xf numFmtId="0" fontId="0" fillId="7" borderId="98" xfId="3" applyFont="1" applyFill="1" applyBorder="1" applyAlignment="1">
      <alignment wrapText="1"/>
    </xf>
    <xf numFmtId="0" fontId="0" fillId="7" borderId="99" xfId="0" applyFill="1" applyBorder="1"/>
    <xf numFmtId="0" fontId="4" fillId="7" borderId="98" xfId="0" applyFont="1" applyFill="1" applyBorder="1"/>
    <xf numFmtId="0" fontId="0" fillId="7" borderId="99" xfId="0" applyFill="1" applyBorder="1" applyAlignment="1"/>
    <xf numFmtId="1" fontId="4" fillId="0" borderId="101" xfId="0" applyNumberFormat="1" applyFont="1" applyFill="1" applyBorder="1"/>
    <xf numFmtId="0" fontId="4" fillId="7" borderId="103" xfId="0" applyFont="1" applyFill="1" applyBorder="1"/>
    <xf numFmtId="1" fontId="4" fillId="7" borderId="104" xfId="0" applyNumberFormat="1" applyFont="1" applyFill="1" applyBorder="1"/>
    <xf numFmtId="0" fontId="0" fillId="7" borderId="105" xfId="0" applyFill="1" applyBorder="1"/>
    <xf numFmtId="0" fontId="0" fillId="2" borderId="102" xfId="0" applyFill="1" applyBorder="1" applyAlignment="1">
      <alignment horizontal="center"/>
    </xf>
    <xf numFmtId="0" fontId="4" fillId="0" borderId="106" xfId="0" applyFont="1" applyFill="1" applyBorder="1"/>
    <xf numFmtId="0" fontId="0" fillId="0" borderId="107" xfId="0" applyFill="1" applyBorder="1"/>
    <xf numFmtId="0" fontId="0" fillId="0" borderId="97" xfId="0" applyFill="1" applyBorder="1"/>
    <xf numFmtId="0" fontId="0" fillId="0" borderId="108" xfId="0" applyFill="1" applyBorder="1"/>
    <xf numFmtId="0" fontId="0" fillId="0" borderId="108" xfId="0" applyBorder="1"/>
    <xf numFmtId="3" fontId="4" fillId="0" borderId="109" xfId="1" applyNumberFormat="1" applyFont="1" applyFill="1" applyBorder="1"/>
    <xf numFmtId="167" fontId="0" fillId="0" borderId="0" xfId="1" applyNumberFormat="1" applyFont="1" applyBorder="1" applyAlignment="1">
      <alignment horizontal="center"/>
    </xf>
    <xf numFmtId="0" fontId="0" fillId="0" borderId="3" xfId="0" applyFill="1" applyBorder="1" applyAlignment="1">
      <alignment horizontal="center" wrapText="1"/>
    </xf>
    <xf numFmtId="0" fontId="0" fillId="0" borderId="110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11" xfId="0" applyFill="1" applyBorder="1" applyAlignment="1">
      <alignment horizontal="center" wrapText="1"/>
    </xf>
    <xf numFmtId="0" fontId="0" fillId="0" borderId="112" xfId="0" applyBorder="1" applyAlignment="1">
      <alignment horizontal="center" wrapText="1"/>
    </xf>
    <xf numFmtId="167" fontId="2" fillId="0" borderId="3" xfId="1" applyNumberFormat="1" applyFont="1" applyFill="1" applyBorder="1" applyAlignment="1">
      <alignment horizontal="center"/>
    </xf>
    <xf numFmtId="167" fontId="2" fillId="0" borderId="66" xfId="1" applyNumberFormat="1" applyFont="1" applyBorder="1" applyAlignment="1">
      <alignment horizontal="center"/>
    </xf>
    <xf numFmtId="167" fontId="2" fillId="0" borderId="111" xfId="1" applyNumberFormat="1" applyFont="1" applyBorder="1" applyAlignment="1">
      <alignment horizontal="center"/>
    </xf>
    <xf numFmtId="167" fontId="2" fillId="0" borderId="113" xfId="1" applyNumberFormat="1" applyFont="1" applyBorder="1" applyAlignment="1">
      <alignment horizontal="center"/>
    </xf>
    <xf numFmtId="0" fontId="0" fillId="0" borderId="77" xfId="0" applyBorder="1"/>
    <xf numFmtId="2" fontId="0" fillId="0" borderId="100" xfId="0" applyNumberFormat="1" applyBorder="1"/>
    <xf numFmtId="165" fontId="0" fillId="0" borderId="101" xfId="0" applyNumberFormat="1" applyBorder="1"/>
    <xf numFmtId="2" fontId="0" fillId="0" borderId="98" xfId="0" applyNumberFormat="1" applyBorder="1"/>
    <xf numFmtId="0" fontId="0" fillId="0" borderId="98" xfId="0" applyBorder="1"/>
    <xf numFmtId="0" fontId="0" fillId="0" borderId="104" xfId="0" applyBorder="1"/>
    <xf numFmtId="0" fontId="0" fillId="0" borderId="100" xfId="0" applyFill="1" applyBorder="1" applyAlignment="1">
      <alignment horizontal="center" wrapText="1"/>
    </xf>
    <xf numFmtId="0" fontId="0" fillId="0" borderId="101" xfId="0" applyFill="1" applyBorder="1" applyAlignment="1">
      <alignment horizontal="center"/>
    </xf>
    <xf numFmtId="0" fontId="0" fillId="0" borderId="101" xfId="0" applyFill="1" applyBorder="1" applyAlignment="1">
      <alignment horizontal="center" wrapText="1"/>
    </xf>
    <xf numFmtId="167" fontId="0" fillId="0" borderId="0" xfId="1" applyNumberFormat="1" applyFont="1" applyFill="1" applyBorder="1" applyAlignment="1">
      <alignment vertical="center" wrapText="1"/>
    </xf>
    <xf numFmtId="0" fontId="2" fillId="2" borderId="95" xfId="0" applyFont="1" applyFill="1" applyBorder="1"/>
    <xf numFmtId="0" fontId="2" fillId="2" borderId="96" xfId="0" applyFont="1" applyFill="1" applyBorder="1"/>
    <xf numFmtId="1" fontId="0" fillId="0" borderId="62" xfId="0" applyNumberFormat="1" applyBorder="1"/>
    <xf numFmtId="0" fontId="0" fillId="0" borderId="75" xfId="0" applyBorder="1"/>
    <xf numFmtId="1" fontId="0" fillId="0" borderId="77" xfId="0" applyNumberFormat="1" applyBorder="1"/>
    <xf numFmtId="0" fontId="0" fillId="0" borderId="95" xfId="0" applyBorder="1"/>
    <xf numFmtId="0" fontId="0" fillId="0" borderId="96" xfId="0" applyBorder="1"/>
    <xf numFmtId="0" fontId="0" fillId="2" borderId="3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5" xfId="0" applyFill="1" applyBorder="1" applyAlignment="1">
      <alignment wrapText="1"/>
    </xf>
    <xf numFmtId="0" fontId="0" fillId="2" borderId="88" xfId="0" applyFill="1" applyBorder="1" applyAlignment="1">
      <alignment wrapText="1"/>
    </xf>
    <xf numFmtId="0" fontId="0" fillId="2" borderId="96" xfId="0" applyFill="1" applyBorder="1" applyAlignment="1">
      <alignment wrapText="1"/>
    </xf>
    <xf numFmtId="2" fontId="0" fillId="0" borderId="61" xfId="0" applyNumberFormat="1" applyBorder="1"/>
    <xf numFmtId="168" fontId="0" fillId="0" borderId="62" xfId="1" applyNumberFormat="1" applyFont="1" applyBorder="1"/>
    <xf numFmtId="0" fontId="0" fillId="2" borderId="15" xfId="0" applyFill="1" applyBorder="1" applyAlignment="1">
      <alignment wrapText="1"/>
    </xf>
    <xf numFmtId="0" fontId="0" fillId="2" borderId="3" xfId="0" applyFill="1" applyBorder="1" applyAlignment="1">
      <alignment horizontal="center"/>
    </xf>
    <xf numFmtId="168" fontId="0" fillId="0" borderId="56" xfId="1" applyNumberFormat="1" applyFont="1" applyBorder="1" applyAlignment="1">
      <alignment horizontal="center"/>
    </xf>
    <xf numFmtId="168" fontId="0" fillId="0" borderId="114" xfId="1" applyNumberFormat="1" applyFont="1" applyBorder="1" applyAlignment="1">
      <alignment horizontal="center"/>
    </xf>
    <xf numFmtId="166" fontId="7" fillId="0" borderId="2" xfId="0" applyNumberFormat="1" applyFont="1" applyFill="1" applyBorder="1" applyAlignment="1">
      <alignment horizontal="center"/>
    </xf>
    <xf numFmtId="0" fontId="0" fillId="2" borderId="20" xfId="0" applyFill="1" applyBorder="1"/>
    <xf numFmtId="1" fontId="2" fillId="0" borderId="0" xfId="0" applyNumberFormat="1" applyFont="1" applyFill="1" applyBorder="1"/>
    <xf numFmtId="0" fontId="34" fillId="0" borderId="0" xfId="0" applyFont="1" applyFill="1" applyBorder="1" applyAlignment="1">
      <alignment horizontal="center" vertical="center"/>
    </xf>
    <xf numFmtId="168" fontId="0" fillId="2" borderId="31" xfId="1" applyNumberFormat="1" applyFont="1" applyFill="1" applyBorder="1"/>
    <xf numFmtId="168" fontId="0" fillId="2" borderId="14" xfId="1" applyNumberFormat="1" applyFont="1" applyFill="1" applyBorder="1"/>
    <xf numFmtId="168" fontId="0" fillId="0" borderId="5" xfId="1" applyNumberFormat="1" applyFont="1" applyBorder="1" applyAlignment="1">
      <alignment horizontal="center"/>
    </xf>
    <xf numFmtId="168" fontId="0" fillId="0" borderId="28" xfId="1" applyNumberFormat="1" applyFont="1" applyBorder="1" applyAlignment="1">
      <alignment horizontal="center"/>
    </xf>
    <xf numFmtId="168" fontId="0" fillId="0" borderId="40" xfId="1" applyNumberFormat="1" applyFont="1" applyBorder="1" applyAlignment="1">
      <alignment horizontal="center"/>
    </xf>
    <xf numFmtId="168" fontId="0" fillId="0" borderId="6" xfId="1" applyNumberFormat="1" applyFont="1" applyBorder="1" applyAlignment="1">
      <alignment horizontal="center"/>
    </xf>
    <xf numFmtId="168" fontId="0" fillId="2" borderId="4" xfId="1" applyNumberFormat="1" applyFont="1" applyFill="1" applyBorder="1"/>
    <xf numFmtId="167" fontId="0" fillId="2" borderId="4" xfId="0" applyNumberFormat="1" applyFill="1" applyBorder="1" applyAlignment="1">
      <alignment vertical="center"/>
    </xf>
    <xf numFmtId="168" fontId="0" fillId="2" borderId="6" xfId="1" applyNumberFormat="1" applyFont="1" applyFill="1" applyBorder="1"/>
    <xf numFmtId="168" fontId="0" fillId="2" borderId="7" xfId="1" applyNumberFormat="1" applyFont="1" applyFill="1" applyBorder="1"/>
    <xf numFmtId="168" fontId="0" fillId="2" borderId="16" xfId="1" applyNumberFormat="1" applyFont="1" applyFill="1" applyBorder="1"/>
    <xf numFmtId="167" fontId="0" fillId="2" borderId="23" xfId="0" applyNumberFormat="1" applyFill="1" applyBorder="1" applyAlignment="1">
      <alignment vertical="center"/>
    </xf>
    <xf numFmtId="167" fontId="0" fillId="2" borderId="47" xfId="0" applyNumberFormat="1" applyFill="1" applyBorder="1" applyAlignment="1">
      <alignment vertical="center"/>
    </xf>
    <xf numFmtId="167" fontId="0" fillId="2" borderId="59" xfId="0" applyNumberFormat="1" applyFill="1" applyBorder="1" applyAlignment="1">
      <alignment vertical="center"/>
    </xf>
    <xf numFmtId="167" fontId="0" fillId="2" borderId="48" xfId="0" applyNumberFormat="1" applyFill="1" applyBorder="1" applyAlignment="1">
      <alignment vertical="center"/>
    </xf>
    <xf numFmtId="167" fontId="0" fillId="2" borderId="61" xfId="0" applyNumberFormat="1" applyFill="1" applyBorder="1" applyAlignment="1">
      <alignment vertical="center"/>
    </xf>
    <xf numFmtId="167" fontId="0" fillId="2" borderId="3" xfId="0" applyNumberFormat="1" applyFill="1" applyBorder="1" applyAlignment="1">
      <alignment vertical="center"/>
    </xf>
    <xf numFmtId="167" fontId="0" fillId="2" borderId="25" xfId="0" applyNumberFormat="1" applyFill="1" applyBorder="1" applyAlignment="1">
      <alignment vertical="center"/>
    </xf>
    <xf numFmtId="0" fontId="0" fillId="2" borderId="25" xfId="0" applyFill="1" applyBorder="1" applyAlignment="1">
      <alignment wrapText="1"/>
    </xf>
    <xf numFmtId="0" fontId="0" fillId="2" borderId="25" xfId="0" applyFill="1" applyBorder="1" applyAlignment="1">
      <alignment horizontal="center" wrapText="1"/>
    </xf>
    <xf numFmtId="0" fontId="0" fillId="2" borderId="23" xfId="0" applyFill="1" applyBorder="1" applyAlignment="1">
      <alignment wrapText="1"/>
    </xf>
    <xf numFmtId="0" fontId="0" fillId="2" borderId="24" xfId="0" applyFill="1" applyBorder="1" applyAlignment="1">
      <alignment wrapText="1"/>
    </xf>
    <xf numFmtId="0" fontId="0" fillId="2" borderId="117" xfId="0" applyFill="1" applyBorder="1" applyAlignment="1">
      <alignment wrapText="1"/>
    </xf>
    <xf numFmtId="0" fontId="0" fillId="2" borderId="118" xfId="0" applyFill="1" applyBorder="1" applyAlignment="1">
      <alignment wrapText="1"/>
    </xf>
    <xf numFmtId="167" fontId="0" fillId="2" borderId="43" xfId="0" applyNumberFormat="1" applyFill="1" applyBorder="1" applyAlignment="1">
      <alignment vertical="center"/>
    </xf>
    <xf numFmtId="0" fontId="0" fillId="2" borderId="56" xfId="0" applyFill="1" applyBorder="1"/>
    <xf numFmtId="0" fontId="0" fillId="2" borderId="40" xfId="0" applyFill="1" applyBorder="1"/>
    <xf numFmtId="167" fontId="0" fillId="2" borderId="5" xfId="0" applyNumberFormat="1" applyFill="1" applyBorder="1" applyAlignment="1">
      <alignment vertical="center"/>
    </xf>
    <xf numFmtId="0" fontId="0" fillId="2" borderId="114" xfId="0" applyFill="1" applyBorder="1"/>
    <xf numFmtId="0" fontId="0" fillId="2" borderId="28" xfId="0" applyFill="1" applyBorder="1"/>
    <xf numFmtId="167" fontId="0" fillId="2" borderId="114" xfId="0" applyNumberFormat="1" applyFill="1" applyBorder="1" applyAlignment="1">
      <alignment vertical="center"/>
    </xf>
    <xf numFmtId="167" fontId="0" fillId="2" borderId="56" xfId="0" applyNumberFormat="1" applyFill="1" applyBorder="1" applyAlignment="1">
      <alignment vertical="center"/>
    </xf>
    <xf numFmtId="167" fontId="0" fillId="2" borderId="28" xfId="0" applyNumberFormat="1" applyFill="1" applyBorder="1" applyAlignment="1">
      <alignment vertical="center"/>
    </xf>
    <xf numFmtId="168" fontId="0" fillId="2" borderId="1" xfId="1" applyNumberFormat="1" applyFont="1" applyFill="1" applyBorder="1"/>
    <xf numFmtId="168" fontId="0" fillId="2" borderId="93" xfId="1" applyNumberFormat="1" applyFont="1" applyFill="1" applyBorder="1"/>
    <xf numFmtId="167" fontId="0" fillId="2" borderId="40" xfId="0" applyNumberFormat="1" applyFill="1" applyBorder="1" applyAlignment="1">
      <alignment vertical="center"/>
    </xf>
    <xf numFmtId="167" fontId="0" fillId="2" borderId="117" xfId="0" applyNumberFormat="1" applyFill="1" applyBorder="1" applyAlignment="1">
      <alignment vertical="center"/>
    </xf>
    <xf numFmtId="167" fontId="0" fillId="2" borderId="119" xfId="0" applyNumberFormat="1" applyFill="1" applyBorder="1" applyAlignment="1">
      <alignment vertical="center"/>
    </xf>
    <xf numFmtId="168" fontId="0" fillId="0" borderId="3" xfId="1" applyNumberFormat="1" applyFont="1" applyBorder="1" applyAlignment="1">
      <alignment horizontal="center"/>
    </xf>
    <xf numFmtId="168" fontId="0" fillId="0" borderId="15" xfId="1" applyNumberFormat="1" applyFont="1" applyBorder="1" applyAlignment="1">
      <alignment horizontal="center"/>
    </xf>
    <xf numFmtId="168" fontId="0" fillId="0" borderId="3" xfId="0" applyNumberForma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8" fontId="0" fillId="0" borderId="2" xfId="1" applyNumberFormat="1" applyFont="1" applyBorder="1" applyAlignment="1">
      <alignment horizontal="center"/>
    </xf>
    <xf numFmtId="168" fontId="0" fillId="0" borderId="19" xfId="1" applyNumberFormat="1" applyFont="1" applyBorder="1" applyAlignment="1">
      <alignment horizontal="center"/>
    </xf>
    <xf numFmtId="0" fontId="0" fillId="2" borderId="19" xfId="0" applyFill="1" applyBorder="1" applyAlignment="1">
      <alignment horizontal="center" wrapText="1"/>
    </xf>
    <xf numFmtId="168" fontId="0" fillId="0" borderId="1" xfId="1" applyNumberFormat="1" applyFont="1" applyBorder="1" applyAlignment="1">
      <alignment horizontal="center"/>
    </xf>
    <xf numFmtId="0" fontId="0" fillId="2" borderId="2" xfId="0" applyFill="1" applyBorder="1"/>
    <xf numFmtId="0" fontId="0" fillId="2" borderId="19" xfId="0" applyFill="1" applyBorder="1" applyAlignment="1">
      <alignment wrapText="1"/>
    </xf>
    <xf numFmtId="0" fontId="0" fillId="2" borderId="1" xfId="0" applyFill="1" applyBorder="1"/>
    <xf numFmtId="0" fontId="0" fillId="0" borderId="27" xfId="0" applyBorder="1"/>
    <xf numFmtId="167" fontId="0" fillId="2" borderId="1" xfId="0" applyNumberFormat="1" applyFill="1" applyBorder="1" applyAlignment="1">
      <alignment vertical="center"/>
    </xf>
    <xf numFmtId="167" fontId="0" fillId="2" borderId="19" xfId="0" applyNumberFormat="1" applyFill="1" applyBorder="1" applyAlignment="1">
      <alignment vertical="center"/>
    </xf>
    <xf numFmtId="0" fontId="9" fillId="2" borderId="11" xfId="0" applyFont="1" applyFill="1" applyBorder="1" applyAlignment="1">
      <alignment wrapText="1"/>
    </xf>
    <xf numFmtId="167" fontId="9" fillId="2" borderId="29" xfId="0" applyNumberFormat="1" applyFont="1" applyFill="1" applyBorder="1" applyAlignment="1">
      <alignment wrapText="1"/>
    </xf>
    <xf numFmtId="167" fontId="9" fillId="2" borderId="10" xfId="0" applyNumberFormat="1" applyFont="1" applyFill="1" applyBorder="1" applyAlignment="1">
      <alignment wrapText="1"/>
    </xf>
    <xf numFmtId="167" fontId="9" fillId="2" borderId="11" xfId="0" applyNumberFormat="1" applyFont="1" applyFill="1" applyBorder="1" applyAlignment="1">
      <alignment wrapText="1"/>
    </xf>
    <xf numFmtId="167" fontId="9" fillId="2" borderId="36" xfId="0" applyNumberFormat="1" applyFont="1" applyFill="1" applyBorder="1" applyAlignment="1">
      <alignment wrapText="1"/>
    </xf>
    <xf numFmtId="0" fontId="0" fillId="0" borderId="73" xfId="0" applyFill="1" applyBorder="1" applyAlignment="1">
      <alignment horizontal="center" wrapText="1"/>
    </xf>
    <xf numFmtId="0" fontId="0" fillId="0" borderId="64" xfId="0" applyFill="1" applyBorder="1" applyAlignment="1">
      <alignment horizontal="center" wrapText="1"/>
    </xf>
    <xf numFmtId="0" fontId="0" fillId="0" borderId="15" xfId="0" applyFill="1" applyBorder="1" applyAlignment="1">
      <alignment horizontal="center" wrapText="1"/>
    </xf>
    <xf numFmtId="166" fontId="0" fillId="0" borderId="88" xfId="0" applyNumberFormat="1" applyFill="1" applyBorder="1"/>
    <xf numFmtId="166" fontId="0" fillId="0" borderId="96" xfId="0" applyNumberFormat="1" applyFill="1" applyBorder="1"/>
    <xf numFmtId="166" fontId="0" fillId="0" borderId="62" xfId="0" applyNumberFormat="1" applyFill="1" applyBorder="1"/>
    <xf numFmtId="167" fontId="2" fillId="0" borderId="73" xfId="1" applyNumberFormat="1" applyFont="1" applyFill="1" applyBorder="1" applyAlignment="1">
      <alignment horizontal="center"/>
    </xf>
    <xf numFmtId="167" fontId="2" fillId="0" borderId="64" xfId="1" applyNumberFormat="1" applyFont="1" applyFill="1" applyBorder="1" applyAlignment="1">
      <alignment horizontal="center"/>
    </xf>
    <xf numFmtId="167" fontId="2" fillId="0" borderId="15" xfId="1" applyNumberFormat="1" applyFont="1" applyFill="1" applyBorder="1" applyAlignment="1">
      <alignment horizontal="center"/>
    </xf>
    <xf numFmtId="167" fontId="2" fillId="0" borderId="94" xfId="1" applyNumberFormat="1" applyFont="1" applyFill="1" applyBorder="1" applyAlignment="1">
      <alignment horizontal="center"/>
    </xf>
    <xf numFmtId="167" fontId="2" fillId="0" borderId="14" xfId="1" applyNumberFormat="1" applyFont="1" applyFill="1" applyBorder="1" applyAlignment="1">
      <alignment horizontal="center"/>
    </xf>
    <xf numFmtId="0" fontId="0" fillId="0" borderId="30" xfId="0" applyFill="1" applyBorder="1" applyAlignment="1">
      <alignment horizontal="center" wrapText="1"/>
    </xf>
    <xf numFmtId="0" fontId="0" fillId="0" borderId="30" xfId="0" applyFill="1" applyBorder="1" applyAlignment="1">
      <alignment wrapText="1"/>
    </xf>
    <xf numFmtId="0" fontId="0" fillId="0" borderId="120" xfId="0" applyFill="1" applyBorder="1" applyAlignment="1">
      <alignment horizontal="center" wrapText="1"/>
    </xf>
    <xf numFmtId="0" fontId="0" fillId="0" borderId="19" xfId="0" applyFill="1" applyBorder="1" applyAlignment="1">
      <alignment horizontal="center" wrapText="1"/>
    </xf>
    <xf numFmtId="167" fontId="2" fillId="0" borderId="74" xfId="1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" fontId="0" fillId="0" borderId="1" xfId="0" applyNumberFormat="1" applyFill="1" applyBorder="1"/>
    <xf numFmtId="167" fontId="0" fillId="0" borderId="79" xfId="1" applyNumberFormat="1" applyFont="1" applyBorder="1"/>
    <xf numFmtId="2" fontId="0" fillId="0" borderId="101" xfId="0" applyNumberFormat="1" applyBorder="1"/>
    <xf numFmtId="167" fontId="0" fillId="0" borderId="80" xfId="1" applyNumberFormat="1" applyFont="1" applyBorder="1"/>
    <xf numFmtId="0" fontId="4" fillId="0" borderId="24" xfId="0" applyFont="1" applyBorder="1"/>
    <xf numFmtId="167" fontId="4" fillId="0" borderId="25" xfId="0" applyNumberFormat="1" applyFont="1" applyBorder="1"/>
    <xf numFmtId="2" fontId="4" fillId="0" borderId="15" xfId="0" applyNumberFormat="1" applyFont="1" applyFill="1" applyBorder="1"/>
    <xf numFmtId="166" fontId="4" fillId="0" borderId="15" xfId="0" applyNumberFormat="1" applyFont="1" applyFill="1" applyBorder="1"/>
    <xf numFmtId="169" fontId="0" fillId="0" borderId="15" xfId="0" applyNumberFormat="1" applyBorder="1"/>
    <xf numFmtId="169" fontId="0" fillId="0" borderId="21" xfId="0" applyNumberFormat="1" applyBorder="1"/>
    <xf numFmtId="167" fontId="0" fillId="0" borderId="1" xfId="1" applyNumberFormat="1" applyFont="1" applyBorder="1"/>
    <xf numFmtId="167" fontId="0" fillId="0" borderId="19" xfId="1" applyNumberFormat="1" applyFont="1" applyBorder="1"/>
    <xf numFmtId="168" fontId="0" fillId="0" borderId="115" xfId="1" applyNumberFormat="1" applyFont="1" applyBorder="1" applyAlignment="1">
      <alignment horizontal="center"/>
    </xf>
    <xf numFmtId="0" fontId="0" fillId="2" borderId="6" xfId="0" applyFill="1" applyBorder="1" applyAlignment="1">
      <alignment horizontal="center" wrapText="1"/>
    </xf>
    <xf numFmtId="0" fontId="0" fillId="2" borderId="57" xfId="0" applyFill="1" applyBorder="1" applyAlignment="1">
      <alignment horizontal="center" wrapText="1"/>
    </xf>
    <xf numFmtId="166" fontId="2" fillId="0" borderId="12" xfId="0" applyNumberFormat="1" applyFont="1" applyBorder="1"/>
    <xf numFmtId="0" fontId="15" fillId="0" borderId="0" xfId="0" applyFont="1" applyFill="1" applyBorder="1"/>
    <xf numFmtId="166" fontId="15" fillId="0" borderId="0" xfId="0" applyNumberFormat="1" applyFont="1" applyFill="1" applyBorder="1"/>
    <xf numFmtId="166" fontId="14" fillId="0" borderId="0" xfId="0" applyNumberFormat="1" applyFont="1" applyFill="1" applyBorder="1"/>
    <xf numFmtId="166" fontId="2" fillId="0" borderId="0" xfId="0" applyNumberFormat="1" applyFont="1" applyFill="1" applyBorder="1"/>
    <xf numFmtId="166" fontId="2" fillId="4" borderId="4" xfId="0" applyNumberFormat="1" applyFont="1" applyFill="1" applyBorder="1"/>
    <xf numFmtId="2" fontId="15" fillId="0" borderId="4" xfId="0" applyNumberFormat="1" applyFont="1" applyFill="1" applyBorder="1"/>
    <xf numFmtId="166" fontId="14" fillId="0" borderId="4" xfId="0" applyNumberFormat="1" applyFont="1" applyFill="1" applyBorder="1"/>
    <xf numFmtId="0" fontId="27" fillId="0" borderId="0" xfId="0" applyFont="1" applyFill="1" applyBorder="1" applyAlignment="1">
      <alignment horizontal="right"/>
    </xf>
    <xf numFmtId="0" fontId="27" fillId="0" borderId="0" xfId="0" applyFont="1" applyFill="1" applyBorder="1" applyAlignment="1">
      <alignment horizontal="right" wrapText="1"/>
    </xf>
    <xf numFmtId="0" fontId="28" fillId="0" borderId="0" xfId="0" applyFont="1" applyFill="1" applyBorder="1" applyAlignment="1">
      <alignment horizontal="right" wrapText="1"/>
    </xf>
    <xf numFmtId="2" fontId="15" fillId="0" borderId="0" xfId="0" applyNumberFormat="1" applyFont="1" applyFill="1" applyBorder="1"/>
    <xf numFmtId="0" fontId="29" fillId="0" borderId="53" xfId="0" applyFont="1" applyBorder="1" applyAlignment="1">
      <alignment horizontal="right"/>
    </xf>
    <xf numFmtId="0" fontId="0" fillId="0" borderId="41" xfId="0" applyFill="1" applyBorder="1"/>
    <xf numFmtId="0" fontId="15" fillId="4" borderId="41" xfId="0" applyFont="1" applyFill="1" applyBorder="1"/>
    <xf numFmtId="0" fontId="0" fillId="0" borderId="42" xfId="0" applyFill="1" applyBorder="1"/>
    <xf numFmtId="0" fontId="2" fillId="0" borderId="0" xfId="0" applyFont="1" applyFill="1" applyBorder="1" applyAlignment="1"/>
    <xf numFmtId="168" fontId="4" fillId="0" borderId="15" xfId="1" applyNumberFormat="1" applyFont="1" applyBorder="1"/>
    <xf numFmtId="9" fontId="0" fillId="0" borderId="15" xfId="0" applyNumberFormat="1" applyBorder="1" applyAlignment="1">
      <alignment horizontal="right"/>
    </xf>
    <xf numFmtId="0" fontId="0" fillId="0" borderId="14" xfId="0" applyBorder="1" applyAlignment="1">
      <alignment horizontal="right"/>
    </xf>
    <xf numFmtId="9" fontId="0" fillId="0" borderId="15" xfId="2" applyFont="1" applyBorder="1"/>
    <xf numFmtId="166" fontId="0" fillId="0" borderId="16" xfId="0" applyNumberFormat="1" applyBorder="1"/>
    <xf numFmtId="166" fontId="0" fillId="4" borderId="16" xfId="0" applyNumberFormat="1" applyFill="1" applyBorder="1"/>
    <xf numFmtId="166" fontId="15" fillId="0" borderId="16" xfId="0" applyNumberFormat="1" applyFont="1" applyFill="1" applyBorder="1"/>
    <xf numFmtId="166" fontId="0" fillId="0" borderId="37" xfId="0" applyNumberFormat="1" applyBorder="1"/>
    <xf numFmtId="2" fontId="0" fillId="0" borderId="8" xfId="0" applyNumberFormat="1" applyBorder="1"/>
    <xf numFmtId="0" fontId="27" fillId="0" borderId="16" xfId="0" applyFont="1" applyBorder="1" applyAlignment="1">
      <alignment horizontal="right" wrapText="1"/>
    </xf>
    <xf numFmtId="166" fontId="14" fillId="0" borderId="8" xfId="0" applyNumberFormat="1" applyFont="1" applyBorder="1"/>
    <xf numFmtId="0" fontId="28" fillId="0" borderId="23" xfId="0" applyFont="1" applyBorder="1" applyAlignment="1">
      <alignment horizontal="right" wrapText="1"/>
    </xf>
    <xf numFmtId="166" fontId="2" fillId="4" borderId="12" xfId="0" applyNumberFormat="1" applyFont="1" applyFill="1" applyBorder="1"/>
    <xf numFmtId="166" fontId="16" fillId="0" borderId="12" xfId="0" applyNumberFormat="1" applyFont="1" applyFill="1" applyBorder="1"/>
    <xf numFmtId="2" fontId="0" fillId="0" borderId="2" xfId="0" applyNumberFormat="1" applyFill="1" applyBorder="1" applyAlignment="1">
      <alignment wrapText="1"/>
    </xf>
    <xf numFmtId="0" fontId="0" fillId="2" borderId="7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13" xfId="0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66" fontId="4" fillId="0" borderId="0" xfId="0" applyNumberFormat="1" applyFont="1" applyFill="1" applyBorder="1" applyAlignment="1">
      <alignment horizontal="center"/>
    </xf>
    <xf numFmtId="176" fontId="43" fillId="0" borderId="0" xfId="0" applyNumberFormat="1" applyFont="1"/>
    <xf numFmtId="167" fontId="0" fillId="0" borderId="25" xfId="0" applyNumberFormat="1" applyBorder="1" applyAlignment="1">
      <alignment vertical="center"/>
    </xf>
    <xf numFmtId="167" fontId="0" fillId="0" borderId="23" xfId="0" applyNumberFormat="1" applyBorder="1" applyAlignment="1">
      <alignment vertical="center"/>
    </xf>
    <xf numFmtId="167" fontId="0" fillId="0" borderId="30" xfId="0" applyNumberFormat="1" applyBorder="1" applyAlignment="1">
      <alignment vertical="center"/>
    </xf>
    <xf numFmtId="168" fontId="0" fillId="0" borderId="24" xfId="0" applyNumberFormat="1" applyBorder="1" applyAlignment="1">
      <alignment vertical="center"/>
    </xf>
    <xf numFmtId="0" fontId="0" fillId="2" borderId="19" xfId="0" applyFill="1" applyBorder="1" applyAlignment="1"/>
    <xf numFmtId="0" fontId="0" fillId="2" borderId="25" xfId="0" applyFill="1" applyBorder="1" applyAlignment="1"/>
    <xf numFmtId="2" fontId="0" fillId="0" borderId="19" xfId="0" applyNumberFormat="1" applyBorder="1"/>
    <xf numFmtId="9" fontId="4" fillId="0" borderId="0" xfId="2" applyFont="1" applyFill="1" applyBorder="1"/>
    <xf numFmtId="175" fontId="4" fillId="0" borderId="0" xfId="2" applyNumberFormat="1" applyFont="1" applyFill="1" applyBorder="1"/>
    <xf numFmtId="2" fontId="4" fillId="0" borderId="0" xfId="2" applyNumberFormat="1" applyFont="1" applyFill="1" applyBorder="1"/>
    <xf numFmtId="176" fontId="4" fillId="0" borderId="0" xfId="2" applyNumberFormat="1" applyFont="1" applyFill="1" applyBorder="1"/>
    <xf numFmtId="0" fontId="4" fillId="0" borderId="1" xfId="0" applyFont="1" applyFill="1" applyBorder="1"/>
    <xf numFmtId="3" fontId="4" fillId="0" borderId="2" xfId="1" applyNumberFormat="1" applyFont="1" applyFill="1" applyBorder="1"/>
    <xf numFmtId="9" fontId="4" fillId="0" borderId="2" xfId="2" applyFont="1" applyFill="1" applyBorder="1"/>
    <xf numFmtId="177" fontId="0" fillId="0" borderId="0" xfId="0" applyNumberFormat="1"/>
    <xf numFmtId="166" fontId="7" fillId="0" borderId="15" xfId="0" applyNumberFormat="1" applyFont="1" applyFill="1" applyBorder="1" applyAlignment="1">
      <alignment horizontal="center"/>
    </xf>
    <xf numFmtId="166" fontId="7" fillId="0" borderId="0" xfId="0" applyNumberFormat="1" applyFont="1" applyFill="1" applyBorder="1" applyAlignment="1">
      <alignment horizontal="center"/>
    </xf>
    <xf numFmtId="166" fontId="18" fillId="0" borderId="20" xfId="0" applyNumberFormat="1" applyFont="1" applyFill="1" applyBorder="1" applyAlignment="1">
      <alignment horizontal="center"/>
    </xf>
    <xf numFmtId="2" fontId="0" fillId="0" borderId="24" xfId="0" applyNumberFormat="1" applyBorder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166" fontId="2" fillId="0" borderId="24" xfId="0" applyNumberFormat="1" applyFont="1" applyFill="1" applyBorder="1" applyAlignment="1">
      <alignment horizontal="center"/>
    </xf>
    <xf numFmtId="166" fontId="2" fillId="0" borderId="25" xfId="0" applyNumberFormat="1" applyFont="1" applyFill="1" applyBorder="1" applyAlignment="1">
      <alignment horizontal="center"/>
    </xf>
    <xf numFmtId="166" fontId="4" fillId="0" borderId="23" xfId="0" applyNumberFormat="1" applyFont="1" applyFill="1" applyBorder="1" applyAlignment="1">
      <alignment horizontal="right"/>
    </xf>
    <xf numFmtId="166" fontId="4" fillId="0" borderId="25" xfId="0" applyNumberFormat="1" applyFont="1" applyFill="1" applyBorder="1" applyAlignment="1">
      <alignment horizontal="right"/>
    </xf>
    <xf numFmtId="166" fontId="4" fillId="0" borderId="24" xfId="0" applyNumberFormat="1" applyFont="1" applyFill="1" applyBorder="1" applyAlignment="1">
      <alignment horizontal="right"/>
    </xf>
    <xf numFmtId="166" fontId="4" fillId="0" borderId="2" xfId="0" applyNumberFormat="1" applyFont="1" applyFill="1" applyBorder="1" applyAlignment="1">
      <alignment horizontal="right"/>
    </xf>
    <xf numFmtId="166" fontId="4" fillId="0" borderId="19" xfId="0" applyNumberFormat="1" applyFont="1" applyFill="1" applyBorder="1" applyAlignment="1"/>
    <xf numFmtId="2" fontId="4" fillId="0" borderId="23" xfId="0" applyNumberFormat="1" applyFont="1" applyFill="1" applyBorder="1" applyAlignment="1">
      <alignment horizontal="center"/>
    </xf>
    <xf numFmtId="2" fontId="4" fillId="0" borderId="25" xfId="0" applyNumberFormat="1" applyFont="1" applyFill="1" applyBorder="1" applyAlignment="1">
      <alignment horizontal="center"/>
    </xf>
    <xf numFmtId="2" fontId="4" fillId="0" borderId="23" xfId="0" applyNumberFormat="1" applyFont="1" applyFill="1" applyBorder="1" applyAlignment="1"/>
    <xf numFmtId="2" fontId="4" fillId="0" borderId="25" xfId="0" applyNumberFormat="1" applyFont="1" applyFill="1" applyBorder="1" applyAlignment="1"/>
    <xf numFmtId="2" fontId="4" fillId="0" borderId="24" xfId="0" applyNumberFormat="1" applyFont="1" applyFill="1" applyBorder="1" applyAlignment="1"/>
    <xf numFmtId="166" fontId="4" fillId="0" borderId="19" xfId="0" applyNumberFormat="1" applyFont="1" applyFill="1" applyBorder="1" applyAlignment="1">
      <alignment horizontal="right"/>
    </xf>
    <xf numFmtId="0" fontId="4" fillId="0" borderId="23" xfId="0" applyFont="1" applyBorder="1" applyAlignment="1">
      <alignment horizontal="right" wrapText="1"/>
    </xf>
    <xf numFmtId="166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14" xfId="0" applyFont="1" applyBorder="1" applyAlignment="1">
      <alignment horizontal="right"/>
    </xf>
    <xf numFmtId="2" fontId="4" fillId="0" borderId="23" xfId="0" applyNumberFormat="1" applyFont="1" applyFill="1" applyBorder="1" applyAlignment="1">
      <alignment horizontal="right"/>
    </xf>
    <xf numFmtId="2" fontId="4" fillId="0" borderId="25" xfId="0" applyNumberFormat="1" applyFont="1" applyFill="1" applyBorder="1" applyAlignment="1">
      <alignment horizontal="right"/>
    </xf>
    <xf numFmtId="2" fontId="4" fillId="0" borderId="24" xfId="0" applyNumberFormat="1" applyFont="1" applyFill="1" applyBorder="1" applyAlignment="1">
      <alignment horizontal="right"/>
    </xf>
    <xf numFmtId="166" fontId="7" fillId="0" borderId="2" xfId="0" applyNumberFormat="1" applyFont="1" applyFill="1" applyBorder="1" applyAlignment="1">
      <alignment horizontal="right"/>
    </xf>
    <xf numFmtId="166" fontId="7" fillId="0" borderId="0" xfId="0" applyNumberFormat="1" applyFont="1" applyFill="1" applyBorder="1" applyAlignment="1">
      <alignment horizontal="right"/>
    </xf>
    <xf numFmtId="166" fontId="7" fillId="0" borderId="15" xfId="0" applyNumberFormat="1" applyFont="1" applyFill="1" applyBorder="1" applyAlignment="1">
      <alignment horizontal="right"/>
    </xf>
    <xf numFmtId="0" fontId="4" fillId="0" borderId="23" xfId="0" applyFont="1" applyBorder="1" applyAlignment="1">
      <alignment horizontal="right"/>
    </xf>
    <xf numFmtId="2" fontId="0" fillId="0" borderId="24" xfId="0" applyNumberFormat="1" applyBorder="1" applyAlignment="1">
      <alignment horizontal="right" vertical="center"/>
    </xf>
    <xf numFmtId="2" fontId="0" fillId="0" borderId="25" xfId="0" applyNumberFormat="1" applyBorder="1" applyAlignment="1">
      <alignment horizontal="right" vertical="center"/>
    </xf>
    <xf numFmtId="0" fontId="0" fillId="0" borderId="22" xfId="0" applyBorder="1" applyAlignment="1">
      <alignment horizontal="right"/>
    </xf>
    <xf numFmtId="166" fontId="7" fillId="0" borderId="24" xfId="0" applyNumberFormat="1" applyFont="1" applyFill="1" applyBorder="1" applyAlignment="1">
      <alignment horizontal="right"/>
    </xf>
    <xf numFmtId="166" fontId="7" fillId="0" borderId="25" xfId="0" applyNumberFormat="1" applyFont="1" applyFill="1" applyBorder="1" applyAlignment="1">
      <alignment horizontal="right"/>
    </xf>
    <xf numFmtId="166" fontId="2" fillId="0" borderId="24" xfId="0" applyNumberFormat="1" applyFont="1" applyFill="1" applyBorder="1" applyAlignment="1">
      <alignment horizontal="right"/>
    </xf>
    <xf numFmtId="166" fontId="2" fillId="0" borderId="25" xfId="0" applyNumberFormat="1" applyFont="1" applyFill="1" applyBorder="1" applyAlignment="1">
      <alignment horizontal="right"/>
    </xf>
    <xf numFmtId="167" fontId="0" fillId="0" borderId="2" xfId="0" applyNumberFormat="1" applyBorder="1" applyAlignment="1">
      <alignment vertical="center"/>
    </xf>
    <xf numFmtId="167" fontId="0" fillId="0" borderId="3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167" fontId="0" fillId="0" borderId="19" xfId="0" applyNumberFormat="1" applyBorder="1" applyAlignment="1">
      <alignment vertical="center"/>
    </xf>
    <xf numFmtId="0" fontId="4" fillId="2" borderId="15" xfId="0" applyFont="1" applyFill="1" applyBorder="1" applyAlignment="1">
      <alignment horizontal="center"/>
    </xf>
    <xf numFmtId="0" fontId="0" fillId="0" borderId="5" xfId="0" applyBorder="1"/>
    <xf numFmtId="167" fontId="0" fillId="0" borderId="27" xfId="0" applyNumberFormat="1" applyBorder="1" applyAlignment="1">
      <alignment vertical="center"/>
    </xf>
    <xf numFmtId="167" fontId="0" fillId="0" borderId="114" xfId="0" applyNumberFormat="1" applyBorder="1" applyAlignment="1">
      <alignment vertical="center"/>
    </xf>
    <xf numFmtId="167" fontId="0" fillId="0" borderId="17" xfId="0" applyNumberFormat="1" applyBorder="1" applyAlignment="1">
      <alignment vertical="center"/>
    </xf>
    <xf numFmtId="0" fontId="0" fillId="0" borderId="114" xfId="0" applyBorder="1"/>
    <xf numFmtId="167" fontId="0" fillId="0" borderId="28" xfId="0" applyNumberFormat="1" applyBorder="1" applyAlignment="1">
      <alignment vertical="center"/>
    </xf>
    <xf numFmtId="0" fontId="0" fillId="0" borderId="8" xfId="0" applyBorder="1" applyAlignment="1">
      <alignment horizontal="right"/>
    </xf>
    <xf numFmtId="166" fontId="7" fillId="0" borderId="114" xfId="0" applyNumberFormat="1" applyFont="1" applyFill="1" applyBorder="1" applyAlignment="1">
      <alignment horizontal="right"/>
    </xf>
    <xf numFmtId="166" fontId="7" fillId="0" borderId="17" xfId="0" applyNumberFormat="1" applyFont="1" applyFill="1" applyBorder="1" applyAlignment="1">
      <alignment horizontal="right"/>
    </xf>
    <xf numFmtId="166" fontId="4" fillId="2" borderId="3" xfId="0" applyNumberFormat="1" applyFont="1" applyFill="1" applyBorder="1" applyAlignment="1">
      <alignment horizontal="right"/>
    </xf>
    <xf numFmtId="9" fontId="0" fillId="0" borderId="0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 vertical="center"/>
    </xf>
    <xf numFmtId="9" fontId="0" fillId="2" borderId="0" xfId="0" applyNumberFormat="1" applyFill="1" applyBorder="1" applyAlignment="1"/>
    <xf numFmtId="1" fontId="4" fillId="0" borderId="14" xfId="0" applyNumberFormat="1" applyFont="1" applyBorder="1" applyAlignment="1">
      <alignment horizontal="right"/>
    </xf>
    <xf numFmtId="1" fontId="4" fillId="0" borderId="23" xfId="0" applyNumberFormat="1" applyFont="1" applyFill="1" applyBorder="1" applyAlignment="1">
      <alignment horizontal="right"/>
    </xf>
    <xf numFmtId="1" fontId="4" fillId="0" borderId="25" xfId="0" applyNumberFormat="1" applyFont="1" applyFill="1" applyBorder="1" applyAlignment="1">
      <alignment horizontal="right"/>
    </xf>
    <xf numFmtId="1" fontId="4" fillId="0" borderId="24" xfId="0" applyNumberFormat="1" applyFont="1" applyFill="1" applyBorder="1" applyAlignment="1">
      <alignment horizontal="right"/>
    </xf>
    <xf numFmtId="1" fontId="0" fillId="0" borderId="0" xfId="0" applyNumberFormat="1" applyAlignment="1">
      <alignment horizontal="right"/>
    </xf>
    <xf numFmtId="0" fontId="0" fillId="0" borderId="99" xfId="0" applyFill="1" applyBorder="1" applyAlignment="1">
      <alignment horizontal="center"/>
    </xf>
    <xf numFmtId="0" fontId="0" fillId="2" borderId="1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34" fillId="0" borderId="21" xfId="0" applyFont="1" applyBorder="1" applyAlignment="1">
      <alignment horizontal="center" vertical="center" wrapText="1"/>
    </xf>
    <xf numFmtId="10" fontId="0" fillId="0" borderId="0" xfId="0" applyNumberFormat="1" applyFill="1" applyBorder="1"/>
    <xf numFmtId="168" fontId="4" fillId="0" borderId="0" xfId="1" applyNumberFormat="1" applyFont="1" applyFill="1" applyBorder="1"/>
    <xf numFmtId="0" fontId="4" fillId="0" borderId="1" xfId="0" applyFont="1" applyBorder="1"/>
    <xf numFmtId="10" fontId="0" fillId="0" borderId="2" xfId="0" applyNumberFormat="1" applyFill="1" applyBorder="1"/>
    <xf numFmtId="9" fontId="0" fillId="0" borderId="20" xfId="2" applyFont="1" applyBorder="1"/>
    <xf numFmtId="175" fontId="0" fillId="0" borderId="0" xfId="2" applyNumberFormat="1" applyFont="1" applyFill="1" applyBorder="1"/>
    <xf numFmtId="3" fontId="11" fillId="2" borderId="14" xfId="0" applyNumberFormat="1" applyFont="1" applyFill="1" applyBorder="1"/>
    <xf numFmtId="0" fontId="9" fillId="2" borderId="31" xfId="0" applyFont="1" applyFill="1" applyBorder="1"/>
    <xf numFmtId="0" fontId="11" fillId="2" borderId="14" xfId="0" applyFont="1" applyFill="1" applyBorder="1"/>
    <xf numFmtId="0" fontId="11" fillId="2" borderId="31" xfId="0" applyFont="1" applyFill="1" applyBorder="1"/>
    <xf numFmtId="168" fontId="9" fillId="2" borderId="21" xfId="1" applyNumberFormat="1" applyFont="1" applyFill="1" applyBorder="1"/>
    <xf numFmtId="168" fontId="11" fillId="2" borderId="21" xfId="1" applyNumberFormat="1" applyFont="1" applyFill="1" applyBorder="1"/>
    <xf numFmtId="0" fontId="0" fillId="0" borderId="20" xfId="0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0" borderId="21" xfId="0" applyFill="1" applyBorder="1" applyAlignment="1">
      <alignment wrapText="1"/>
    </xf>
    <xf numFmtId="0" fontId="0" fillId="0" borderId="19" xfId="0" applyFill="1" applyBorder="1" applyAlignment="1">
      <alignment wrapText="1"/>
    </xf>
    <xf numFmtId="0" fontId="4" fillId="3" borderId="0" xfId="0" applyFont="1" applyFill="1" applyBorder="1" applyAlignment="1">
      <alignment horizontal="right"/>
    </xf>
    <xf numFmtId="167" fontId="0" fillId="3" borderId="3" xfId="0" applyNumberFormat="1" applyFill="1" applyBorder="1" applyAlignment="1">
      <alignment vertical="center"/>
    </xf>
    <xf numFmtId="167" fontId="0" fillId="3" borderId="3" xfId="0" applyNumberFormat="1" applyFill="1" applyBorder="1" applyAlignment="1">
      <alignment horizontal="center" vertical="center"/>
    </xf>
    <xf numFmtId="167" fontId="0" fillId="3" borderId="32" xfId="0" applyNumberFormat="1" applyFill="1" applyBorder="1" applyAlignment="1">
      <alignment horizontal="center" vertical="center"/>
    </xf>
    <xf numFmtId="167" fontId="0" fillId="3" borderId="15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right"/>
    </xf>
    <xf numFmtId="167" fontId="0" fillId="3" borderId="3" xfId="1" applyNumberFormat="1" applyFont="1" applyFill="1" applyBorder="1"/>
    <xf numFmtId="167" fontId="0" fillId="3" borderId="32" xfId="1" applyNumberFormat="1" applyFont="1" applyFill="1" applyBorder="1"/>
    <xf numFmtId="167" fontId="0" fillId="3" borderId="15" xfId="1" applyNumberFormat="1" applyFont="1" applyFill="1" applyBorder="1"/>
    <xf numFmtId="0" fontId="0" fillId="3" borderId="20" xfId="0" applyFill="1" applyBorder="1" applyAlignment="1">
      <alignment horizontal="right"/>
    </xf>
    <xf numFmtId="1" fontId="0" fillId="11" borderId="85" xfId="0" applyNumberFormat="1" applyFill="1" applyBorder="1"/>
    <xf numFmtId="1" fontId="0" fillId="12" borderId="85" xfId="0" applyNumberFormat="1" applyFill="1" applyBorder="1"/>
    <xf numFmtId="0" fontId="0" fillId="13" borderId="0" xfId="0" applyFill="1"/>
    <xf numFmtId="0" fontId="0" fillId="13" borderId="86" xfId="0" applyFill="1" applyBorder="1"/>
    <xf numFmtId="1" fontId="0" fillId="13" borderId="86" xfId="0" applyNumberFormat="1" applyFill="1" applyBorder="1"/>
    <xf numFmtId="167" fontId="2" fillId="0" borderId="0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wrapText="1"/>
    </xf>
    <xf numFmtId="0" fontId="0" fillId="13" borderId="4" xfId="0" applyFill="1" applyBorder="1" applyAlignment="1">
      <alignment wrapText="1"/>
    </xf>
    <xf numFmtId="0" fontId="0" fillId="10" borderId="4" xfId="0" applyFill="1" applyBorder="1" applyAlignment="1">
      <alignment wrapText="1"/>
    </xf>
    <xf numFmtId="1" fontId="0" fillId="2" borderId="4" xfId="0" applyNumberFormat="1" applyFill="1" applyBorder="1"/>
    <xf numFmtId="166" fontId="0" fillId="2" borderId="4" xfId="0" applyNumberFormat="1" applyFill="1" applyBorder="1"/>
    <xf numFmtId="1" fontId="0" fillId="13" borderId="4" xfId="0" applyNumberFormat="1" applyFill="1" applyBorder="1"/>
    <xf numFmtId="1" fontId="0" fillId="10" borderId="4" xfId="0" applyNumberFormat="1" applyFill="1" applyBorder="1"/>
    <xf numFmtId="166" fontId="0" fillId="13" borderId="4" xfId="0" applyNumberFormat="1" applyFill="1" applyBorder="1"/>
    <xf numFmtId="166" fontId="0" fillId="10" borderId="4" xfId="0" applyNumberFormat="1" applyFill="1" applyBorder="1"/>
    <xf numFmtId="0" fontId="2" fillId="3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right"/>
    </xf>
    <xf numFmtId="0" fontId="14" fillId="0" borderId="4" xfId="0" applyFont="1" applyFill="1" applyBorder="1" applyAlignment="1">
      <alignment horizontal="right" wrapText="1"/>
    </xf>
    <xf numFmtId="167" fontId="2" fillId="0" borderId="4" xfId="0" applyNumberFormat="1" applyFont="1" applyFill="1" applyBorder="1"/>
    <xf numFmtId="0" fontId="0" fillId="3" borderId="4" xfId="0" applyFill="1" applyBorder="1" applyAlignment="1">
      <alignment wrapText="1"/>
    </xf>
    <xf numFmtId="0" fontId="14" fillId="0" borderId="4" xfId="0" applyFont="1" applyFill="1" applyBorder="1" applyAlignment="1">
      <alignment horizontal="left"/>
    </xf>
    <xf numFmtId="44" fontId="2" fillId="11" borderId="122" xfId="4" applyFont="1" applyFill="1" applyBorder="1" applyAlignment="1">
      <alignment horizontal="center" vertical="center" wrapText="1"/>
    </xf>
    <xf numFmtId="0" fontId="0" fillId="11" borderId="85" xfId="0" applyFill="1" applyBorder="1" applyAlignment="1">
      <alignment horizontal="center"/>
    </xf>
    <xf numFmtId="0" fontId="0" fillId="2" borderId="92" xfId="0" applyFill="1" applyBorder="1" applyAlignment="1">
      <alignment horizontal="right"/>
    </xf>
    <xf numFmtId="0" fontId="0" fillId="10" borderId="85" xfId="0" applyFill="1" applyBorder="1" applyAlignment="1">
      <alignment horizontal="center"/>
    </xf>
    <xf numFmtId="0" fontId="0" fillId="12" borderId="85" xfId="0" applyFill="1" applyBorder="1" applyAlignment="1">
      <alignment horizontal="center"/>
    </xf>
    <xf numFmtId="0" fontId="0" fillId="13" borderId="86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4" borderId="66" xfId="0" applyFont="1" applyFill="1" applyBorder="1" applyAlignment="1">
      <alignment horizontal="center"/>
    </xf>
    <xf numFmtId="0" fontId="2" fillId="4" borderId="67" xfId="0" applyFont="1" applyFill="1" applyBorder="1" applyAlignment="1">
      <alignment horizontal="center"/>
    </xf>
    <xf numFmtId="0" fontId="2" fillId="4" borderId="68" xfId="0" applyFont="1" applyFill="1" applyBorder="1" applyAlignment="1">
      <alignment horizontal="center"/>
    </xf>
    <xf numFmtId="0" fontId="2" fillId="2" borderId="89" xfId="0" applyFont="1" applyFill="1" applyBorder="1" applyAlignment="1">
      <alignment horizontal="center" wrapText="1"/>
    </xf>
    <xf numFmtId="0" fontId="2" fillId="2" borderId="90" xfId="0" applyFont="1" applyFill="1" applyBorder="1" applyAlignment="1">
      <alignment horizontal="center" wrapText="1"/>
    </xf>
    <xf numFmtId="0" fontId="2" fillId="2" borderId="91" xfId="0" applyFont="1" applyFill="1" applyBorder="1" applyAlignment="1">
      <alignment horizontal="center" wrapText="1"/>
    </xf>
    <xf numFmtId="0" fontId="12" fillId="4" borderId="23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right" vertical="center" wrapText="1"/>
    </xf>
    <xf numFmtId="0" fontId="0" fillId="3" borderId="14" xfId="0" applyFill="1" applyBorder="1" applyAlignment="1">
      <alignment horizontal="right" vertical="center" wrapText="1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14" fillId="9" borderId="23" xfId="0" applyFont="1" applyFill="1" applyBorder="1" applyAlignment="1">
      <alignment horizontal="left"/>
    </xf>
    <xf numFmtId="0" fontId="14" fillId="9" borderId="24" xfId="0" applyFont="1" applyFill="1" applyBorder="1" applyAlignment="1">
      <alignment horizontal="left"/>
    </xf>
    <xf numFmtId="167" fontId="0" fillId="0" borderId="30" xfId="0" applyNumberFormat="1" applyFill="1" applyBorder="1" applyAlignment="1">
      <alignment horizontal="center" vertical="top"/>
    </xf>
    <xf numFmtId="167" fontId="0" fillId="0" borderId="32" xfId="0" applyNumberFormat="1" applyFill="1" applyBorder="1" applyAlignment="1">
      <alignment horizontal="center" vertical="top"/>
    </xf>
    <xf numFmtId="167" fontId="0" fillId="0" borderId="31" xfId="0" applyNumberForma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0" fillId="2" borderId="87" xfId="0" applyFill="1" applyBorder="1" applyAlignment="1">
      <alignment horizontal="right"/>
    </xf>
    <xf numFmtId="0" fontId="0" fillId="2" borderId="4" xfId="0" applyFill="1" applyBorder="1" applyAlignment="1">
      <alignment horizontal="center"/>
    </xf>
    <xf numFmtId="0" fontId="0" fillId="13" borderId="4" xfId="0" applyFill="1" applyBorder="1" applyAlignment="1">
      <alignment horizontal="center"/>
    </xf>
    <xf numFmtId="0" fontId="0" fillId="10" borderId="4" xfId="0" applyFill="1" applyBorder="1" applyAlignment="1">
      <alignment horizontal="center"/>
    </xf>
    <xf numFmtId="0" fontId="0" fillId="4" borderId="5" xfId="0" applyFill="1" applyBorder="1" applyAlignment="1">
      <alignment horizontal="center" wrapText="1"/>
    </xf>
    <xf numFmtId="0" fontId="0" fillId="4" borderId="114" xfId="0" applyFill="1" applyBorder="1" applyAlignment="1">
      <alignment horizontal="center" wrapText="1"/>
    </xf>
    <xf numFmtId="0" fontId="0" fillId="4" borderId="28" xfId="0" applyFill="1" applyBorder="1" applyAlignment="1">
      <alignment horizontal="center" wrapText="1"/>
    </xf>
    <xf numFmtId="0" fontId="0" fillId="0" borderId="60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2" borderId="85" xfId="0" applyFill="1" applyBorder="1" applyAlignment="1">
      <alignment horizontal="right"/>
    </xf>
    <xf numFmtId="0" fontId="2" fillId="0" borderId="66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2" fillId="0" borderId="68" xfId="0" applyFont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3" fillId="2" borderId="85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4" fillId="2" borderId="100" xfId="0" applyFont="1" applyFill="1" applyBorder="1" applyAlignment="1">
      <alignment horizontal="center"/>
    </xf>
    <xf numFmtId="0" fontId="4" fillId="2" borderId="101" xfId="0" applyFont="1" applyFill="1" applyBorder="1" applyAlignment="1">
      <alignment horizontal="center"/>
    </xf>
    <xf numFmtId="9" fontId="2" fillId="2" borderId="54" xfId="0" applyNumberFormat="1" applyFont="1" applyFill="1" applyBorder="1" applyAlignment="1">
      <alignment horizontal="center"/>
    </xf>
    <xf numFmtId="9" fontId="2" fillId="2" borderId="55" xfId="0" applyNumberFormat="1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7" fillId="2" borderId="54" xfId="0" applyFont="1" applyFill="1" applyBorder="1" applyAlignment="1">
      <alignment horizontal="center"/>
    </xf>
    <xf numFmtId="0" fontId="7" fillId="2" borderId="55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172" fontId="0" fillId="0" borderId="4" xfId="1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7" fontId="0" fillId="0" borderId="23" xfId="1" applyNumberFormat="1" applyFont="1" applyBorder="1" applyAlignment="1">
      <alignment horizontal="center"/>
    </xf>
    <xf numFmtId="167" fontId="0" fillId="0" borderId="24" xfId="1" applyNumberFormat="1" applyFont="1" applyBorder="1" applyAlignment="1">
      <alignment horizontal="center"/>
    </xf>
    <xf numFmtId="167" fontId="0" fillId="0" borderId="25" xfId="1" applyNumberFormat="1" applyFont="1" applyBorder="1" applyAlignment="1">
      <alignment horizontal="center"/>
    </xf>
    <xf numFmtId="0" fontId="13" fillId="2" borderId="24" xfId="0" applyFont="1" applyFill="1" applyBorder="1" applyAlignment="1">
      <alignment horizontal="center"/>
    </xf>
    <xf numFmtId="0" fontId="13" fillId="2" borderId="25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9" xfId="0" applyBorder="1" applyAlignment="1">
      <alignment horizontal="center"/>
    </xf>
    <xf numFmtId="0" fontId="20" fillId="2" borderId="23" xfId="0" applyFont="1" applyFill="1" applyBorder="1" applyAlignment="1">
      <alignment horizontal="center"/>
    </xf>
    <xf numFmtId="0" fontId="20" fillId="2" borderId="2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3" fillId="2" borderId="24" xfId="0" applyFont="1" applyFill="1" applyBorder="1" applyAlignment="1">
      <alignment horizontal="center"/>
    </xf>
    <xf numFmtId="9" fontId="20" fillId="2" borderId="23" xfId="0" applyNumberFormat="1" applyFont="1" applyFill="1" applyBorder="1" applyAlignment="1">
      <alignment horizontal="center"/>
    </xf>
    <xf numFmtId="9" fontId="20" fillId="2" borderId="24" xfId="0" applyNumberFormat="1" applyFont="1" applyFill="1" applyBorder="1" applyAlignment="1">
      <alignment horizontal="center"/>
    </xf>
    <xf numFmtId="9" fontId="20" fillId="2" borderId="25" xfId="0" applyNumberFormat="1" applyFont="1" applyFill="1" applyBorder="1" applyAlignment="1">
      <alignment horizontal="center"/>
    </xf>
    <xf numFmtId="167" fontId="0" fillId="0" borderId="0" xfId="0" applyNumberFormat="1" applyAlignment="1">
      <alignment horizontal="center"/>
    </xf>
    <xf numFmtId="0" fontId="20" fillId="2" borderId="63" xfId="0" applyFont="1" applyFill="1" applyBorder="1" applyAlignment="1">
      <alignment horizontal="center"/>
    </xf>
    <xf numFmtId="0" fontId="20" fillId="2" borderId="65" xfId="0" applyFont="1" applyFill="1" applyBorder="1" applyAlignment="1">
      <alignment horizontal="center"/>
    </xf>
    <xf numFmtId="0" fontId="20" fillId="2" borderId="64" xfId="0" applyFont="1" applyFill="1" applyBorder="1" applyAlignment="1">
      <alignment horizontal="center"/>
    </xf>
    <xf numFmtId="0" fontId="20" fillId="2" borderId="61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9" fontId="2" fillId="2" borderId="23" xfId="0" applyNumberFormat="1" applyFont="1" applyFill="1" applyBorder="1" applyAlignment="1">
      <alignment horizontal="center"/>
    </xf>
    <xf numFmtId="9" fontId="2" fillId="2" borderId="25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165" fontId="0" fillId="0" borderId="63" xfId="0" applyNumberFormat="1" applyBorder="1" applyAlignment="1">
      <alignment horizontal="center" vertical="center"/>
    </xf>
    <xf numFmtId="165" fontId="0" fillId="0" borderId="65" xfId="0" applyNumberFormat="1" applyBorder="1" applyAlignment="1">
      <alignment horizontal="center" vertical="center"/>
    </xf>
    <xf numFmtId="165" fontId="0" fillId="0" borderId="64" xfId="0" applyNumberFormat="1" applyBorder="1" applyAlignment="1">
      <alignment horizontal="center" vertical="center"/>
    </xf>
    <xf numFmtId="16" fontId="2" fillId="2" borderId="23" xfId="0" applyNumberFormat="1" applyFont="1" applyFill="1" applyBorder="1" applyAlignment="1">
      <alignment horizontal="center"/>
    </xf>
    <xf numFmtId="16" fontId="2" fillId="2" borderId="24" xfId="0" applyNumberFormat="1" applyFont="1" applyFill="1" applyBorder="1" applyAlignment="1">
      <alignment horizontal="center"/>
    </xf>
    <xf numFmtId="16" fontId="2" fillId="2" borderId="25" xfId="0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1" xfId="0" applyBorder="1" applyAlignment="1">
      <alignment horizontal="center"/>
    </xf>
    <xf numFmtId="167" fontId="0" fillId="0" borderId="20" xfId="0" applyNumberFormat="1" applyBorder="1" applyAlignment="1">
      <alignment vertical="center"/>
    </xf>
    <xf numFmtId="0" fontId="2" fillId="2" borderId="23" xfId="0" applyFont="1" applyFill="1" applyBorder="1" applyAlignment="1">
      <alignment horizontal="center"/>
    </xf>
    <xf numFmtId="0" fontId="2" fillId="2" borderId="109" xfId="0" applyFont="1" applyFill="1" applyBorder="1" applyAlignment="1">
      <alignment horizontal="center"/>
    </xf>
    <xf numFmtId="166" fontId="7" fillId="0" borderId="1" xfId="0" applyNumberFormat="1" applyFont="1" applyFill="1" applyBorder="1" applyAlignment="1">
      <alignment horizontal="right"/>
    </xf>
    <xf numFmtId="166" fontId="7" fillId="0" borderId="2" xfId="0" applyNumberFormat="1" applyFont="1" applyFill="1" applyBorder="1" applyAlignment="1">
      <alignment horizontal="right"/>
    </xf>
    <xf numFmtId="166" fontId="7" fillId="0" borderId="27" xfId="0" applyNumberFormat="1" applyFont="1" applyFill="1" applyBorder="1" applyAlignment="1">
      <alignment horizontal="right"/>
    </xf>
    <xf numFmtId="166" fontId="7" fillId="0" borderId="114" xfId="0" applyNumberFormat="1" applyFont="1" applyFill="1" applyBorder="1" applyAlignment="1">
      <alignment horizontal="right"/>
    </xf>
    <xf numFmtId="166" fontId="7" fillId="0" borderId="28" xfId="0" applyNumberFormat="1" applyFont="1" applyFill="1" applyBorder="1" applyAlignment="1">
      <alignment horizontal="right"/>
    </xf>
    <xf numFmtId="166" fontId="4" fillId="2" borderId="2" xfId="0" applyNumberFormat="1" applyFont="1" applyFill="1" applyBorder="1" applyAlignment="1">
      <alignment horizontal="right"/>
    </xf>
    <xf numFmtId="166" fontId="4" fillId="2" borderId="19" xfId="0" applyNumberFormat="1" applyFont="1" applyFill="1" applyBorder="1" applyAlignment="1">
      <alignment horizontal="right"/>
    </xf>
    <xf numFmtId="166" fontId="7" fillId="0" borderId="17" xfId="0" applyNumberFormat="1" applyFont="1" applyFill="1" applyBorder="1" applyAlignment="1">
      <alignment horizontal="right"/>
    </xf>
    <xf numFmtId="166" fontId="7" fillId="0" borderId="3" xfId="0" applyNumberFormat="1" applyFont="1" applyFill="1" applyBorder="1" applyAlignment="1">
      <alignment horizontal="right"/>
    </xf>
    <xf numFmtId="166" fontId="7" fillId="0" borderId="0" xfId="0" applyNumberFormat="1" applyFont="1" applyFill="1" applyBorder="1" applyAlignment="1">
      <alignment horizontal="right"/>
    </xf>
    <xf numFmtId="0" fontId="7" fillId="2" borderId="23" xfId="0" applyFont="1" applyFill="1" applyBorder="1" applyAlignment="1">
      <alignment horizontal="center"/>
    </xf>
    <xf numFmtId="0" fontId="7" fillId="2" borderId="24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166" fontId="4" fillId="2" borderId="1" xfId="0" applyNumberFormat="1" applyFont="1" applyFill="1" applyBorder="1" applyAlignment="1">
      <alignment horizontal="right"/>
    </xf>
    <xf numFmtId="2" fontId="0" fillId="0" borderId="23" xfId="0" applyNumberFormat="1" applyBorder="1" applyAlignment="1">
      <alignment horizontal="right" vertical="center"/>
    </xf>
    <xf numFmtId="2" fontId="0" fillId="0" borderId="24" xfId="0" applyNumberFormat="1" applyBorder="1" applyAlignment="1">
      <alignment horizontal="right" vertical="center"/>
    </xf>
    <xf numFmtId="166" fontId="0" fillId="2" borderId="49" xfId="0" applyNumberFormat="1" applyFill="1" applyBorder="1" applyAlignment="1">
      <alignment horizontal="right"/>
    </xf>
    <xf numFmtId="9" fontId="4" fillId="2" borderId="0" xfId="0" applyNumberFormat="1" applyFont="1" applyFill="1" applyBorder="1" applyAlignment="1">
      <alignment horizontal="center"/>
    </xf>
    <xf numFmtId="9" fontId="4" fillId="2" borderId="15" xfId="0" applyNumberFormat="1" applyFont="1" applyFill="1" applyBorder="1" applyAlignment="1">
      <alignment horizontal="center"/>
    </xf>
    <xf numFmtId="166" fontId="7" fillId="0" borderId="19" xfId="0" applyNumberFormat="1" applyFont="1" applyFill="1" applyBorder="1" applyAlignment="1">
      <alignment horizontal="right"/>
    </xf>
    <xf numFmtId="2" fontId="0" fillId="0" borderId="25" xfId="0" applyNumberFormat="1" applyBorder="1" applyAlignment="1">
      <alignment horizontal="right" vertic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9" fontId="4" fillId="2" borderId="2" xfId="0" applyNumberFormat="1" applyFont="1" applyFill="1" applyBorder="1" applyAlignment="1">
      <alignment horizontal="center"/>
    </xf>
    <xf numFmtId="9" fontId="4" fillId="2" borderId="19" xfId="0" applyNumberFormat="1" applyFont="1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4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9" fontId="0" fillId="2" borderId="63" xfId="0" applyNumberFormat="1" applyFill="1" applyBorder="1" applyAlignment="1">
      <alignment horizontal="center"/>
    </xf>
    <xf numFmtId="9" fontId="0" fillId="2" borderId="64" xfId="0" applyNumberFormat="1" applyFill="1" applyBorder="1" applyAlignment="1">
      <alignment horizontal="center"/>
    </xf>
    <xf numFmtId="0" fontId="0" fillId="2" borderId="95" xfId="0" applyFill="1" applyBorder="1" applyAlignment="1">
      <alignment horizontal="center"/>
    </xf>
    <xf numFmtId="0" fontId="0" fillId="2" borderId="88" xfId="0" applyFill="1" applyBorder="1" applyAlignment="1">
      <alignment horizontal="center"/>
    </xf>
    <xf numFmtId="0" fontId="0" fillId="2" borderId="9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0" fillId="2" borderId="115" xfId="0" applyFill="1" applyBorder="1" applyAlignment="1">
      <alignment horizontal="center"/>
    </xf>
    <xf numFmtId="0" fontId="0" fillId="2" borderId="116" xfId="0" applyFill="1" applyBorder="1" applyAlignment="1">
      <alignment horizontal="center"/>
    </xf>
    <xf numFmtId="9" fontId="0" fillId="2" borderId="39" xfId="0" applyNumberFormat="1" applyFill="1" applyBorder="1" applyAlignment="1">
      <alignment horizontal="center"/>
    </xf>
    <xf numFmtId="166" fontId="7" fillId="0" borderId="23" xfId="0" applyNumberFormat="1" applyFont="1" applyFill="1" applyBorder="1" applyAlignment="1">
      <alignment horizontal="right"/>
    </xf>
    <xf numFmtId="166" fontId="7" fillId="0" borderId="24" xfId="0" applyNumberFormat="1" applyFont="1" applyFill="1" applyBorder="1" applyAlignment="1">
      <alignment horizontal="right"/>
    </xf>
    <xf numFmtId="166" fontId="2" fillId="0" borderId="23" xfId="0" applyNumberFormat="1" applyFont="1" applyFill="1" applyBorder="1" applyAlignment="1">
      <alignment horizontal="right"/>
    </xf>
    <xf numFmtId="166" fontId="2" fillId="0" borderId="24" xfId="0" applyNumberFormat="1" applyFont="1" applyFill="1" applyBorder="1" applyAlignment="1">
      <alignment horizontal="right"/>
    </xf>
    <xf numFmtId="166" fontId="2" fillId="0" borderId="25" xfId="0" applyNumberFormat="1" applyFont="1" applyFill="1" applyBorder="1" applyAlignment="1">
      <alignment horizontal="right"/>
    </xf>
    <xf numFmtId="166" fontId="7" fillId="0" borderId="25" xfId="0" applyNumberFormat="1" applyFont="1" applyFill="1" applyBorder="1" applyAlignment="1">
      <alignment horizontal="right"/>
    </xf>
    <xf numFmtId="166" fontId="2" fillId="0" borderId="24" xfId="0" applyNumberFormat="1" applyFont="1" applyFill="1" applyBorder="1" applyAlignment="1">
      <alignment horizontal="center"/>
    </xf>
    <xf numFmtId="166" fontId="2" fillId="0" borderId="25" xfId="0" applyNumberFormat="1" applyFont="1" applyFill="1" applyBorder="1" applyAlignment="1">
      <alignment horizontal="center"/>
    </xf>
    <xf numFmtId="166" fontId="7" fillId="0" borderId="1" xfId="0" applyNumberFormat="1" applyFont="1" applyFill="1" applyBorder="1" applyAlignment="1">
      <alignment horizontal="center"/>
    </xf>
    <xf numFmtId="166" fontId="7" fillId="0" borderId="19" xfId="0" applyNumberFormat="1" applyFont="1" applyFill="1" applyBorder="1" applyAlignment="1">
      <alignment horizontal="center"/>
    </xf>
    <xf numFmtId="166" fontId="7" fillId="0" borderId="23" xfId="0" applyNumberFormat="1" applyFont="1" applyFill="1" applyBorder="1" applyAlignment="1">
      <alignment horizontal="center"/>
    </xf>
    <xf numFmtId="166" fontId="7" fillId="0" borderId="24" xfId="0" applyNumberFormat="1" applyFont="1" applyFill="1" applyBorder="1" applyAlignment="1">
      <alignment horizontal="center"/>
    </xf>
    <xf numFmtId="166" fontId="7" fillId="0" borderId="2" xfId="0" applyNumberFormat="1" applyFont="1" applyFill="1" applyBorder="1" applyAlignment="1">
      <alignment horizontal="center"/>
    </xf>
    <xf numFmtId="166" fontId="7" fillId="0" borderId="25" xfId="0" applyNumberFormat="1" applyFont="1" applyFill="1" applyBorder="1" applyAlignment="1">
      <alignment horizontal="center"/>
    </xf>
    <xf numFmtId="166" fontId="2" fillId="0" borderId="23" xfId="0" applyNumberFormat="1" applyFont="1" applyFill="1" applyBorder="1" applyAlignment="1">
      <alignment horizontal="center"/>
    </xf>
    <xf numFmtId="2" fontId="0" fillId="0" borderId="23" xfId="0" applyNumberFormat="1" applyBorder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0" fontId="0" fillId="2" borderId="37" xfId="0" applyFill="1" applyBorder="1" applyAlignment="1">
      <alignment horizontal="center"/>
    </xf>
    <xf numFmtId="166" fontId="7" fillId="0" borderId="3" xfId="0" applyNumberFormat="1" applyFont="1" applyFill="1" applyBorder="1" applyAlignment="1">
      <alignment horizontal="center"/>
    </xf>
    <xf numFmtId="166" fontId="7" fillId="0" borderId="0" xfId="0" applyNumberFormat="1" applyFont="1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1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/>
    </xf>
    <xf numFmtId="166" fontId="2" fillId="2" borderId="23" xfId="0" applyNumberFormat="1" applyFont="1" applyFill="1" applyBorder="1" applyAlignment="1">
      <alignment horizontal="center"/>
    </xf>
    <xf numFmtId="166" fontId="2" fillId="2" borderId="24" xfId="0" applyNumberFormat="1" applyFont="1" applyFill="1" applyBorder="1" applyAlignment="1">
      <alignment horizontal="center"/>
    </xf>
    <xf numFmtId="166" fontId="2" fillId="2" borderId="25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23" xfId="0" applyFill="1" applyBorder="1" applyAlignment="1">
      <alignment horizontal="center" wrapText="1"/>
    </xf>
    <xf numFmtId="0" fontId="0" fillId="0" borderId="24" xfId="0" applyFill="1" applyBorder="1" applyAlignment="1">
      <alignment horizontal="center" wrapText="1"/>
    </xf>
    <xf numFmtId="0" fontId="9" fillId="2" borderId="44" xfId="0" applyFont="1" applyFill="1" applyBorder="1" applyAlignment="1">
      <alignment horizontal="center"/>
    </xf>
    <xf numFmtId="0" fontId="9" fillId="2" borderId="56" xfId="0" applyFont="1" applyFill="1" applyBorder="1" applyAlignment="1">
      <alignment horizontal="center"/>
    </xf>
    <xf numFmtId="0" fontId="9" fillId="2" borderId="52" xfId="0" applyFont="1" applyFill="1" applyBorder="1" applyAlignment="1">
      <alignment horizontal="center"/>
    </xf>
    <xf numFmtId="9" fontId="9" fillId="2" borderId="14" xfId="0" applyNumberFormat="1" applyFont="1" applyFill="1" applyBorder="1" applyAlignment="1">
      <alignment horizontal="center"/>
    </xf>
    <xf numFmtId="9" fontId="9" fillId="2" borderId="20" xfId="0" applyNumberFormat="1" applyFont="1" applyFill="1" applyBorder="1" applyAlignment="1">
      <alignment horizontal="center"/>
    </xf>
    <xf numFmtId="9" fontId="9" fillId="2" borderId="24" xfId="0" applyNumberFormat="1" applyFont="1" applyFill="1" applyBorder="1" applyAlignment="1">
      <alignment horizontal="center"/>
    </xf>
    <xf numFmtId="9" fontId="9" fillId="2" borderId="25" xfId="0" applyNumberFormat="1" applyFont="1" applyFill="1" applyBorder="1" applyAlignment="1">
      <alignment horizontal="center"/>
    </xf>
    <xf numFmtId="167" fontId="9" fillId="2" borderId="44" xfId="0" applyNumberFormat="1" applyFont="1" applyFill="1" applyBorder="1" applyAlignment="1">
      <alignment horizontal="center"/>
    </xf>
    <xf numFmtId="167" fontId="9" fillId="2" borderId="56" xfId="0" applyNumberFormat="1" applyFont="1" applyFill="1" applyBorder="1" applyAlignment="1">
      <alignment horizontal="center"/>
    </xf>
    <xf numFmtId="167" fontId="9" fillId="2" borderId="52" xfId="0" applyNumberFormat="1" applyFont="1" applyFill="1" applyBorder="1" applyAlignment="1">
      <alignment horizontal="center"/>
    </xf>
    <xf numFmtId="0" fontId="0" fillId="2" borderId="27" xfId="0" applyFill="1" applyBorder="1" applyAlignment="1">
      <alignment horizontal="center" readingOrder="2"/>
    </xf>
    <xf numFmtId="0" fontId="0" fillId="2" borderId="114" xfId="0" applyFill="1" applyBorder="1" applyAlignment="1">
      <alignment horizontal="center" readingOrder="2"/>
    </xf>
    <xf numFmtId="0" fontId="0" fillId="2" borderId="17" xfId="0" applyFill="1" applyBorder="1" applyAlignment="1">
      <alignment horizontal="center" readingOrder="2"/>
    </xf>
    <xf numFmtId="0" fontId="11" fillId="2" borderId="23" xfId="0" applyFont="1" applyFill="1" applyBorder="1" applyAlignment="1">
      <alignment horizontal="center"/>
    </xf>
    <xf numFmtId="0" fontId="11" fillId="2" borderId="24" xfId="0" applyFont="1" applyFill="1" applyBorder="1" applyAlignment="1">
      <alignment horizontal="center"/>
    </xf>
    <xf numFmtId="167" fontId="9" fillId="2" borderId="14" xfId="0" applyNumberFormat="1" applyFont="1" applyFill="1" applyBorder="1" applyAlignment="1">
      <alignment horizontal="center"/>
    </xf>
    <xf numFmtId="167" fontId="9" fillId="2" borderId="20" xfId="0" applyNumberFormat="1" applyFont="1" applyFill="1" applyBorder="1" applyAlignment="1">
      <alignment horizontal="center"/>
    </xf>
    <xf numFmtId="167" fontId="9" fillId="2" borderId="24" xfId="0" applyNumberFormat="1" applyFont="1" applyFill="1" applyBorder="1" applyAlignment="1">
      <alignment horizontal="center"/>
    </xf>
    <xf numFmtId="167" fontId="9" fillId="2" borderId="25" xfId="0" applyNumberFormat="1" applyFont="1" applyFill="1" applyBorder="1" applyAlignment="1">
      <alignment horizontal="center"/>
    </xf>
    <xf numFmtId="167" fontId="9" fillId="2" borderId="23" xfId="0" applyNumberFormat="1" applyFont="1" applyFill="1" applyBorder="1" applyAlignment="1">
      <alignment horizontal="center"/>
    </xf>
    <xf numFmtId="16" fontId="9" fillId="2" borderId="44" xfId="0" applyNumberFormat="1" applyFont="1" applyFill="1" applyBorder="1" applyAlignment="1">
      <alignment horizontal="center"/>
    </xf>
    <xf numFmtId="16" fontId="9" fillId="2" borderId="56" xfId="0" applyNumberFormat="1" applyFont="1" applyFill="1" applyBorder="1" applyAlignment="1">
      <alignment horizontal="center"/>
    </xf>
    <xf numFmtId="16" fontId="9" fillId="2" borderId="52" xfId="0" applyNumberFormat="1" applyFont="1" applyFill="1" applyBorder="1" applyAlignment="1">
      <alignment horizontal="center"/>
    </xf>
    <xf numFmtId="0" fontId="0" fillId="2" borderId="4" xfId="0" applyFill="1" applyBorder="1" applyAlignment="1">
      <alignment horizontal="center" wrapText="1" readingOrder="2"/>
    </xf>
    <xf numFmtId="0" fontId="0" fillId="2" borderId="8" xfId="0" applyFill="1" applyBorder="1" applyAlignment="1">
      <alignment horizontal="center" wrapText="1" readingOrder="2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2" borderId="2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wrapText="1" readingOrder="2"/>
    </xf>
  </cellXfs>
  <cellStyles count="5">
    <cellStyle name="Comma" xfId="1" builtinId="3"/>
    <cellStyle name="Currency" xfId="4" builtinId="4"/>
    <cellStyle name="Normal" xfId="0" builtinId="0"/>
    <cellStyle name="Normal 2" xfId="3" xr:uid="{00000000-0005-0000-0000-000003000000}"/>
    <cellStyle name="Percent" xfId="2" builtinId="5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5050"/>
      <color rgb="FF9966FF"/>
      <color rgb="FFCCCC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he-IL"/>
              <a:t>עלות הפחתת פליטות גזי חממה </a:t>
            </a:r>
          </a:p>
        </c:rich>
      </c:tx>
      <c:layout>
        <c:manualLayout>
          <c:xMode val="edge"/>
          <c:yMode val="edge"/>
          <c:x val="0.38396206890922485"/>
          <c:y val="2.82332996883146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9.5379140213922214E-2"/>
          <c:y val="0.17602267518876791"/>
          <c:w val="0.86298870436042552"/>
          <c:h val="0.67856542887709725"/>
        </c:manualLayout>
      </c:layout>
      <c:scatterChart>
        <c:scatterStyle val="lineMarker"/>
        <c:varyColors val="0"/>
        <c:ser>
          <c:idx val="1"/>
          <c:order val="0"/>
          <c:tx>
            <c:strRef>
              <c:f>סיכום!$L$30:$M$30</c:f>
              <c:strCache>
                <c:ptCount val="2"/>
                <c:pt idx="0">
                  <c:v>תרחיש מרכזי</c:v>
                </c:pt>
              </c:strCache>
            </c:strRef>
          </c:tx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38100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7.5824186895674939E-2"/>
                  <c:y val="-0.14405930117682841"/>
                </c:manualLayout>
              </c:layout>
              <c:tx>
                <c:rich>
                  <a:bodyPr/>
                  <a:lstStyle/>
                  <a:p>
                    <a:fld id="{B4D97DA0-A86B-40D6-B9D0-4A46C05FB9E9}" type="CELLRANGE">
                      <a:rPr lang="he-IL"/>
                      <a:pPr/>
                      <a:t>[CELLRANGE]</a:t>
                    </a:fld>
                    <a:endParaRPr lang="he-IL"/>
                  </a:p>
                  <a:p>
                    <a:fld id="{C7CC30D8-B05C-4EB7-BE04-88A33C52E3E0}" type="YVALUE">
                      <a:rPr lang="he-IL"/>
                      <a:pPr/>
                      <a:t>[Y 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1102720752430671"/>
                      <c:h val="0.19668620662397104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4F43-BE4F-A775-84971B68D61E}"/>
                </c:ext>
              </c:extLst>
            </c:dLbl>
            <c:dLbl>
              <c:idx val="1"/>
              <c:layout>
                <c:manualLayout>
                  <c:x val="-6.3186822413062463E-2"/>
                  <c:y val="-0.14180872630365143"/>
                </c:manualLayout>
              </c:layout>
              <c:tx>
                <c:rich>
                  <a:bodyPr/>
                  <a:lstStyle/>
                  <a:p>
                    <a:fld id="{146F775D-C61D-4EB6-A07F-27165AC391C3}" type="CELLRANGE">
                      <a:rPr lang="he-IL"/>
                      <a:pPr/>
                      <a:t>[CELLRANGE]</a:t>
                    </a:fld>
                    <a:endParaRPr lang="he-IL"/>
                  </a:p>
                  <a:p>
                    <a:fld id="{22F2089B-6269-4E3D-AE3F-290181BA246A}" type="YVALUE">
                      <a:rPr lang="he-IL"/>
                      <a:pPr/>
                      <a:t>[Y 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9.6431051546889288E-2"/>
                      <c:h val="0.17417691312157108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4F43-BE4F-A775-84971B68D61E}"/>
                </c:ext>
              </c:extLst>
            </c:dLbl>
            <c:dLbl>
              <c:idx val="2"/>
              <c:layout>
                <c:manualLayout>
                  <c:x val="-7.1085175214695262E-2"/>
                  <c:y val="-0.1326745879473088"/>
                </c:manualLayout>
              </c:layout>
              <c:tx>
                <c:rich>
                  <a:bodyPr/>
                  <a:lstStyle/>
                  <a:p>
                    <a:fld id="{4F0AF6D2-AF2E-4081-87F8-C78C86DC25B4}" type="CELLRANGE">
                      <a:rPr lang="he-IL"/>
                      <a:pPr/>
                      <a:t>[CELLRANGE]</a:t>
                    </a:fld>
                    <a:endParaRPr lang="he-IL" baseline="0"/>
                  </a:p>
                  <a:p>
                    <a:fld id="{E16CB7D9-300D-47A8-AC85-78313B3EF776}" type="YVALUE">
                      <a:rPr lang="he-IL"/>
                      <a:pPr/>
                      <a:t>[Y 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4F43-BE4F-A775-84971B68D61E}"/>
                </c:ext>
              </c:extLst>
            </c:dLbl>
            <c:dLbl>
              <c:idx val="3"/>
              <c:layout>
                <c:manualLayout>
                  <c:x val="-6.9505504654368819E-2"/>
                  <c:y val="-5.4022304405760051E-2"/>
                </c:manualLayout>
              </c:layout>
              <c:tx>
                <c:rich>
                  <a:bodyPr/>
                  <a:lstStyle/>
                  <a:p>
                    <a:fld id="{1691E4E7-48C5-4A6D-B878-2EDD1E9504D5}" type="CELLRANGE">
                      <a:rPr lang="he-IL"/>
                      <a:pPr/>
                      <a:t>[CELLRANGE]</a:t>
                    </a:fld>
                    <a:endParaRPr lang="he-IL" baseline="0"/>
                  </a:p>
                  <a:p>
                    <a:fld id="{563A4A5E-7B4A-421D-8636-7891CA6DEE64}" type="YVALUE">
                      <a:rPr lang="he-IL"/>
                      <a:pPr/>
                      <a:t>[Y 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4F43-BE4F-A775-84971B68D61E}"/>
                </c:ext>
              </c:extLst>
            </c:dLbl>
            <c:dLbl>
              <c:idx val="4"/>
              <c:layout>
                <c:manualLayout>
                  <c:x val="7.8983528016326916E-3"/>
                  <c:y val="5.774863680629324E-2"/>
                </c:manualLayout>
              </c:layout>
              <c:tx>
                <c:rich>
                  <a:bodyPr/>
                  <a:lstStyle/>
                  <a:p>
                    <a:fld id="{1473ECA7-6FFA-404C-9D4C-2EE79E4A2BC2}" type="CELLRANGE">
                      <a:rPr lang="he-IL"/>
                      <a:pPr/>
                      <a:t>[CELLRANGE]</a:t>
                    </a:fld>
                    <a:endParaRPr lang="he-IL" baseline="0"/>
                  </a:p>
                  <a:p>
                    <a:fld id="{FF4A1495-2DFA-4381-93AC-E2CEEDE5DF22}" type="YVALUE">
                      <a:rPr lang="he-IL"/>
                      <a:pPr/>
                      <a:t>[Y 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4F43-BE4F-A775-84971B68D61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977FE6F-1630-43DB-B43D-593870636BA1}" type="CELLRANGE">
                      <a:rPr lang="he-IL"/>
                      <a:pPr/>
                      <a:t>[CELLRANGE]</a:t>
                    </a:fld>
                    <a:endParaRPr lang="he-IL" baseline="0"/>
                  </a:p>
                  <a:p>
                    <a:fld id="{AE005283-29B2-4F4D-93EE-13FDB2B4817F}" type="YVALUE">
                      <a:rPr lang="he-IL"/>
                      <a:pPr/>
                      <a:t>[Y VALUE]</a:t>
                    </a:fld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4F43-BE4F-A775-84971B68D61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סיכום!$N$29:$S$29</c:f>
              <c:numCache>
                <c:formatCode>_ * #,##0_ ;_ * \-#,##0_ ;_ * "-"??_ ;_ @_ </c:formatCode>
                <c:ptCount val="6"/>
                <c:pt idx="0">
                  <c:v>407.26013143968441</c:v>
                </c:pt>
                <c:pt idx="1">
                  <c:v>381.12378564811229</c:v>
                </c:pt>
                <c:pt idx="2">
                  <c:v>354.56017388433003</c:v>
                </c:pt>
                <c:pt idx="3">
                  <c:v>339.10875705514616</c:v>
                </c:pt>
                <c:pt idx="4">
                  <c:v>327.42606748103844</c:v>
                </c:pt>
                <c:pt idx="5">
                  <c:v>325.431953940818</c:v>
                </c:pt>
              </c:numCache>
            </c:numRef>
          </c:xVal>
          <c:yVal>
            <c:numRef>
              <c:f>סיכום!$N$30:$S$30</c:f>
              <c:numCache>
                <c:formatCode>_ * #,##0_ ;_ * \-#,##0_ ;_ * "-"??_ ;_ @_ </c:formatCode>
                <c:ptCount val="6"/>
                <c:pt idx="0">
                  <c:v>0</c:v>
                </c:pt>
                <c:pt idx="1">
                  <c:v>0</c:v>
                </c:pt>
                <c:pt idx="2">
                  <c:v>605.10159087787497</c:v>
                </c:pt>
                <c:pt idx="3">
                  <c:v>1261.0681696176266</c:v>
                </c:pt>
                <c:pt idx="4">
                  <c:v>4217.8551757956066</c:v>
                </c:pt>
                <c:pt idx="5">
                  <c:v>5218.0711127689628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סיכום!$D$5:$I$5</c15:f>
                <c15:dlblRangeCache>
                  <c:ptCount val="6"/>
                  <c:pt idx="0">
                    <c:v>סגירת 1-4 ללא מדיניות הפחתה</c:v>
                  </c:pt>
                  <c:pt idx="1">
                    <c:v>סגירת 1-4 עם מדיניות הפחתה</c:v>
                  </c:pt>
                  <c:pt idx="2">
                    <c:v>25% מתחדשות</c:v>
                  </c:pt>
                  <c:pt idx="3">
                    <c:v>הסבה לגז</c:v>
                  </c:pt>
                  <c:pt idx="4">
                    <c:v>שימור והקמה</c:v>
                  </c:pt>
                  <c:pt idx="5">
                    <c:v>גריטה והקמה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7-4F43-BE4F-A775-84971B68D61E}"/>
            </c:ext>
          </c:extLst>
        </c:ser>
        <c:ser>
          <c:idx val="2"/>
          <c:order val="1"/>
          <c:tx>
            <c:strRef>
              <c:f>סיכום!$L$31:$M$31</c:f>
              <c:strCache>
                <c:ptCount val="2"/>
                <c:pt idx="0">
                  <c:v>פחם זול וגז יקר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9"/>
            <c:spPr>
              <a:solidFill>
                <a:srgbClr val="9966FF"/>
              </a:solidFill>
              <a:ln w="63500">
                <a:noFill/>
              </a:ln>
              <a:effectLst/>
            </c:spPr>
          </c:marker>
          <c:xVal>
            <c:numRef>
              <c:f>סיכום!$N$29:$S$29</c:f>
              <c:numCache>
                <c:formatCode>_ * #,##0_ ;_ * \-#,##0_ ;_ * "-"??_ ;_ @_ </c:formatCode>
                <c:ptCount val="6"/>
                <c:pt idx="0">
                  <c:v>407.26013143968441</c:v>
                </c:pt>
                <c:pt idx="1">
                  <c:v>381.12378564811229</c:v>
                </c:pt>
                <c:pt idx="2">
                  <c:v>354.56017388433003</c:v>
                </c:pt>
                <c:pt idx="3">
                  <c:v>339.10875705514616</c:v>
                </c:pt>
                <c:pt idx="4">
                  <c:v>327.42606748103844</c:v>
                </c:pt>
                <c:pt idx="5">
                  <c:v>325.431953940818</c:v>
                </c:pt>
              </c:numCache>
            </c:numRef>
          </c:xVal>
          <c:yVal>
            <c:numRef>
              <c:f>סיכום!$N$31:$S$31</c:f>
              <c:numCache>
                <c:formatCode>_ * #,##0_ ;_ * \-#,##0_ ;_ * "-"??_ ;_ @_ </c:formatCode>
                <c:ptCount val="6"/>
                <c:pt idx="0">
                  <c:v>-2821.2620408117364</c:v>
                </c:pt>
                <c:pt idx="1">
                  <c:v>0</c:v>
                </c:pt>
                <c:pt idx="2">
                  <c:v>-216.25933572328768</c:v>
                </c:pt>
                <c:pt idx="3">
                  <c:v>7180.6465262227957</c:v>
                </c:pt>
                <c:pt idx="4">
                  <c:v>9845.6726051632922</c:v>
                </c:pt>
                <c:pt idx="5">
                  <c:v>11063.529899280844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F43-BE4F-A775-84971B68D61E}"/>
            </c:ext>
          </c:extLst>
        </c:ser>
        <c:ser>
          <c:idx val="3"/>
          <c:order val="2"/>
          <c:tx>
            <c:strRef>
              <c:f>סיכום!$L$32:$M$32</c:f>
              <c:strCache>
                <c:ptCount val="2"/>
                <c:pt idx="0">
                  <c:v>פחם יקר וגז זול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63500">
                <a:solidFill>
                  <a:schemeClr val="accent4"/>
                </a:solidFill>
              </a:ln>
              <a:effectLst/>
            </c:spPr>
          </c:marker>
          <c:xVal>
            <c:numRef>
              <c:f>סיכום!$N$29:$S$29</c:f>
              <c:numCache>
                <c:formatCode>_ * #,##0_ ;_ * \-#,##0_ ;_ * "-"??_ ;_ @_ </c:formatCode>
                <c:ptCount val="6"/>
                <c:pt idx="0">
                  <c:v>407.26013143968441</c:v>
                </c:pt>
                <c:pt idx="1">
                  <c:v>381.12378564811229</c:v>
                </c:pt>
                <c:pt idx="2">
                  <c:v>354.56017388433003</c:v>
                </c:pt>
                <c:pt idx="3">
                  <c:v>339.10875705514616</c:v>
                </c:pt>
                <c:pt idx="4">
                  <c:v>327.42606748103844</c:v>
                </c:pt>
                <c:pt idx="5">
                  <c:v>325.431953940818</c:v>
                </c:pt>
              </c:numCache>
            </c:numRef>
          </c:xVal>
          <c:yVal>
            <c:numRef>
              <c:f>סיכום!$N$32:$S$32</c:f>
              <c:numCache>
                <c:formatCode>_ * #,##0_ ;_ * \-#,##0_ ;_ * "-"??_ ;_ @_ 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2521.6104196138435</c:v>
                </c:pt>
                <c:pt idx="3">
                  <c:v>-6629.20353842229</c:v>
                </c:pt>
                <c:pt idx="4">
                  <c:v>-2900.8293986877338</c:v>
                </c:pt>
                <c:pt idx="5">
                  <c:v>-2182.3720250245192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F43-BE4F-A775-84971B68D6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426533936"/>
        <c:axId val="-1426549168"/>
      </c:scatterChart>
      <c:valAx>
        <c:axId val="-1426533936"/>
        <c:scaling>
          <c:orientation val="maxMin"/>
          <c:min val="320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he-IL"/>
                  <a:t>פליטת גזי חממה בממוצע לתקופה [גר׳/קוט״ש]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-1426549168"/>
        <c:crossesAt val="0"/>
        <c:crossBetween val="midCat"/>
      </c:valAx>
      <c:valAx>
        <c:axId val="-1426549168"/>
        <c:scaling>
          <c:orientation val="minMax"/>
          <c:max val="15000"/>
          <c:min val="-7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he-IL"/>
                  <a:t>עלות עודפת בניכוי תועלות מהפחתת מזהמים מקומיים [מש"ח]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-1426533936"/>
        <c:crosses val="max"/>
        <c:crossBetween val="midCat"/>
        <c:majorUnit val="5000"/>
      </c:valAx>
    </c:plotArea>
    <c:legend>
      <c:legendPos val="b"/>
      <c:layout>
        <c:manualLayout>
          <c:xMode val="edge"/>
          <c:yMode val="edge"/>
          <c:x val="0.26154729850835567"/>
          <c:y val="9.8880267573736247E-2"/>
          <c:w val="0.42951528617349188"/>
          <c:h val="5.4139725933962941E-2"/>
        </c:manualLayout>
      </c:layout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 sz="14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 פליטות - גזי חממה'!$V$5</c:f>
              <c:strCache>
                <c:ptCount val="1"/>
                <c:pt idx="0">
                  <c:v>פליטות לקוט"ש  לתקופה(גר'/קוטש)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1-D032-6649-BC31-DA2540448B2F}"/>
              </c:ext>
            </c:extLst>
          </c:dPt>
          <c:dPt>
            <c:idx val="1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3-D032-6649-BC31-DA2540448B2F}"/>
              </c:ext>
            </c:extLst>
          </c:dPt>
          <c:dPt>
            <c:idx val="3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5-D032-6649-BC31-DA2540448B2F}"/>
              </c:ext>
            </c:extLst>
          </c:dPt>
          <c:dPt>
            <c:idx val="4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7-D032-6649-BC31-DA2540448B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9-D032-6649-BC31-DA2540448B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B-D032-6649-BC31-DA2540448B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D-D032-6649-BC31-DA2540448B2F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F-9798-8042-8EA1-7224BDB085FE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 פליטות - גזי חממה'!$W$4:$AE$4</c:f>
              <c:strCache>
                <c:ptCount val="9"/>
                <c:pt idx="0">
                  <c:v>2015</c:v>
                </c:pt>
                <c:pt idx="1">
                  <c:v>2018</c:v>
                </c:pt>
                <c:pt idx="3">
                  <c:v>סגירת 1-4 ללא מדיניות הפחתה</c:v>
                </c:pt>
                <c:pt idx="4">
                  <c:v>סגירת 1-4 עם מדיניות הפחתה</c:v>
                </c:pt>
                <c:pt idx="5">
                  <c:v>25% מתחדשות </c:v>
                </c:pt>
                <c:pt idx="6">
                  <c:v>הסבה</c:v>
                </c:pt>
                <c:pt idx="7">
                  <c:v>שימור</c:v>
                </c:pt>
                <c:pt idx="8">
                  <c:v>גריטה</c:v>
                </c:pt>
              </c:strCache>
            </c:strRef>
          </c:cat>
          <c:val>
            <c:numRef>
              <c:f>' פליטות - גזי חממה'!$W$5:$AE$5</c:f>
              <c:numCache>
                <c:formatCode>General</c:formatCode>
                <c:ptCount val="9"/>
                <c:pt idx="0">
                  <c:v>634</c:v>
                </c:pt>
                <c:pt idx="1">
                  <c:v>526</c:v>
                </c:pt>
                <c:pt idx="3" formatCode="_ * #,##0_ ;_ * \-#,##0_ ;_ * &quot;-&quot;??_ ;_ @_ ">
                  <c:v>407.26013143968441</c:v>
                </c:pt>
                <c:pt idx="4" formatCode="_ * #,##0_ ;_ * \-#,##0_ ;_ * &quot;-&quot;??_ ;_ @_ ">
                  <c:v>381.12378564811229</c:v>
                </c:pt>
                <c:pt idx="5" formatCode="_ * #,##0_ ;_ * \-#,##0_ ;_ * &quot;-&quot;??_ ;_ @_ ">
                  <c:v>354.56017388433003</c:v>
                </c:pt>
                <c:pt idx="6" formatCode="_ * #,##0_ ;_ * \-#,##0_ ;_ * &quot;-&quot;??_ ;_ @_ ">
                  <c:v>339.10875705514616</c:v>
                </c:pt>
                <c:pt idx="7" formatCode="_ * #,##0_ ;_ * \-#,##0_ ;_ * &quot;-&quot;??_ ;_ @_ ">
                  <c:v>327.42606748103844</c:v>
                </c:pt>
                <c:pt idx="8" formatCode="_ * #,##0_ ;_ * \-#,##0_ ;_ * &quot;-&quot;??_ ;_ @_ ">
                  <c:v>325.431953940818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032-6649-BC31-DA2540448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426561136"/>
        <c:axId val="-1426560592"/>
      </c:barChart>
      <c:catAx>
        <c:axId val="-1426561136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crossAx val="-1426560592"/>
        <c:crosses val="autoZero"/>
        <c:auto val="1"/>
        <c:lblAlgn val="ctr"/>
        <c:lblOffset val="100"/>
        <c:noMultiLvlLbl val="0"/>
      </c:catAx>
      <c:valAx>
        <c:axId val="-1426560592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he-IL" sz="1100" b="1" i="0" baseline="0">
                    <a:effectLst/>
                  </a:rPr>
                  <a:t>פליטות גזי חממה בממוצע לתקופה (גר'/קוטש)</a:t>
                </a:r>
                <a:endParaRPr lang="he-IL" sz="1100">
                  <a:effectLst/>
                </a:endParaRP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1426561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 פליטות - גזי חממה'!$V$6</c:f>
              <c:strCache>
                <c:ptCount val="1"/>
                <c:pt idx="0">
                  <c:v>פליטות לנפש 2030</c:v>
                </c:pt>
              </c:strCache>
            </c:strRef>
          </c:tx>
          <c:spPr>
            <a:solidFill>
              <a:schemeClr val="accent2"/>
            </a:solidFill>
            <a:ln w="38100"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7030A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1-993E-C046-8D09-8A1CD3C83FCA}"/>
              </c:ext>
            </c:extLst>
          </c:dPt>
          <c:dPt>
            <c:idx val="1"/>
            <c:invertIfNegative val="0"/>
            <c:bubble3D val="0"/>
            <c:spPr>
              <a:solidFill>
                <a:srgbClr val="7030A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3-993E-C046-8D09-8A1CD3C83FCA}"/>
              </c:ext>
            </c:extLst>
          </c:dPt>
          <c:dPt>
            <c:idx val="3"/>
            <c:invertIfNegative val="0"/>
            <c:bubble3D val="0"/>
            <c:spPr>
              <a:solidFill>
                <a:srgbClr val="7030A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5-993E-C046-8D09-8A1CD3C83FCA}"/>
              </c:ext>
            </c:extLst>
          </c:dPt>
          <c:dPt>
            <c:idx val="4"/>
            <c:invertIfNegative val="0"/>
            <c:bubble3D val="0"/>
            <c:spPr>
              <a:solidFill>
                <a:srgbClr val="7030A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7-993E-C046-8D09-8A1CD3C83FCA}"/>
              </c:ext>
            </c:extLst>
          </c:dPt>
          <c:dPt>
            <c:idx val="5"/>
            <c:invertIfNegative val="0"/>
            <c:bubble3D val="0"/>
            <c:spPr>
              <a:solidFill>
                <a:srgbClr val="FFC00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9-993E-C046-8D09-8A1CD3C83FCA}"/>
              </c:ext>
            </c:extLst>
          </c:dPt>
          <c:dPt>
            <c:idx val="6"/>
            <c:invertIfNegative val="0"/>
            <c:bubble3D val="0"/>
            <c:spPr>
              <a:solidFill>
                <a:srgbClr val="FFC00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B-993E-C046-8D09-8A1CD3C83FCA}"/>
              </c:ext>
            </c:extLst>
          </c:dPt>
          <c:dPt>
            <c:idx val="7"/>
            <c:invertIfNegative val="0"/>
            <c:bubble3D val="0"/>
            <c:spPr>
              <a:solidFill>
                <a:srgbClr val="FFC000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D-993E-C046-8D09-8A1CD3C83FCA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/>
              </a:solidFill>
              <a:ln w="38100">
                <a:noFill/>
              </a:ln>
            </c:spPr>
            <c:extLst>
              <c:ext xmlns:c16="http://schemas.microsoft.com/office/drawing/2014/chart" uri="{C3380CC4-5D6E-409C-BE32-E72D297353CC}">
                <c16:uniqueId val="{0000000E-2119-4544-B3A7-ED8A78D9610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 פליטות - גזי חממה'!$W$4:$AE$4</c:f>
              <c:strCache>
                <c:ptCount val="9"/>
                <c:pt idx="0">
                  <c:v>2015</c:v>
                </c:pt>
                <c:pt idx="1">
                  <c:v>2018</c:v>
                </c:pt>
                <c:pt idx="3">
                  <c:v>סגירת 1-4 ללא מדיניות הפחתה</c:v>
                </c:pt>
                <c:pt idx="4">
                  <c:v>סגירת 1-4 עם מדיניות הפחתה</c:v>
                </c:pt>
                <c:pt idx="5">
                  <c:v>25% מתחדשות </c:v>
                </c:pt>
                <c:pt idx="6">
                  <c:v>הסבה</c:v>
                </c:pt>
                <c:pt idx="7">
                  <c:v>שימור</c:v>
                </c:pt>
                <c:pt idx="8">
                  <c:v>גריטה</c:v>
                </c:pt>
              </c:strCache>
            </c:strRef>
          </c:cat>
          <c:val>
            <c:numRef>
              <c:f>' פליטות - גזי חממה'!$W$6:$AE$6</c:f>
              <c:numCache>
                <c:formatCode>General</c:formatCode>
                <c:ptCount val="9"/>
                <c:pt idx="0">
                  <c:v>4.95</c:v>
                </c:pt>
                <c:pt idx="1">
                  <c:v>4.21</c:v>
                </c:pt>
                <c:pt idx="3" formatCode="_ * #,##0.00_ ;_ * \-#,##0.00_ ;_ * &quot;-&quot;??_ ;_ @_ ">
                  <c:v>3.6668407801343252</c:v>
                </c:pt>
                <c:pt idx="4" formatCode="_ * #,##0.00_ ;_ * \-#,##0.00_ ;_ * &quot;-&quot;??_ ;_ @_ ">
                  <c:v>3.3936206178232533</c:v>
                </c:pt>
                <c:pt idx="5" formatCode="_ * #,##0.00_ ;_ * \-#,##0.00_ ;_ * &quot;-&quot;??_ ;_ @_ ">
                  <c:v>3.1296049050782613</c:v>
                </c:pt>
                <c:pt idx="6" formatCode="_ * #,##0.00_ ;_ * \-#,##0.00_ ;_ * &quot;-&quot;??_ ;_ @_ ">
                  <c:v>2.8725277505758413</c:v>
                </c:pt>
                <c:pt idx="7" formatCode="_ * #,##0.00_ ;_ * \-#,##0.00_ ;_ * &quot;-&quot;??_ ;_ @_ ">
                  <c:v>2.7214988837667775</c:v>
                </c:pt>
                <c:pt idx="8" formatCode="_ * #,##0.00_ ;_ * \-#,##0.00_ ;_ * &quot;-&quot;??_ ;_ @_ ">
                  <c:v>2.6946350999829933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993E-C046-8D09-8A1CD3C83F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426531760"/>
        <c:axId val="-1426545360"/>
      </c:barChart>
      <c:lineChart>
        <c:grouping val="standard"/>
        <c:varyColors val="0"/>
        <c:ser>
          <c:idx val="0"/>
          <c:order val="1"/>
          <c:tx>
            <c:strRef>
              <c:f>' פליטות - גזי חממה'!$V$7</c:f>
              <c:strCache>
                <c:ptCount val="1"/>
                <c:pt idx="0">
                  <c:v>יעד פליטות לנפש 2030</c:v>
                </c:pt>
              </c:strCache>
            </c:strRef>
          </c:tx>
          <c:spPr>
            <a:ln w="28575"/>
          </c:spPr>
          <c:marker>
            <c:symbol val="none"/>
          </c:marker>
          <c:cat>
            <c:strRef>
              <c:f>' פליטות - גזי חממה'!$W$4:$AE$4</c:f>
              <c:strCache>
                <c:ptCount val="9"/>
                <c:pt idx="0">
                  <c:v>2015</c:v>
                </c:pt>
                <c:pt idx="1">
                  <c:v>2018</c:v>
                </c:pt>
                <c:pt idx="3">
                  <c:v>סגירת 1-4 ללא מדיניות הפחתה</c:v>
                </c:pt>
                <c:pt idx="4">
                  <c:v>סגירת 1-4 עם מדיניות הפחתה</c:v>
                </c:pt>
                <c:pt idx="5">
                  <c:v>25% מתחדשות </c:v>
                </c:pt>
                <c:pt idx="6">
                  <c:v>הסבה</c:v>
                </c:pt>
                <c:pt idx="7">
                  <c:v>שימור</c:v>
                </c:pt>
                <c:pt idx="8">
                  <c:v>גריטה</c:v>
                </c:pt>
              </c:strCache>
            </c:strRef>
          </c:cat>
          <c:val>
            <c:numRef>
              <c:f>' פליטות - גזי חממה'!$W$7:$AE$7</c:f>
              <c:numCache>
                <c:formatCode>_ * #,##0.00_ ;_ * \-#,##0.00_ ;_ * "-"??_ ;_ @_ </c:formatCode>
                <c:ptCount val="9"/>
                <c:pt idx="0">
                  <c:v>3.85</c:v>
                </c:pt>
                <c:pt idx="1">
                  <c:v>3.85</c:v>
                </c:pt>
                <c:pt idx="2">
                  <c:v>3.85</c:v>
                </c:pt>
                <c:pt idx="3">
                  <c:v>3.85</c:v>
                </c:pt>
                <c:pt idx="4">
                  <c:v>3.85</c:v>
                </c:pt>
                <c:pt idx="5">
                  <c:v>3.85</c:v>
                </c:pt>
                <c:pt idx="6">
                  <c:v>3.85</c:v>
                </c:pt>
                <c:pt idx="7">
                  <c:v>3.85</c:v>
                </c:pt>
                <c:pt idx="8">
                  <c:v>3.85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993E-C046-8D09-8A1CD3C83F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426531760"/>
        <c:axId val="-1426545360"/>
      </c:lineChart>
      <c:catAx>
        <c:axId val="-1426531760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crossAx val="-1426545360"/>
        <c:crosses val="autoZero"/>
        <c:auto val="1"/>
        <c:lblAlgn val="ctr"/>
        <c:lblOffset val="100"/>
        <c:noMultiLvlLbl val="0"/>
      </c:catAx>
      <c:valAx>
        <c:axId val="-1426545360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e-IL"/>
                  <a:t>טון פליטות גזי חממה לנפש, שנת 2030 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1426531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'פליטות - SO2'!$U$2:$AC$2</c:f>
              <c:strCache>
                <c:ptCount val="9"/>
                <c:pt idx="0">
                  <c:v>טבלה מסכמת פליטות SOX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1-D032-6649-BC31-DA2540448B2F}"/>
              </c:ext>
            </c:extLst>
          </c:dPt>
          <c:dPt>
            <c:idx val="1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3-D032-6649-BC31-DA2540448B2F}"/>
              </c:ext>
            </c:extLst>
          </c:dPt>
          <c:dPt>
            <c:idx val="3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5-D032-6649-BC31-DA2540448B2F}"/>
              </c:ext>
            </c:extLst>
          </c:dPt>
          <c:dPt>
            <c:idx val="4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7-D032-6649-BC31-DA2540448B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9-D032-6649-BC31-DA2540448B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B-D032-6649-BC31-DA2540448B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D-D032-6649-BC31-DA2540448B2F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E-B95F-AA4C-82D7-DA9DC9D27633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'פליטות - SO2'!$V$3:$AD$3</c:f>
              <c:strCache>
                <c:ptCount val="9"/>
                <c:pt idx="0">
                  <c:v>2015</c:v>
                </c:pt>
                <c:pt idx="1">
                  <c:v>2018</c:v>
                </c:pt>
                <c:pt idx="3">
                  <c:v>סגירת 1-4 ללא מדיניות הפחתה</c:v>
                </c:pt>
                <c:pt idx="4">
                  <c:v>סגירת 1-4 עם מדיניות הפחתה</c:v>
                </c:pt>
                <c:pt idx="5">
                  <c:v>25% מתחדשות </c:v>
                </c:pt>
                <c:pt idx="6">
                  <c:v>הסבה</c:v>
                </c:pt>
                <c:pt idx="7">
                  <c:v>שימור</c:v>
                </c:pt>
                <c:pt idx="8">
                  <c:v>גריטה</c:v>
                </c:pt>
              </c:strCache>
            </c:strRef>
          </c:cat>
          <c:val>
            <c:numRef>
              <c:f>'פליטות - SO2'!$V$4:$AD$4</c:f>
              <c:numCache>
                <c:formatCode>_ * #,##0.0_ ;_ * \-#,##0.0_ ;_ * "-"??_ ;_ @_ </c:formatCode>
                <c:ptCount val="9"/>
                <c:pt idx="0">
                  <c:v>68</c:v>
                </c:pt>
                <c:pt idx="1">
                  <c:v>30</c:v>
                </c:pt>
                <c:pt idx="3">
                  <c:v>5.9444803103383723</c:v>
                </c:pt>
                <c:pt idx="4">
                  <c:v>4.3245824241336717</c:v>
                </c:pt>
                <c:pt idx="5">
                  <c:v>4.287523756486924</c:v>
                </c:pt>
                <c:pt idx="6">
                  <c:v>1.9537712728351031</c:v>
                </c:pt>
                <c:pt idx="7">
                  <c:v>1.2198895555517177</c:v>
                </c:pt>
                <c:pt idx="8">
                  <c:v>1.0962969028367857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032-6649-BC31-DA2540448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426544816"/>
        <c:axId val="-1426532848"/>
      </c:barChart>
      <c:catAx>
        <c:axId val="-1426544816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crossAx val="-1426532848"/>
        <c:crosses val="autoZero"/>
        <c:auto val="1"/>
        <c:lblAlgn val="ctr"/>
        <c:lblOffset val="100"/>
        <c:noMultiLvlLbl val="0"/>
      </c:catAx>
      <c:valAx>
        <c:axId val="-1426532848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 sz="1000"/>
                </a:pPr>
                <a:r>
                  <a:rPr lang="he-IL" sz="1000" b="1" i="0" baseline="0">
                    <a:effectLst/>
                  </a:rPr>
                  <a:t>אלפי טון </a:t>
                </a:r>
                <a:r>
                  <a:rPr lang="en-US" sz="1000" b="1" i="0" baseline="0">
                    <a:effectLst/>
                  </a:rPr>
                  <a:t>SOX</a:t>
                </a:r>
              </a:p>
              <a:p>
                <a:pPr>
                  <a:defRPr sz="1000"/>
                </a:pPr>
                <a:r>
                  <a:rPr lang="he-IL" sz="1000" b="1" i="0" baseline="0">
                    <a:effectLst/>
                  </a:rPr>
                  <a:t>  בממוצע לשנה</a:t>
                </a:r>
                <a:endParaRPr lang="en-US" sz="1000">
                  <a:effectLst/>
                </a:endParaRPr>
              </a:p>
            </c:rich>
          </c:tx>
          <c:overlay val="0"/>
        </c:title>
        <c:numFmt formatCode="_ * #,##0.0_ ;_ * \-#,##0.0_ ;_ * &quot;-&quot;??_ ;_ @_ " sourceLinked="1"/>
        <c:majorTickMark val="out"/>
        <c:minorTickMark val="none"/>
        <c:tickLblPos val="nextTo"/>
        <c:crossAx val="-1426544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 פליטות - גזי חממה'!$V$5</c:f>
              <c:strCache>
                <c:ptCount val="1"/>
                <c:pt idx="0">
                  <c:v>פליטות לקוט"ש  לתקופה(גר'/קוטש)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1-D032-6649-BC31-DA2540448B2F}"/>
              </c:ext>
            </c:extLst>
          </c:dPt>
          <c:dPt>
            <c:idx val="1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3-D032-6649-BC31-DA2540448B2F}"/>
              </c:ext>
            </c:extLst>
          </c:dPt>
          <c:dPt>
            <c:idx val="3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5-D032-6649-BC31-DA2540448B2F}"/>
              </c:ext>
            </c:extLst>
          </c:dPt>
          <c:dPt>
            <c:idx val="4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7-D032-6649-BC31-DA2540448B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9-D032-6649-BC31-DA2540448B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B-D032-6649-BC31-DA2540448B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D-D032-6649-BC31-DA2540448B2F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E-7A96-BD43-B4F6-D4F83FF88C0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'פליטות - NOX'!$V$4:$AD$4</c:f>
              <c:strCache>
                <c:ptCount val="9"/>
                <c:pt idx="0">
                  <c:v>2015</c:v>
                </c:pt>
                <c:pt idx="1">
                  <c:v>2018</c:v>
                </c:pt>
                <c:pt idx="3">
                  <c:v>סגירת 1-4 ללא מדיניות הפחתה</c:v>
                </c:pt>
                <c:pt idx="4">
                  <c:v>סגירת 1-4 עם מדיניות הפחתה</c:v>
                </c:pt>
                <c:pt idx="5">
                  <c:v>25% מתחדשות </c:v>
                </c:pt>
                <c:pt idx="6">
                  <c:v>הסבה</c:v>
                </c:pt>
                <c:pt idx="7">
                  <c:v>שימור</c:v>
                </c:pt>
                <c:pt idx="8">
                  <c:v>גריטה</c:v>
                </c:pt>
              </c:strCache>
            </c:strRef>
          </c:cat>
          <c:val>
            <c:numRef>
              <c:f>'פליטות - NOX'!$V$5:$AD$5</c:f>
              <c:numCache>
                <c:formatCode>_ * #,##0.0_ ;_ * \-#,##0.0_ ;_ * "-"??_ ;_ @_ </c:formatCode>
                <c:ptCount val="9"/>
                <c:pt idx="0">
                  <c:v>69</c:v>
                </c:pt>
                <c:pt idx="1">
                  <c:v>45</c:v>
                </c:pt>
                <c:pt idx="3">
                  <c:v>4.1561641941618666</c:v>
                </c:pt>
                <c:pt idx="4">
                  <c:v>2.9320884383470709</c:v>
                </c:pt>
                <c:pt idx="5">
                  <c:v>2.9320884383470709</c:v>
                </c:pt>
                <c:pt idx="6">
                  <c:v>0.80751069533478437</c:v>
                </c:pt>
                <c:pt idx="7">
                  <c:v>0.77493152483208838</c:v>
                </c:pt>
                <c:pt idx="8">
                  <c:v>0.69382722232091432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032-6649-BC31-DA2540448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426544272"/>
        <c:axId val="-1426556784"/>
      </c:barChart>
      <c:catAx>
        <c:axId val="-1426544272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crossAx val="-1426556784"/>
        <c:crosses val="autoZero"/>
        <c:auto val="1"/>
        <c:lblAlgn val="ctr"/>
        <c:lblOffset val="100"/>
        <c:noMultiLvlLbl val="0"/>
      </c:catAx>
      <c:valAx>
        <c:axId val="-1426556784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he-IL" sz="1100" b="1" i="0" baseline="0">
                    <a:effectLst/>
                  </a:rPr>
                  <a:t>אלפי טון </a:t>
                </a:r>
                <a:r>
                  <a:rPr lang="en-US" sz="1100" b="1" i="0" baseline="0">
                    <a:effectLst/>
                  </a:rPr>
                  <a:t>NOX</a:t>
                </a:r>
                <a:r>
                  <a:rPr lang="he-IL" sz="1100" b="1" i="0" baseline="0">
                    <a:effectLst/>
                  </a:rPr>
                  <a:t>  בממוצע לשנה</a:t>
                </a:r>
                <a:endParaRPr lang="he-IL" sz="1100">
                  <a:effectLst/>
                </a:endParaRPr>
              </a:p>
            </c:rich>
          </c:tx>
          <c:overlay val="0"/>
        </c:title>
        <c:numFmt formatCode="_ * #,##0.0_ ;_ * \-#,##0.0_ ;_ * &quot;-&quot;??_ ;_ @_ " sourceLinked="1"/>
        <c:majorTickMark val="out"/>
        <c:minorTickMark val="none"/>
        <c:tickLblPos val="nextTo"/>
        <c:crossAx val="-1426544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 פליטות - גזי חממה'!$V$5</c:f>
              <c:strCache>
                <c:ptCount val="1"/>
                <c:pt idx="0">
                  <c:v>פליטות לקוט"ש  לתקופה(גר'/קוטש)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1-29A6-A841-89B1-9B3C2EB09249}"/>
              </c:ext>
            </c:extLst>
          </c:dPt>
          <c:dPt>
            <c:idx val="1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3-29A6-A841-89B1-9B3C2EB09249}"/>
              </c:ext>
            </c:extLst>
          </c:dPt>
          <c:dPt>
            <c:idx val="3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5-29A6-A841-89B1-9B3C2EB09249}"/>
              </c:ext>
            </c:extLst>
          </c:dPt>
          <c:dPt>
            <c:idx val="4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7-29A6-A841-89B1-9B3C2EB0924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9-29A6-A841-89B1-9B3C2EB09249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B-29A6-A841-89B1-9B3C2EB09249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D-29A6-A841-89B1-9B3C2EB09249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F-29A6-A841-89B1-9B3C2EB0924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'פליטות- חלקיקים'!$V$4:$AD$4</c:f>
              <c:strCache>
                <c:ptCount val="9"/>
                <c:pt idx="0">
                  <c:v>2015</c:v>
                </c:pt>
                <c:pt idx="1">
                  <c:v>2017</c:v>
                </c:pt>
                <c:pt idx="3">
                  <c:v>סגירת 1-4 ללא מדיניות הפחתה</c:v>
                </c:pt>
                <c:pt idx="4">
                  <c:v>סגירת 1-4 עם מדיניות הפחתה</c:v>
                </c:pt>
                <c:pt idx="5">
                  <c:v>25% מתחדשות </c:v>
                </c:pt>
                <c:pt idx="6">
                  <c:v>הסבה</c:v>
                </c:pt>
                <c:pt idx="7">
                  <c:v>שימור</c:v>
                </c:pt>
                <c:pt idx="8">
                  <c:v>גריטה</c:v>
                </c:pt>
              </c:strCache>
            </c:strRef>
          </c:cat>
          <c:val>
            <c:numRef>
              <c:f>'פליטות- חלקיקים'!$V$5:$AD$5</c:f>
              <c:numCache>
                <c:formatCode>_ * #,##0.0_ ;_ * \-#,##0.0_ ;_ * "-"??_ ;_ @_ </c:formatCode>
                <c:ptCount val="9"/>
                <c:pt idx="0">
                  <c:v>2.2999999999999998</c:v>
                </c:pt>
                <c:pt idx="1">
                  <c:v>1.9</c:v>
                </c:pt>
                <c:pt idx="3">
                  <c:v>0.35624264521387433</c:v>
                </c:pt>
                <c:pt idx="4">
                  <c:v>0.25132186614403468</c:v>
                </c:pt>
                <c:pt idx="5">
                  <c:v>0.25132186614403468</c:v>
                </c:pt>
                <c:pt idx="6">
                  <c:v>6.9215202457267186E-2</c:v>
                </c:pt>
                <c:pt idx="7">
                  <c:v>6.6422702128464683E-2</c:v>
                </c:pt>
                <c:pt idx="8">
                  <c:v>5.9470904770364069E-2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9A6-A841-89B1-9B3C2EB092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426560048"/>
        <c:axId val="-1426543728"/>
      </c:barChart>
      <c:catAx>
        <c:axId val="-1426560048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crossAx val="-1426543728"/>
        <c:crosses val="autoZero"/>
        <c:auto val="1"/>
        <c:lblAlgn val="ctr"/>
        <c:lblOffset val="100"/>
        <c:noMultiLvlLbl val="0"/>
      </c:catAx>
      <c:valAx>
        <c:axId val="-1426543728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he-IL" sz="1100" b="1" i="0" baseline="0">
                    <a:effectLst/>
                  </a:rPr>
                  <a:t>אלפי טון חלקיקים  בממוצע לשנה</a:t>
                </a:r>
                <a:endParaRPr lang="he-IL" sz="1100">
                  <a:effectLst/>
                </a:endParaRPr>
              </a:p>
            </c:rich>
          </c:tx>
          <c:overlay val="0"/>
        </c:title>
        <c:numFmt formatCode="_ * #,##0.0_ ;_ * \-#,##0.0_ ;_ * &quot;-&quot;??_ ;_ @_ " sourceLinked="1"/>
        <c:majorTickMark val="out"/>
        <c:minorTickMark val="none"/>
        <c:tickLblPos val="nextTo"/>
        <c:crossAx val="-14265600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344714</xdr:colOff>
      <xdr:row>2</xdr:row>
      <xdr:rowOff>18144</xdr:rowOff>
    </xdr:from>
    <xdr:to>
      <xdr:col>19</xdr:col>
      <xdr:colOff>580571</xdr:colOff>
      <xdr:row>24</xdr:row>
      <xdr:rowOff>181429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69272</xdr:colOff>
      <xdr:row>8</xdr:row>
      <xdr:rowOff>100446</xdr:rowOff>
    </xdr:from>
    <xdr:to>
      <xdr:col>31</xdr:col>
      <xdr:colOff>51956</xdr:colOff>
      <xdr:row>30</xdr:row>
      <xdr:rowOff>0</xdr:rowOff>
    </xdr:to>
    <xdr:graphicFrame macro="">
      <xdr:nvGraphicFramePr>
        <xdr:cNvPr id="4" name="תרשים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69272</xdr:colOff>
      <xdr:row>30</xdr:row>
      <xdr:rowOff>169718</xdr:rowOff>
    </xdr:from>
    <xdr:to>
      <xdr:col>31</xdr:col>
      <xdr:colOff>69272</xdr:colOff>
      <xdr:row>50</xdr:row>
      <xdr:rowOff>176645</xdr:rowOff>
    </xdr:to>
    <xdr:graphicFrame macro="">
      <xdr:nvGraphicFramePr>
        <xdr:cNvPr id="5" name="תרשים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69272</xdr:colOff>
      <xdr:row>7</xdr:row>
      <xdr:rowOff>100446</xdr:rowOff>
    </xdr:from>
    <xdr:to>
      <xdr:col>29</xdr:col>
      <xdr:colOff>51956</xdr:colOff>
      <xdr:row>22</xdr:row>
      <xdr:rowOff>0</xdr:rowOff>
    </xdr:to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69272</xdr:colOff>
      <xdr:row>8</xdr:row>
      <xdr:rowOff>100446</xdr:rowOff>
    </xdr:from>
    <xdr:to>
      <xdr:col>29</xdr:col>
      <xdr:colOff>51956</xdr:colOff>
      <xdr:row>29</xdr:row>
      <xdr:rowOff>51955</xdr:rowOff>
    </xdr:to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69272</xdr:colOff>
      <xdr:row>8</xdr:row>
      <xdr:rowOff>100446</xdr:rowOff>
    </xdr:from>
    <xdr:to>
      <xdr:col>29</xdr:col>
      <xdr:colOff>51956</xdr:colOff>
      <xdr:row>29</xdr:row>
      <xdr:rowOff>51955</xdr:rowOff>
    </xdr:to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4"/>
  <sheetViews>
    <sheetView rightToLeft="1" topLeftCell="C1" zoomScale="109" zoomScaleNormal="70" workbookViewId="0">
      <selection activeCell="C42" sqref="C42"/>
    </sheetView>
  </sheetViews>
  <sheetFormatPr baseColWidth="10" defaultColWidth="8.83203125" defaultRowHeight="15"/>
  <cols>
    <col min="1" max="1" width="14.33203125" customWidth="1"/>
    <col min="2" max="2" width="22.5" customWidth="1"/>
    <col min="3" max="3" width="32.33203125" customWidth="1"/>
    <col min="4" max="4" width="13" customWidth="1"/>
    <col min="5" max="5" width="10.5" customWidth="1"/>
    <col min="6" max="6" width="12.5" customWidth="1"/>
    <col min="7" max="7" width="10.5" customWidth="1"/>
    <col min="8" max="8" width="12.1640625" customWidth="1"/>
    <col min="9" max="9" width="13.83203125" customWidth="1"/>
    <col min="10" max="10" width="14.6640625" customWidth="1"/>
    <col min="11" max="11" width="15.5" bestFit="1" customWidth="1"/>
    <col min="13" max="13" width="31.1640625" bestFit="1" customWidth="1"/>
    <col min="14" max="14" width="25" customWidth="1"/>
    <col min="15" max="15" width="21.83203125" bestFit="1" customWidth="1"/>
    <col min="16" max="16" width="12.33203125" bestFit="1" customWidth="1"/>
    <col min="17" max="17" width="10.6640625" customWidth="1"/>
    <col min="18" max="19" width="10.5" bestFit="1" customWidth="1"/>
  </cols>
  <sheetData>
    <row r="1" spans="1:19">
      <c r="D1" s="15"/>
      <c r="E1" s="24"/>
      <c r="F1" s="24"/>
      <c r="G1" s="24"/>
      <c r="H1" s="24"/>
    </row>
    <row r="2" spans="1:19">
      <c r="A2" s="444"/>
      <c r="B2" s="497"/>
      <c r="C2" s="497"/>
      <c r="D2" s="498"/>
      <c r="E2" s="498"/>
      <c r="F2" s="498"/>
      <c r="G2" s="498"/>
      <c r="H2" s="498"/>
      <c r="I2" s="498"/>
      <c r="J2" s="15"/>
    </row>
    <row r="3" spans="1:19" ht="16" thickBot="1"/>
    <row r="4" spans="1:19" ht="15" customHeight="1" thickBot="1">
      <c r="A4" s="925" t="s">
        <v>493</v>
      </c>
      <c r="B4" s="926"/>
      <c r="C4" s="926"/>
      <c r="D4" s="926"/>
      <c r="E4" s="926"/>
      <c r="F4" s="926"/>
      <c r="G4" s="926"/>
      <c r="H4" s="926"/>
      <c r="I4" s="927"/>
      <c r="J4" s="15"/>
    </row>
    <row r="5" spans="1:19" ht="49" thickBot="1">
      <c r="A5" s="285"/>
      <c r="B5" s="933"/>
      <c r="C5" s="933"/>
      <c r="D5" s="182" t="s">
        <v>235</v>
      </c>
      <c r="E5" s="182" t="s">
        <v>234</v>
      </c>
      <c r="F5" s="179" t="s">
        <v>49</v>
      </c>
      <c r="G5" s="180" t="s">
        <v>19</v>
      </c>
      <c r="H5" s="180" t="s">
        <v>8</v>
      </c>
      <c r="I5" s="180" t="s">
        <v>5</v>
      </c>
    </row>
    <row r="6" spans="1:19" ht="15" customHeight="1">
      <c r="A6" s="928" t="s">
        <v>233</v>
      </c>
      <c r="B6" s="291" t="s">
        <v>45</v>
      </c>
      <c r="C6" s="368"/>
      <c r="D6" s="253">
        <v>0</v>
      </c>
      <c r="E6" s="253">
        <v>0</v>
      </c>
      <c r="F6" s="183">
        <v>0</v>
      </c>
      <c r="G6" s="369">
        <f>+' עלויות חח"י'!C21</f>
        <v>1238.7523991453452</v>
      </c>
      <c r="H6" s="369">
        <f>+' עלויות חח"י'!G14</f>
        <v>558.85963027708578</v>
      </c>
      <c r="I6" s="369">
        <f>+' עלויות חח"י'!K14</f>
        <v>859.56836019367847</v>
      </c>
    </row>
    <row r="7" spans="1:19" ht="15" customHeight="1">
      <c r="A7" s="929"/>
      <c r="B7" s="292" t="s">
        <v>28</v>
      </c>
      <c r="C7" s="319"/>
      <c r="D7" s="181">
        <v>0</v>
      </c>
      <c r="E7" s="181">
        <v>0</v>
      </c>
      <c r="F7" s="184">
        <v>0</v>
      </c>
      <c r="G7" s="178">
        <f>'עלויות הקמת יחידות חדשות'!B16</f>
        <v>0</v>
      </c>
      <c r="H7" s="178">
        <f>'עלויות הקמת יחידות חדשות'!$B$15</f>
        <v>8747.1856834262035</v>
      </c>
      <c r="I7" s="178">
        <f>'עלויות הקמת יחידות חדשות'!$B$15</f>
        <v>8747.1856834262035</v>
      </c>
    </row>
    <row r="8" spans="1:19" ht="15" customHeight="1">
      <c r="A8" s="929"/>
      <c r="B8" s="292" t="s">
        <v>26</v>
      </c>
      <c r="C8" s="319"/>
      <c r="D8" s="181">
        <v>0</v>
      </c>
      <c r="E8" s="181">
        <v>0</v>
      </c>
      <c r="F8" s="184">
        <v>0</v>
      </c>
      <c r="G8" s="178">
        <f>+' עלויות תפעול'!M31-' עלויות תפעול'!H31</f>
        <v>238.93779426810579</v>
      </c>
      <c r="H8" s="178">
        <f>+' עלויות תפעול'!R31-' עלויות תפעול'!H31</f>
        <v>1143.6215777766847</v>
      </c>
      <c r="I8" s="178">
        <f>+' עלויות תפעול'!V31-' עלויות תפעול'!H31</f>
        <v>-572.8770247093762</v>
      </c>
    </row>
    <row r="9" spans="1:19" ht="15" customHeight="1">
      <c r="A9" s="929"/>
      <c r="B9" s="292" t="s">
        <v>42</v>
      </c>
      <c r="C9" s="319"/>
      <c r="D9" s="181">
        <v>0</v>
      </c>
      <c r="E9" s="181">
        <v>0</v>
      </c>
      <c r="F9" s="184">
        <v>0</v>
      </c>
      <c r="G9" s="178">
        <v>0</v>
      </c>
      <c r="H9" s="178">
        <v>0</v>
      </c>
      <c r="I9" s="178">
        <f>-'הנחות עבודה'!E45*'הנחות עבודה'!E46</f>
        <v>-700</v>
      </c>
    </row>
    <row r="10" spans="1:19" ht="15" customHeight="1">
      <c r="A10" s="929"/>
      <c r="B10" s="934" t="s">
        <v>238</v>
      </c>
      <c r="C10" s="881" t="s">
        <v>237</v>
      </c>
      <c r="D10" s="882">
        <f>' עלות דלקים - לתקופה'!E41</f>
        <v>0</v>
      </c>
      <c r="E10" s="883">
        <v>0</v>
      </c>
      <c r="F10" s="884">
        <f>' עלות דלקים - לתקופה'!AE41</f>
        <v>3047.4035412051016</v>
      </c>
      <c r="G10" s="885">
        <f>' עלות דלקים - לתקופה'!N41</f>
        <v>2030.1055140123353</v>
      </c>
      <c r="H10" s="885">
        <f>' עלות דלקים - לתקופה'!T41</f>
        <v>-3336.9626998158928</v>
      </c>
      <c r="I10" s="885">
        <f>' עלות דלקים - לתקופה'!Z41</f>
        <v>-3367.6740496183338</v>
      </c>
    </row>
    <row r="11" spans="1:19" ht="15" customHeight="1">
      <c r="A11" s="929"/>
      <c r="B11" s="934"/>
      <c r="C11" s="886" t="s">
        <v>43</v>
      </c>
      <c r="D11" s="887">
        <f>' עלות דלקים - לתקופה'!E74</f>
        <v>-2821.2620408117364</v>
      </c>
      <c r="E11" s="887">
        <v>0</v>
      </c>
      <c r="F11" s="888">
        <f>' עלות דלקים - לתקופה'!AE74</f>
        <v>2226.042614603939</v>
      </c>
      <c r="G11" s="889">
        <f>' עלות דלקים - לתקופה'!N74</f>
        <v>7949.683870617504</v>
      </c>
      <c r="H11" s="889">
        <f>' עלות דלקים - לתקופה'!T74</f>
        <v>2290.8547295517928</v>
      </c>
      <c r="I11" s="889">
        <f>' עלות דלקים - לתקופה'!Z74</f>
        <v>2477.7847368935472</v>
      </c>
    </row>
    <row r="12" spans="1:19" ht="15" customHeight="1" thickBot="1">
      <c r="A12" s="929"/>
      <c r="B12" s="935"/>
      <c r="C12" s="890" t="s">
        <v>44</v>
      </c>
      <c r="D12" s="887">
        <f>' עלות דלקים - לתקופה'!E107</f>
        <v>0</v>
      </c>
      <c r="E12" s="887">
        <v>0</v>
      </c>
      <c r="F12" s="888">
        <f>' עלות דלקים - לתקופה'!AE107</f>
        <v>4963.9123699410702</v>
      </c>
      <c r="G12" s="889">
        <f>' עלות דלקים - לתקופה'!N107</f>
        <v>-5860.1661940275808</v>
      </c>
      <c r="H12" s="889">
        <f>' עלות דלקים - לתקופה'!T107</f>
        <v>-10455.647274299234</v>
      </c>
      <c r="I12" s="889">
        <f>' עלות דלקים - לתקופה'!Z107</f>
        <v>-10768.117187411815</v>
      </c>
    </row>
    <row r="13" spans="1:19" s="286" customFormat="1" ht="18" customHeight="1" thickBot="1">
      <c r="A13" s="494" t="s">
        <v>295</v>
      </c>
      <c r="B13" s="373"/>
      <c r="C13" s="374"/>
      <c r="D13" s="940">
        <v>0</v>
      </c>
      <c r="E13" s="940">
        <v>0</v>
      </c>
      <c r="F13" s="940">
        <f>+' ביטחון אנרגטי'!C22*$A$15</f>
        <v>-1812.9954821121669</v>
      </c>
      <c r="G13" s="940">
        <f>+' ביטחון אנרגטי'!D22*$A$15</f>
        <v>74.243696267337626</v>
      </c>
      <c r="H13" s="940">
        <f>+' ביטחון אנרגטי'!E22*$A$15</f>
        <v>296.97478506934107</v>
      </c>
      <c r="I13" s="940">
        <f>+' ביטחון אנרגטי'!F22*$A$15</f>
        <v>3563.6974208320858</v>
      </c>
      <c r="K13"/>
      <c r="L13"/>
      <c r="M13"/>
      <c r="N13" s="16"/>
      <c r="O13"/>
      <c r="P13"/>
      <c r="Q13"/>
      <c r="R13"/>
      <c r="S13"/>
    </row>
    <row r="14" spans="1:19" s="286" customFormat="1" ht="16" customHeight="1" thickBot="1">
      <c r="A14" s="377" t="s">
        <v>293</v>
      </c>
      <c r="B14" s="373"/>
      <c r="C14" s="374"/>
      <c r="D14" s="941"/>
      <c r="E14" s="941"/>
      <c r="F14" s="941"/>
      <c r="G14" s="941"/>
      <c r="H14" s="941"/>
      <c r="I14" s="941"/>
      <c r="K14" s="15"/>
      <c r="L14" s="15"/>
      <c r="M14"/>
      <c r="N14"/>
      <c r="O14"/>
      <c r="P14"/>
      <c r="Q14"/>
      <c r="R14"/>
      <c r="S14"/>
    </row>
    <row r="15" spans="1:19" s="286" customFormat="1" ht="16" customHeight="1" thickBot="1">
      <c r="A15" s="294">
        <v>1</v>
      </c>
      <c r="B15" s="375"/>
      <c r="C15" s="376"/>
      <c r="D15" s="942"/>
      <c r="E15" s="942"/>
      <c r="F15" s="942"/>
      <c r="G15" s="942"/>
      <c r="H15" s="942"/>
      <c r="I15" s="942"/>
      <c r="K15"/>
      <c r="L15"/>
      <c r="M15"/>
      <c r="N15"/>
      <c r="O15"/>
      <c r="P15"/>
      <c r="Q15"/>
      <c r="R15"/>
      <c r="S15"/>
    </row>
    <row r="16" spans="1:19" ht="13.5" customHeight="1" thickBot="1">
      <c r="A16" s="930" t="s">
        <v>228</v>
      </c>
      <c r="B16" s="936" t="s">
        <v>175</v>
      </c>
      <c r="C16" s="937"/>
      <c r="D16" s="370">
        <f t="shared" ref="D16:I16" si="0">D6+D7+D8+D9+D10+D13</f>
        <v>0</v>
      </c>
      <c r="E16" s="370">
        <f t="shared" si="0"/>
        <v>0</v>
      </c>
      <c r="F16" s="372">
        <f t="shared" si="0"/>
        <v>1234.4080590929348</v>
      </c>
      <c r="G16" s="371">
        <f t="shared" si="0"/>
        <v>3582.0394036931243</v>
      </c>
      <c r="H16" s="371">
        <f t="shared" si="0"/>
        <v>7409.6789767334221</v>
      </c>
      <c r="I16" s="371">
        <f t="shared" si="0"/>
        <v>8529.9003901242577</v>
      </c>
    </row>
    <row r="17" spans="1:36" ht="13.5" customHeight="1" thickBot="1">
      <c r="A17" s="931"/>
      <c r="B17" s="938" t="s">
        <v>226</v>
      </c>
      <c r="C17" s="939"/>
      <c r="D17" s="447">
        <f>D6+D7+D8+D9+D11+D13</f>
        <v>-2821.2620408117364</v>
      </c>
      <c r="E17" s="447">
        <f t="shared" ref="E17:I17" si="1">E6+E7+E8+E9+E11+E13</f>
        <v>0</v>
      </c>
      <c r="F17" s="448">
        <f t="shared" si="1"/>
        <v>413.04713249177212</v>
      </c>
      <c r="G17" s="449">
        <f t="shared" si="1"/>
        <v>9501.6177602982934</v>
      </c>
      <c r="H17" s="449">
        <f t="shared" si="1"/>
        <v>13037.496406101107</v>
      </c>
      <c r="I17" s="449">
        <f t="shared" si="1"/>
        <v>14375.359176636139</v>
      </c>
    </row>
    <row r="18" spans="1:36" ht="13.5" customHeight="1" thickBot="1">
      <c r="A18" s="932"/>
      <c r="B18" s="938" t="s">
        <v>227</v>
      </c>
      <c r="C18" s="939"/>
      <c r="D18" s="450">
        <f>D6+D7+D8+D9+D12+D13</f>
        <v>0</v>
      </c>
      <c r="E18" s="450">
        <f t="shared" ref="E18:I18" si="2">E6+E7+E8+E9+E12+E13</f>
        <v>0</v>
      </c>
      <c r="F18" s="451">
        <f t="shared" si="2"/>
        <v>3150.9168878289033</v>
      </c>
      <c r="G18" s="452">
        <f>G6+G7+G8+G9+G12+G13</f>
        <v>-4308.2323043467923</v>
      </c>
      <c r="H18" s="452">
        <f>H6+H7+H8+H9+H12+H13</f>
        <v>290.99440225008124</v>
      </c>
      <c r="I18" s="452">
        <f t="shared" si="2"/>
        <v>1129.4572523307756</v>
      </c>
    </row>
    <row r="19" spans="1:36" ht="13.5" customHeight="1">
      <c r="A19" s="164"/>
      <c r="B19" s="500"/>
      <c r="C19" s="500"/>
      <c r="D19" s="501"/>
      <c r="E19" s="501"/>
      <c r="F19" s="501"/>
      <c r="G19" s="501"/>
      <c r="H19" s="501"/>
      <c r="I19" s="501"/>
    </row>
    <row r="20" spans="1:36" ht="13.5" customHeight="1">
      <c r="A20" s="15"/>
      <c r="B20" s="500"/>
      <c r="C20" s="500"/>
      <c r="D20" s="501"/>
      <c r="E20" s="501"/>
      <c r="F20" s="501"/>
      <c r="G20" s="896"/>
      <c r="H20" s="896"/>
      <c r="I20" s="896"/>
    </row>
    <row r="21" spans="1:36" ht="13.5" customHeight="1" thickBot="1">
      <c r="A21" s="164"/>
      <c r="B21" s="500"/>
      <c r="C21" s="500"/>
      <c r="D21" s="501"/>
      <c r="E21" s="501"/>
      <c r="F21" s="501"/>
      <c r="G21" s="501"/>
      <c r="H21" s="501"/>
      <c r="I21" s="501"/>
    </row>
    <row r="22" spans="1:36" ht="16" thickBot="1">
      <c r="A22" s="919" t="s">
        <v>494</v>
      </c>
      <c r="B22" s="920"/>
      <c r="C22" s="920"/>
      <c r="D22" s="920"/>
      <c r="E22" s="920"/>
      <c r="F22" s="920"/>
      <c r="G22" s="920"/>
      <c r="H22" s="920"/>
      <c r="I22" s="921"/>
    </row>
    <row r="23" spans="1:36" ht="49" thickBot="1">
      <c r="A23" s="505"/>
      <c r="B23" s="951"/>
      <c r="C23" s="952"/>
      <c r="D23" s="506" t="str">
        <f>D5</f>
        <v>סגירת 1-4 ללא מדיניות הפחתה</v>
      </c>
      <c r="E23" s="506" t="str">
        <f t="shared" ref="E23:I23" si="3">E5</f>
        <v>סגירת 1-4 עם מדיניות הפחתה</v>
      </c>
      <c r="F23" s="506" t="str">
        <f t="shared" si="3"/>
        <v>25% מתחדשות</v>
      </c>
      <c r="G23" s="506" t="str">
        <f t="shared" si="3"/>
        <v>הסבה לגז</v>
      </c>
      <c r="H23" s="506" t="str">
        <f t="shared" si="3"/>
        <v>שימור והקמה</v>
      </c>
      <c r="I23" s="507" t="str">
        <f t="shared" si="3"/>
        <v>גריטה והקמה</v>
      </c>
      <c r="J23" s="110"/>
      <c r="K23" s="286"/>
      <c r="L23" s="286"/>
      <c r="M23" s="286"/>
      <c r="N23" s="286"/>
      <c r="O23" s="286"/>
      <c r="P23" s="286"/>
      <c r="Q23" s="286"/>
      <c r="R23" s="286"/>
      <c r="S23" s="286"/>
    </row>
    <row r="24" spans="1:36" ht="17" thickTop="1" thickBot="1">
      <c r="A24" s="922" t="s">
        <v>396</v>
      </c>
      <c r="B24" s="953" t="s">
        <v>397</v>
      </c>
      <c r="C24" s="953"/>
      <c r="D24" s="566">
        <f>' פליטות - גזי חממה'!B36</f>
        <v>45.647533613984933</v>
      </c>
      <c r="E24" s="539" t="s">
        <v>382</v>
      </c>
      <c r="F24" s="566">
        <f>' פליטות - גזי חממה'!Q36</f>
        <v>-38.899066797453997</v>
      </c>
      <c r="G24" s="566">
        <f>' פליטות - גזי חממה'!F36</f>
        <v>-67.052094772621558</v>
      </c>
      <c r="H24" s="566">
        <f>' פליטות - גזי חממה'!I36</f>
        <v>-85.772166452406395</v>
      </c>
      <c r="I24" s="566">
        <f>' פליטות - גזי חממה'!M36</f>
        <v>-88.796661756337471</v>
      </c>
      <c r="K24" s="286"/>
      <c r="L24" s="286"/>
      <c r="M24" s="286"/>
      <c r="N24" s="286"/>
      <c r="O24" s="286"/>
      <c r="P24" s="286"/>
      <c r="Q24" s="286"/>
      <c r="R24" s="286"/>
      <c r="S24" s="286"/>
    </row>
    <row r="25" spans="1:36" ht="17" thickTop="1" thickBot="1">
      <c r="A25" s="923"/>
      <c r="B25" s="953" t="s">
        <v>398</v>
      </c>
      <c r="C25" s="953"/>
      <c r="D25" s="566">
        <f>'פליטות - SO2'!B35</f>
        <v>26.82474584885567</v>
      </c>
      <c r="E25" s="539" t="s">
        <v>382</v>
      </c>
      <c r="F25" s="566">
        <f>'פליטות - SO2'!Q35</f>
        <v>-0.51453792060124215</v>
      </c>
      <c r="G25" s="566">
        <f>'פליטות - SO2'!F35</f>
        <v>-35.777376891892992</v>
      </c>
      <c r="H25" s="566">
        <f>'פליטות - SO2'!I35</f>
        <v>-47.272552933314046</v>
      </c>
      <c r="I25" s="566">
        <f>'פליטות - SO2'!M35</f>
        <v>-49.049895791201763</v>
      </c>
      <c r="K25" s="286"/>
      <c r="L25" s="286"/>
      <c r="M25" s="286"/>
      <c r="N25" s="286"/>
      <c r="O25" s="286"/>
      <c r="P25" s="286"/>
      <c r="Q25" s="286"/>
      <c r="R25" s="286"/>
      <c r="S25" s="286"/>
    </row>
    <row r="26" spans="1:36" ht="16" thickTop="1">
      <c r="A26" s="923"/>
      <c r="B26" s="944" t="s">
        <v>399</v>
      </c>
      <c r="C26" s="944"/>
      <c r="D26" s="567">
        <f>'פליטות - NOX'!B36</f>
        <v>16.822298244197611</v>
      </c>
      <c r="E26" s="568" t="s">
        <v>382</v>
      </c>
      <c r="F26" s="567">
        <f>'פליטות - NOX'!Q36</f>
        <v>-16.979751379841105</v>
      </c>
      <c r="G26" s="567">
        <f>'פליטות - NOX'!F36</f>
        <v>-15.87978237555285</v>
      </c>
      <c r="H26" s="567">
        <f>'פליטות - NOX'!I36</f>
        <v>-29.645499297163042</v>
      </c>
      <c r="I26" s="567">
        <f>'פליטות - NOX'!M36</f>
        <v>-30.760104140245232</v>
      </c>
      <c r="K26" s="15"/>
      <c r="L26" s="15"/>
      <c r="M26" s="158" t="s">
        <v>454</v>
      </c>
    </row>
    <row r="27" spans="1:36" ht="16" thickBot="1">
      <c r="A27" s="924"/>
      <c r="B27" s="914" t="s">
        <v>400</v>
      </c>
      <c r="C27" s="914"/>
      <c r="D27" s="569">
        <f>'פליטות- חלקיקים'!B36</f>
        <v>1.2912250544194883</v>
      </c>
      <c r="E27" s="570" t="s">
        <v>382</v>
      </c>
      <c r="F27" s="569">
        <f>'פליטות- חלקיקים'!Q36</f>
        <v>-1.6259398290999343</v>
      </c>
      <c r="G27" s="569">
        <f>'פליטות- חלקיקים'!F36</f>
        <v>-2.5962723020533929</v>
      </c>
      <c r="H27" s="569">
        <f>'פליטות- חלקיקים'!I36</f>
        <v>-2.2754923784849517</v>
      </c>
      <c r="I27" s="569">
        <f>'פליטות- חלקיקים'!M36</f>
        <v>-2.3610458313053044</v>
      </c>
      <c r="K27" s="15"/>
      <c r="L27" s="15"/>
    </row>
    <row r="28" spans="1:36" ht="17" customHeight="1" thickTop="1" thickBot="1">
      <c r="A28" s="893" t="s">
        <v>478</v>
      </c>
      <c r="B28" s="917" t="s">
        <v>405</v>
      </c>
      <c r="C28" s="917"/>
      <c r="D28" s="894"/>
      <c r="E28" s="894"/>
      <c r="F28" s="895">
        <f>F25*'הנחות עבודה'!$B$98/10^3+F26*'הנחות עבודה'!$B$99/10^3+F27*'הנחות עבודה'!$B$100/10^3</f>
        <v>-629.30646821505979</v>
      </c>
      <c r="G28" s="895">
        <f>G25*'הנחות עבודה'!$B$98/10^3+G26*'הנחות עבודה'!$B$99/10^3+G27*'הנחות עבודה'!$B$100/10^3</f>
        <v>-2320.9712340754977</v>
      </c>
      <c r="H28" s="895">
        <f>H25*'הנחות עבודה'!$B$98/10^3+H26*'הנחות עבודה'!$B$99/10^3+H27*'הנחות עבודה'!$B$100/10^3</f>
        <v>-3191.8238009378151</v>
      </c>
      <c r="I28" s="895">
        <f>I25*'הנחות עבודה'!$B$98/10^3+I26*'הנחות עבודה'!$B$99/10^3+I27*'הנחות עבודה'!$B$100/10^3</f>
        <v>-3311.8292773552948</v>
      </c>
      <c r="J28" s="33"/>
      <c r="K28" s="15"/>
      <c r="L28" s="957"/>
      <c r="M28" s="957"/>
      <c r="N28" s="906" t="s">
        <v>235</v>
      </c>
      <c r="O28" s="906" t="s">
        <v>234</v>
      </c>
      <c r="P28" s="906" t="s">
        <v>49</v>
      </c>
      <c r="Q28" s="906" t="s">
        <v>19</v>
      </c>
      <c r="R28" s="906" t="s">
        <v>8</v>
      </c>
      <c r="S28" s="906" t="s">
        <v>5</v>
      </c>
    </row>
    <row r="29" spans="1:36" ht="23" customHeight="1" thickTop="1" thickBot="1">
      <c r="A29" s="912" t="s">
        <v>482</v>
      </c>
      <c r="B29" s="913" t="s">
        <v>479</v>
      </c>
      <c r="C29" s="913"/>
      <c r="D29" s="891">
        <f t="shared" ref="D29:E29" si="4">D16+D28</f>
        <v>0</v>
      </c>
      <c r="E29" s="891">
        <f t="shared" si="4"/>
        <v>0</v>
      </c>
      <c r="F29" s="891">
        <f>F16+F28</f>
        <v>605.10159087787497</v>
      </c>
      <c r="G29" s="891">
        <f>G16+G28</f>
        <v>1261.0681696176266</v>
      </c>
      <c r="H29" s="891">
        <f>H16+H28</f>
        <v>4217.8551757956066</v>
      </c>
      <c r="I29" s="891">
        <f>I16+I28</f>
        <v>5218.0711127689628</v>
      </c>
      <c r="J29" s="499"/>
      <c r="K29" s="15"/>
      <c r="L29" s="907" t="s">
        <v>208</v>
      </c>
      <c r="M29" s="908"/>
      <c r="N29" s="181">
        <f>' פליטות - גזי חממה'!Z5</f>
        <v>407.26013143968441</v>
      </c>
      <c r="O29" s="181">
        <f>' פליטות - גזי חממה'!AA5</f>
        <v>381.12378564811229</v>
      </c>
      <c r="P29" s="181">
        <f>' פליטות - גזי חממה'!AB5</f>
        <v>354.56017388433003</v>
      </c>
      <c r="Q29" s="181">
        <f>' פליטות - גזי חממה'!AC5</f>
        <v>339.10875705514616</v>
      </c>
      <c r="R29" s="181">
        <f>' פליטות - גזי חממה'!AD5</f>
        <v>327.42606748103844</v>
      </c>
      <c r="S29" s="183">
        <f>' פליטות - גזי חממה'!AE5</f>
        <v>325.431953940818</v>
      </c>
    </row>
    <row r="30" spans="1:36" ht="18" customHeight="1" thickTop="1" thickBot="1">
      <c r="A30" s="912"/>
      <c r="B30" s="915" t="s">
        <v>480</v>
      </c>
      <c r="C30" s="915"/>
      <c r="D30" s="565">
        <f t="shared" ref="D30:E30" si="5">D17+D28</f>
        <v>-2821.2620408117364</v>
      </c>
      <c r="E30" s="565">
        <f t="shared" si="5"/>
        <v>0</v>
      </c>
      <c r="F30" s="565">
        <f>F17+F28</f>
        <v>-216.25933572328768</v>
      </c>
      <c r="G30" s="565">
        <f>G17+G28</f>
        <v>7180.6465262227957</v>
      </c>
      <c r="H30" s="565">
        <f>H17+H28</f>
        <v>9845.6726051632922</v>
      </c>
      <c r="I30" s="565">
        <f>I17+I28</f>
        <v>11063.529899280844</v>
      </c>
      <c r="K30" s="15"/>
      <c r="L30" s="943" t="s">
        <v>175</v>
      </c>
      <c r="M30" s="943"/>
      <c r="N30" s="909">
        <f>D29</f>
        <v>0</v>
      </c>
      <c r="O30" s="909">
        <f t="shared" ref="O30:S32" si="6">E29</f>
        <v>0</v>
      </c>
      <c r="P30" s="909">
        <f t="shared" si="6"/>
        <v>605.10159087787497</v>
      </c>
      <c r="Q30" s="909">
        <f t="shared" si="6"/>
        <v>1261.0681696176266</v>
      </c>
      <c r="R30" s="909">
        <f t="shared" si="6"/>
        <v>4217.8551757956066</v>
      </c>
      <c r="S30" s="909">
        <f t="shared" si="6"/>
        <v>5218.0711127689628</v>
      </c>
      <c r="AB30" s="954" t="s">
        <v>383</v>
      </c>
      <c r="AC30" s="955"/>
      <c r="AD30" s="955"/>
      <c r="AE30" s="955"/>
      <c r="AF30" s="955"/>
      <c r="AG30" s="955"/>
      <c r="AH30" s="955"/>
      <c r="AI30" s="955"/>
      <c r="AJ30" s="956"/>
    </row>
    <row r="31" spans="1:36" ht="19" customHeight="1" thickTop="1" thickBot="1">
      <c r="A31" s="912"/>
      <c r="B31" s="916" t="s">
        <v>481</v>
      </c>
      <c r="C31" s="916"/>
      <c r="D31" s="892">
        <f t="shared" ref="D31:E31" si="7">D18+D28</f>
        <v>0</v>
      </c>
      <c r="E31" s="892">
        <f t="shared" si="7"/>
        <v>0</v>
      </c>
      <c r="F31" s="892">
        <f>F18+F28</f>
        <v>2521.6104196138435</v>
      </c>
      <c r="G31" s="892">
        <f>G18+G28</f>
        <v>-6629.20353842229</v>
      </c>
      <c r="H31" s="892">
        <f>H18+H28</f>
        <v>-2900.8293986877338</v>
      </c>
      <c r="I31" s="892">
        <f>I18+I28</f>
        <v>-2182.3720250245192</v>
      </c>
      <c r="K31" s="15"/>
      <c r="L31" s="911" t="s">
        <v>226</v>
      </c>
      <c r="M31" s="911"/>
      <c r="N31" s="909">
        <f t="shared" ref="N31:N32" si="8">D30</f>
        <v>-2821.2620408117364</v>
      </c>
      <c r="O31" s="909">
        <f t="shared" si="6"/>
        <v>0</v>
      </c>
      <c r="P31" s="909">
        <f t="shared" si="6"/>
        <v>-216.25933572328768</v>
      </c>
      <c r="Q31" s="909">
        <f t="shared" si="6"/>
        <v>7180.6465262227957</v>
      </c>
      <c r="R31" s="909">
        <f t="shared" si="6"/>
        <v>9845.6726051632922</v>
      </c>
      <c r="S31" s="909">
        <f t="shared" si="6"/>
        <v>11063.529899280844</v>
      </c>
    </row>
    <row r="32" spans="1:36" ht="16" thickTop="1">
      <c r="L32" s="911" t="s">
        <v>227</v>
      </c>
      <c r="M32" s="911"/>
      <c r="N32" s="909">
        <f t="shared" si="8"/>
        <v>0</v>
      </c>
      <c r="O32" s="909">
        <f t="shared" si="6"/>
        <v>0</v>
      </c>
      <c r="P32" s="909">
        <f t="shared" si="6"/>
        <v>2521.6104196138435</v>
      </c>
      <c r="Q32" s="909">
        <f t="shared" si="6"/>
        <v>-6629.20353842229</v>
      </c>
      <c r="R32" s="909">
        <f t="shared" si="6"/>
        <v>-2900.8293986877338</v>
      </c>
      <c r="S32" s="909">
        <f t="shared" si="6"/>
        <v>-2182.3720250245192</v>
      </c>
    </row>
    <row r="33" spans="1:13" ht="28.5" customHeight="1">
      <c r="B33" s="948" t="s">
        <v>483</v>
      </c>
      <c r="C33" s="949"/>
      <c r="D33" s="949"/>
      <c r="E33" s="949"/>
      <c r="F33" s="949"/>
      <c r="G33" s="949"/>
      <c r="H33" s="949"/>
      <c r="I33" s="949"/>
      <c r="J33" s="950"/>
      <c r="L33" s="918"/>
      <c r="M33" s="918"/>
    </row>
    <row r="34" spans="1:13">
      <c r="B34" s="945" t="s">
        <v>175</v>
      </c>
      <c r="C34" s="945"/>
      <c r="D34" s="945"/>
      <c r="E34" s="946" t="s">
        <v>486</v>
      </c>
      <c r="F34" s="946"/>
      <c r="G34" s="946"/>
      <c r="H34" s="947" t="s">
        <v>487</v>
      </c>
      <c r="I34" s="947"/>
      <c r="J34" s="947"/>
    </row>
    <row r="35" spans="1:13" ht="48">
      <c r="B35" s="897" t="s">
        <v>485</v>
      </c>
      <c r="C35" s="897" t="s">
        <v>495</v>
      </c>
      <c r="D35" s="897" t="s">
        <v>492</v>
      </c>
      <c r="E35" s="898" t="s">
        <v>485</v>
      </c>
      <c r="F35" s="898" t="s">
        <v>484</v>
      </c>
      <c r="G35" s="898" t="s">
        <v>492</v>
      </c>
      <c r="H35" s="899" t="s">
        <v>485</v>
      </c>
      <c r="I35" s="899" t="s">
        <v>484</v>
      </c>
      <c r="J35" s="899" t="s">
        <v>492</v>
      </c>
    </row>
    <row r="36" spans="1:13" ht="64">
      <c r="A36" s="910" t="s">
        <v>490</v>
      </c>
      <c r="B36" s="900">
        <f>G29</f>
        <v>1261.0681696176266</v>
      </c>
      <c r="C36" s="900">
        <f>G24</f>
        <v>-67.052094772621558</v>
      </c>
      <c r="D36" s="901">
        <f>-B36/C36</f>
        <v>18.807289673708166</v>
      </c>
      <c r="E36" s="902">
        <f>G30</f>
        <v>7180.6465262227957</v>
      </c>
      <c r="F36" s="902">
        <f>G24</f>
        <v>-67.052094772621558</v>
      </c>
      <c r="G36" s="904">
        <f>-E36/F36</f>
        <v>107.09056220499718</v>
      </c>
      <c r="H36" s="903">
        <f>G31</f>
        <v>-6629.20353842229</v>
      </c>
      <c r="I36" s="903">
        <f>G24</f>
        <v>-67.052094772621558</v>
      </c>
      <c r="J36" s="905">
        <f>-H36/I36</f>
        <v>-98.866464364795647</v>
      </c>
    </row>
    <row r="37" spans="1:13" ht="48">
      <c r="A37" s="910" t="s">
        <v>489</v>
      </c>
      <c r="B37" s="900">
        <f>H29-G29</f>
        <v>2956.7870061779799</v>
      </c>
      <c r="C37" s="900">
        <f>H24-G24</f>
        <v>-18.720071679784837</v>
      </c>
      <c r="D37" s="901">
        <f>-B37/C37</f>
        <v>157.94741904599184</v>
      </c>
      <c r="E37" s="902">
        <f>H30-G30</f>
        <v>2665.0260789404965</v>
      </c>
      <c r="F37" s="902">
        <f>H24-G24</f>
        <v>-18.720071679784837</v>
      </c>
      <c r="G37" s="904">
        <f t="shared" ref="G37:G38" si="9">-E37/F37</f>
        <v>142.36195910608433</v>
      </c>
      <c r="H37" s="903">
        <f>H31-G31</f>
        <v>3728.3741397345561</v>
      </c>
      <c r="I37" s="903">
        <f>H24-G24</f>
        <v>-18.720071679784837</v>
      </c>
      <c r="J37" s="905">
        <f t="shared" ref="J37:J38" si="10">-H37/I37</f>
        <v>199.16452263164672</v>
      </c>
    </row>
    <row r="38" spans="1:13" ht="48">
      <c r="A38" s="910" t="s">
        <v>491</v>
      </c>
      <c r="B38" s="900">
        <f>I29-G29</f>
        <v>3957.0029431513362</v>
      </c>
      <c r="C38" s="900">
        <f>I24-G24</f>
        <v>-21.744566983715913</v>
      </c>
      <c r="D38" s="901">
        <f t="shared" ref="D38" si="11">-B38/C38</f>
        <v>181.97662644258031</v>
      </c>
      <c r="E38" s="902">
        <f>I30-G30</f>
        <v>3882.8833730580482</v>
      </c>
      <c r="F38" s="902">
        <f>I24-G24</f>
        <v>-21.744566983715913</v>
      </c>
      <c r="G38" s="904">
        <f t="shared" si="9"/>
        <v>178.56797865719122</v>
      </c>
      <c r="H38" s="903">
        <f>I31-G31</f>
        <v>4446.8315133977703</v>
      </c>
      <c r="I38" s="903">
        <f>I24-G24</f>
        <v>-21.744566983715913</v>
      </c>
      <c r="J38" s="905">
        <f t="shared" si="10"/>
        <v>204.50310722342351</v>
      </c>
    </row>
    <row r="44" spans="1:13">
      <c r="A44" t="s">
        <v>401</v>
      </c>
    </row>
  </sheetData>
  <mergeCells count="36">
    <mergeCell ref="AB30:AJ30"/>
    <mergeCell ref="E13:E15"/>
    <mergeCell ref="D13:D15"/>
    <mergeCell ref="F13:F15"/>
    <mergeCell ref="L28:M28"/>
    <mergeCell ref="B34:D34"/>
    <mergeCell ref="E34:G34"/>
    <mergeCell ref="H34:J34"/>
    <mergeCell ref="B33:J33"/>
    <mergeCell ref="B23:C23"/>
    <mergeCell ref="B25:C25"/>
    <mergeCell ref="B24:C24"/>
    <mergeCell ref="L33:M33"/>
    <mergeCell ref="A22:I22"/>
    <mergeCell ref="A24:A27"/>
    <mergeCell ref="A4:I4"/>
    <mergeCell ref="A6:A12"/>
    <mergeCell ref="A16:A18"/>
    <mergeCell ref="B5:C5"/>
    <mergeCell ref="B10:B12"/>
    <mergeCell ref="B16:C16"/>
    <mergeCell ref="B18:C18"/>
    <mergeCell ref="B17:C17"/>
    <mergeCell ref="H13:H15"/>
    <mergeCell ref="G13:G15"/>
    <mergeCell ref="L30:M30"/>
    <mergeCell ref="I13:I15"/>
    <mergeCell ref="B26:C26"/>
    <mergeCell ref="L31:M31"/>
    <mergeCell ref="L32:M32"/>
    <mergeCell ref="A29:A31"/>
    <mergeCell ref="B29:C29"/>
    <mergeCell ref="B27:C27"/>
    <mergeCell ref="B30:C30"/>
    <mergeCell ref="B31:C31"/>
    <mergeCell ref="B28:C28"/>
  </mergeCells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34998626667073579"/>
  </sheetPr>
  <dimension ref="A1:Z102"/>
  <sheetViews>
    <sheetView rightToLeft="1" zoomScale="94" zoomScaleNormal="94" workbookViewId="0">
      <selection activeCell="H43" sqref="H43"/>
    </sheetView>
  </sheetViews>
  <sheetFormatPr baseColWidth="10" defaultColWidth="8.83203125" defaultRowHeight="15"/>
  <cols>
    <col min="1" max="1" width="44.1640625" customWidth="1"/>
    <col min="2" max="2" width="23" customWidth="1"/>
    <col min="3" max="3" width="11.6640625" customWidth="1"/>
    <col min="4" max="4" width="55.1640625" bestFit="1" customWidth="1"/>
    <col min="5" max="5" width="9.6640625" customWidth="1"/>
    <col min="6" max="6" width="30.1640625" customWidth="1"/>
    <col min="7" max="7" width="14.5" customWidth="1"/>
    <col min="8" max="8" width="31.5" bestFit="1" customWidth="1"/>
    <col min="9" max="14" width="11.6640625" customWidth="1"/>
    <col min="15" max="15" width="29.6640625" bestFit="1" customWidth="1"/>
    <col min="16" max="16" width="9.1640625" bestFit="1" customWidth="1"/>
    <col min="17" max="17" width="12.1640625" customWidth="1"/>
    <col min="18" max="18" width="14.33203125" bestFit="1" customWidth="1"/>
    <col min="19" max="19" width="12.1640625" customWidth="1"/>
    <col min="20" max="20" width="12" bestFit="1" customWidth="1"/>
  </cols>
  <sheetData>
    <row r="1" spans="1:26" s="201" customFormat="1" ht="30" thickBot="1">
      <c r="A1" s="200" t="s">
        <v>10</v>
      </c>
    </row>
    <row r="2" spans="1:26" ht="66" thickTop="1" thickBot="1">
      <c r="A2" s="551" t="s">
        <v>75</v>
      </c>
      <c r="B2" s="553"/>
      <c r="C2" s="860"/>
      <c r="D2" s="962" t="s">
        <v>61</v>
      </c>
      <c r="E2" s="963"/>
      <c r="F2" s="608" t="s">
        <v>25</v>
      </c>
      <c r="G2" s="549"/>
      <c r="H2" s="214" t="s">
        <v>46</v>
      </c>
      <c r="I2" s="214" t="s">
        <v>63</v>
      </c>
      <c r="J2" s="214" t="s">
        <v>193</v>
      </c>
      <c r="K2" s="214" t="s">
        <v>267</v>
      </c>
      <c r="L2" s="214" t="s">
        <v>287</v>
      </c>
      <c r="M2" s="215" t="s">
        <v>266</v>
      </c>
      <c r="N2" s="216" t="s">
        <v>147</v>
      </c>
      <c r="O2" s="216" t="s">
        <v>171</v>
      </c>
    </row>
    <row r="3" spans="1:26" ht="16" thickBot="1">
      <c r="A3" s="62" t="s">
        <v>192</v>
      </c>
      <c r="B3" s="334">
        <v>2.7E-2</v>
      </c>
      <c r="C3" s="860"/>
      <c r="D3" s="609" t="s">
        <v>76</v>
      </c>
      <c r="E3" s="197">
        <v>0.17</v>
      </c>
      <c r="F3" s="610" t="s">
        <v>107</v>
      </c>
      <c r="G3" s="18"/>
      <c r="H3" s="34" t="s">
        <v>169</v>
      </c>
      <c r="I3" s="190">
        <v>1440</v>
      </c>
      <c r="J3" s="480" t="s">
        <v>194</v>
      </c>
      <c r="K3" s="34">
        <v>2022</v>
      </c>
      <c r="L3" s="34"/>
      <c r="M3" s="93"/>
      <c r="N3" s="35"/>
      <c r="O3" s="35"/>
    </row>
    <row r="4" spans="1:26" ht="16" thickBot="1">
      <c r="A4" s="27" t="s">
        <v>6</v>
      </c>
      <c r="B4" s="37" t="s">
        <v>223</v>
      </c>
      <c r="C4" s="860"/>
      <c r="D4" s="611" t="s">
        <v>102</v>
      </c>
      <c r="E4" s="198">
        <v>0.13</v>
      </c>
      <c r="F4" s="612" t="s">
        <v>107</v>
      </c>
      <c r="G4" s="18"/>
      <c r="H4" s="68" t="s">
        <v>64</v>
      </c>
      <c r="I4" s="190">
        <v>1150</v>
      </c>
      <c r="J4" s="480" t="s">
        <v>195</v>
      </c>
      <c r="K4" s="68">
        <v>2045</v>
      </c>
      <c r="L4" s="68">
        <v>2024</v>
      </c>
      <c r="M4" s="481">
        <v>2026</v>
      </c>
      <c r="N4" s="482">
        <v>188.26213227408743</v>
      </c>
      <c r="O4" s="483">
        <v>7.931732176811594</v>
      </c>
    </row>
    <row r="5" spans="1:26">
      <c r="A5" s="8">
        <v>2020</v>
      </c>
      <c r="B5" s="29">
        <v>73.405000000000001</v>
      </c>
      <c r="C5" s="860"/>
      <c r="D5" s="609" t="s">
        <v>18</v>
      </c>
      <c r="E5" s="186">
        <f>3947</f>
        <v>3947</v>
      </c>
      <c r="F5" s="610" t="s">
        <v>301</v>
      </c>
      <c r="G5" s="18"/>
      <c r="H5" s="68" t="s">
        <v>65</v>
      </c>
      <c r="I5" s="190">
        <v>1150</v>
      </c>
      <c r="J5" s="480" t="s">
        <v>196</v>
      </c>
      <c r="K5" s="68">
        <v>2040</v>
      </c>
      <c r="L5" s="68">
        <v>2022</v>
      </c>
      <c r="M5" s="481">
        <v>2024</v>
      </c>
      <c r="N5" s="482">
        <v>206.52300183930484</v>
      </c>
      <c r="O5" s="483">
        <v>-1.2410071420289903</v>
      </c>
    </row>
    <row r="6" spans="1:26">
      <c r="A6" s="8">
        <v>2021</v>
      </c>
      <c r="B6" s="29">
        <v>74.593000000000004</v>
      </c>
      <c r="D6" s="588" t="s">
        <v>77</v>
      </c>
      <c r="E6" s="404">
        <f>2867</f>
        <v>2867</v>
      </c>
      <c r="F6" s="589" t="s">
        <v>301</v>
      </c>
      <c r="G6" s="18"/>
      <c r="H6" s="68" t="s">
        <v>270</v>
      </c>
      <c r="I6" s="190">
        <v>1100</v>
      </c>
      <c r="J6" s="480" t="s">
        <v>197</v>
      </c>
      <c r="K6" s="68">
        <v>2049</v>
      </c>
      <c r="L6" s="68">
        <v>2026</v>
      </c>
      <c r="M6" s="481">
        <v>2028</v>
      </c>
      <c r="N6" s="482">
        <v>186.1938525928116</v>
      </c>
      <c r="O6" s="483">
        <v>11.910159199999994</v>
      </c>
    </row>
    <row r="7" spans="1:26" ht="16" thickBot="1">
      <c r="A7" s="8">
        <v>2022</v>
      </c>
      <c r="B7" s="29">
        <v>77.028999999999996</v>
      </c>
      <c r="D7" s="587" t="s">
        <v>314</v>
      </c>
      <c r="E7" s="403">
        <f>(1+B37)^(3/2)</f>
        <v>1.0605960588272993</v>
      </c>
      <c r="F7" s="613" t="s">
        <v>419</v>
      </c>
      <c r="G7" s="18"/>
      <c r="H7" s="71" t="s">
        <v>170</v>
      </c>
      <c r="I7" s="190">
        <f>SUM(I3:I6)</f>
        <v>4840</v>
      </c>
      <c r="J7" s="93"/>
      <c r="K7" s="68"/>
      <c r="L7" s="68"/>
      <c r="M7" s="481"/>
      <c r="N7" s="482"/>
      <c r="O7" s="483"/>
    </row>
    <row r="8" spans="1:26" ht="16" thickBot="1">
      <c r="A8" s="8">
        <v>2023</v>
      </c>
      <c r="B8" s="29">
        <v>79.543999999999997</v>
      </c>
      <c r="D8" s="592" t="s">
        <v>187</v>
      </c>
      <c r="E8" s="614">
        <f>(E24*E6+(1-E24)*E5)*E7</f>
        <v>3785.2673339546313</v>
      </c>
      <c r="F8" s="594" t="s">
        <v>62</v>
      </c>
      <c r="G8" s="18"/>
      <c r="H8" s="317" t="s">
        <v>259</v>
      </c>
      <c r="I8" s="870">
        <v>3400</v>
      </c>
      <c r="J8" s="871"/>
      <c r="K8" s="872"/>
      <c r="L8" s="872"/>
      <c r="M8" s="873"/>
      <c r="N8" s="874">
        <f>SUMPRODUCT(N4:N6,I4:I6)/I8</f>
        <v>193.76945355367468</v>
      </c>
      <c r="O8" s="875">
        <v>6.1163261499999972</v>
      </c>
    </row>
    <row r="9" spans="1:26" ht="16" thickTop="1">
      <c r="A9" s="8">
        <v>2024</v>
      </c>
      <c r="B9" s="202">
        <v>82.141999999999996</v>
      </c>
      <c r="D9" s="590" t="s">
        <v>183</v>
      </c>
      <c r="E9" s="604">
        <f>N8</f>
        <v>193.76945355367468</v>
      </c>
      <c r="F9" s="591" t="s">
        <v>22</v>
      </c>
      <c r="G9" s="18"/>
      <c r="I9" s="18"/>
      <c r="O9" s="9"/>
    </row>
    <row r="10" spans="1:26">
      <c r="A10" s="34">
        <v>2025</v>
      </c>
      <c r="B10" s="202">
        <v>84.823999999999998</v>
      </c>
      <c r="D10" s="588" t="s">
        <v>184</v>
      </c>
      <c r="E10" s="196">
        <f>+E9+O8</f>
        <v>199.88577970367467</v>
      </c>
      <c r="F10" s="589" t="s">
        <v>23</v>
      </c>
      <c r="G10" s="18"/>
      <c r="H10" s="958"/>
      <c r="I10" s="958"/>
    </row>
    <row r="11" spans="1:26" s="15" customFormat="1">
      <c r="A11" s="8">
        <v>2026</v>
      </c>
      <c r="B11" s="202">
        <f t="shared" ref="B11:B24" si="0">B10*(1+$B$3)</f>
        <v>87.114247999999989</v>
      </c>
      <c r="C11"/>
      <c r="D11" s="588" t="s">
        <v>185</v>
      </c>
      <c r="E11" s="196">
        <f>165</f>
        <v>165</v>
      </c>
      <c r="F11" s="589" t="s">
        <v>302</v>
      </c>
      <c r="G11" s="18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</row>
    <row r="12" spans="1:26" s="15" customFormat="1">
      <c r="A12" s="8">
        <v>2027</v>
      </c>
      <c r="B12" s="202">
        <f t="shared" si="0"/>
        <v>89.466332695999981</v>
      </c>
      <c r="C12"/>
      <c r="D12" s="602" t="s">
        <v>186</v>
      </c>
      <c r="E12" s="313">
        <f>163</f>
        <v>163</v>
      </c>
      <c r="F12" s="601" t="s">
        <v>302</v>
      </c>
      <c r="G12" s="18"/>
      <c r="H12"/>
      <c r="I12"/>
      <c r="J12"/>
      <c r="K12"/>
      <c r="L12"/>
      <c r="M12"/>
      <c r="O12"/>
      <c r="P12"/>
      <c r="Q12"/>
      <c r="R12"/>
      <c r="S12"/>
      <c r="T12"/>
      <c r="U12"/>
      <c r="V12"/>
      <c r="W12"/>
      <c r="X12"/>
      <c r="Y12"/>
      <c r="Z12"/>
    </row>
    <row r="13" spans="1:26" s="15" customFormat="1" ht="16" thickBot="1">
      <c r="A13" s="8">
        <v>2028</v>
      </c>
      <c r="B13" s="202">
        <f t="shared" si="0"/>
        <v>91.881923678791978</v>
      </c>
      <c r="C13"/>
      <c r="D13" s="605" t="s">
        <v>108</v>
      </c>
      <c r="E13" s="606">
        <f>E12*E24+E11*(1-E24)</f>
        <v>164.3</v>
      </c>
      <c r="F13" s="607" t="s">
        <v>62</v>
      </c>
      <c r="G13" s="579"/>
      <c r="H13"/>
      <c r="I13"/>
      <c r="J13"/>
      <c r="K13"/>
      <c r="L13"/>
      <c r="M13"/>
      <c r="O13"/>
      <c r="P13"/>
      <c r="Q13"/>
      <c r="R13"/>
      <c r="S13"/>
      <c r="T13"/>
      <c r="U13"/>
      <c r="V13"/>
      <c r="W13"/>
      <c r="X13"/>
      <c r="Y13"/>
      <c r="Z13"/>
    </row>
    <row r="14" spans="1:26" s="15" customFormat="1" ht="16" thickTop="1">
      <c r="A14" s="8">
        <v>2029</v>
      </c>
      <c r="B14" s="202">
        <f t="shared" si="0"/>
        <v>94.362735618119359</v>
      </c>
      <c r="C14"/>
      <c r="D14" s="595" t="s">
        <v>418</v>
      </c>
      <c r="E14" s="596">
        <v>0.27710355731225295</v>
      </c>
      <c r="F14" s="597" t="s">
        <v>172</v>
      </c>
      <c r="G14" s="579"/>
      <c r="H14"/>
      <c r="I14"/>
      <c r="J14"/>
      <c r="K14"/>
      <c r="L14"/>
      <c r="M14"/>
      <c r="O14"/>
      <c r="P14"/>
      <c r="Q14"/>
      <c r="R14"/>
      <c r="S14"/>
      <c r="T14"/>
      <c r="U14"/>
      <c r="V14"/>
      <c r="W14"/>
      <c r="X14"/>
      <c r="Y14"/>
      <c r="Z14"/>
    </row>
    <row r="15" spans="1:26" s="15" customFormat="1">
      <c r="A15" s="8">
        <v>2030</v>
      </c>
      <c r="B15" s="202">
        <f t="shared" si="0"/>
        <v>96.910529479808574</v>
      </c>
      <c r="C15"/>
      <c r="D15" s="598" t="s">
        <v>269</v>
      </c>
      <c r="E15" s="315">
        <v>0.19818181818181815</v>
      </c>
      <c r="F15" s="599" t="s">
        <v>172</v>
      </c>
      <c r="G15" s="18"/>
      <c r="H15"/>
      <c r="I15"/>
      <c r="J15"/>
      <c r="K15"/>
      <c r="L15"/>
      <c r="M15"/>
      <c r="O15"/>
      <c r="P15"/>
      <c r="Q15"/>
      <c r="R15"/>
      <c r="S15"/>
      <c r="T15"/>
      <c r="U15"/>
      <c r="V15"/>
      <c r="W15"/>
      <c r="X15"/>
      <c r="Y15"/>
      <c r="Z15"/>
    </row>
    <row r="16" spans="1:26" s="15" customFormat="1" ht="16">
      <c r="A16" s="8">
        <v>2031</v>
      </c>
      <c r="B16" s="202">
        <f t="shared" si="0"/>
        <v>99.527113775763397</v>
      </c>
      <c r="C16" s="5"/>
      <c r="D16" s="600" t="s">
        <v>268</v>
      </c>
      <c r="E16" s="315">
        <v>0.6</v>
      </c>
      <c r="F16" s="601" t="s">
        <v>173</v>
      </c>
      <c r="G16" s="22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</row>
    <row r="17" spans="1:14">
      <c r="A17" s="8">
        <v>2032</v>
      </c>
      <c r="B17" s="202">
        <f t="shared" si="0"/>
        <v>102.214345847709</v>
      </c>
      <c r="C17" s="170"/>
      <c r="D17" s="602" t="s">
        <v>20</v>
      </c>
      <c r="E17" s="316">
        <f>E16*B36/1000*100+E14</f>
        <v>0.49310355731225297</v>
      </c>
      <c r="F17" s="603" t="s">
        <v>74</v>
      </c>
      <c r="G17" s="18"/>
      <c r="I17" s="18"/>
      <c r="J17" s="15"/>
    </row>
    <row r="18" spans="1:14">
      <c r="A18" s="8">
        <v>2033</v>
      </c>
      <c r="B18" s="202">
        <f t="shared" si="0"/>
        <v>104.97413318559713</v>
      </c>
      <c r="C18" s="170"/>
      <c r="D18" s="602" t="s">
        <v>326</v>
      </c>
      <c r="E18" s="316">
        <f>E16*B36/1000*100+E15</f>
        <v>0.41418181818181815</v>
      </c>
      <c r="F18" s="601" t="s">
        <v>24</v>
      </c>
      <c r="G18" s="18"/>
      <c r="I18" s="18"/>
    </row>
    <row r="19" spans="1:14">
      <c r="A19" s="8">
        <v>2034</v>
      </c>
      <c r="B19" s="202">
        <f t="shared" si="0"/>
        <v>107.80843478160824</v>
      </c>
      <c r="C19" s="170"/>
      <c r="D19" s="588" t="s">
        <v>21</v>
      </c>
      <c r="E19" s="195">
        <f>1.03</f>
        <v>1.03</v>
      </c>
      <c r="F19" s="589" t="s">
        <v>302</v>
      </c>
      <c r="G19" s="18"/>
      <c r="I19" s="18"/>
    </row>
    <row r="20" spans="1:14">
      <c r="A20" s="8">
        <v>2035</v>
      </c>
      <c r="B20" s="202">
        <f t="shared" si="0"/>
        <v>110.71926252071165</v>
      </c>
      <c r="C20" s="170"/>
      <c r="D20" s="588" t="s">
        <v>78</v>
      </c>
      <c r="E20" s="195">
        <f>0.55</f>
        <v>0.55000000000000004</v>
      </c>
      <c r="F20" s="589" t="s">
        <v>301</v>
      </c>
      <c r="G20" s="18"/>
    </row>
    <row r="21" spans="1:14" ht="16" thickBot="1">
      <c r="A21" s="8">
        <v>2036</v>
      </c>
      <c r="B21" s="202">
        <f t="shared" si="0"/>
        <v>113.70868260877086</v>
      </c>
      <c r="C21" s="170"/>
      <c r="D21" s="588" t="s">
        <v>109</v>
      </c>
      <c r="E21" s="195">
        <f>E20*E25+E19*(1-E25)</f>
        <v>0.95799999999999996</v>
      </c>
      <c r="F21" s="589" t="s">
        <v>62</v>
      </c>
      <c r="G21" s="18"/>
    </row>
    <row r="22" spans="1:14">
      <c r="A22" s="8">
        <v>2037</v>
      </c>
      <c r="B22" s="202">
        <f t="shared" si="0"/>
        <v>116.77881703920767</v>
      </c>
      <c r="C22" s="170"/>
      <c r="D22" s="797" t="s">
        <v>420</v>
      </c>
      <c r="E22" s="798">
        <v>3660</v>
      </c>
      <c r="F22" s="167" t="s">
        <v>292</v>
      </c>
      <c r="G22" s="18"/>
      <c r="N22" s="15"/>
    </row>
    <row r="23" spans="1:14">
      <c r="A23" s="8">
        <v>2038</v>
      </c>
      <c r="B23" s="202">
        <f t="shared" si="0"/>
        <v>119.93184509926627</v>
      </c>
      <c r="D23" s="68" t="s">
        <v>416</v>
      </c>
      <c r="E23" s="75">
        <v>25</v>
      </c>
      <c r="F23" s="35" t="s">
        <v>417</v>
      </c>
      <c r="G23" s="18"/>
    </row>
    <row r="24" spans="1:14">
      <c r="A24" s="8">
        <v>2039</v>
      </c>
      <c r="B24" s="202">
        <f t="shared" si="0"/>
        <v>123.17000491694645</v>
      </c>
      <c r="D24" s="68" t="s">
        <v>258</v>
      </c>
      <c r="E24" s="793">
        <v>0.35</v>
      </c>
      <c r="F24" s="35" t="s">
        <v>101</v>
      </c>
      <c r="G24" s="18"/>
    </row>
    <row r="25" spans="1:14">
      <c r="A25" s="8">
        <v>2040</v>
      </c>
      <c r="B25" s="202">
        <f t="shared" ref="B25:B30" si="1">B24*(1+$B$3)</f>
        <v>126.49559504970399</v>
      </c>
      <c r="D25" s="68" t="s">
        <v>379</v>
      </c>
      <c r="E25" s="793">
        <v>0.15</v>
      </c>
      <c r="F25" s="35" t="s">
        <v>260</v>
      </c>
    </row>
    <row r="26" spans="1:14">
      <c r="A26" s="8">
        <v>2041</v>
      </c>
      <c r="B26" s="202">
        <f t="shared" si="1"/>
        <v>129.91097611604599</v>
      </c>
      <c r="D26" s="68" t="s">
        <v>413</v>
      </c>
      <c r="E26" s="793">
        <f>6500/8760</f>
        <v>0.74200913242009137</v>
      </c>
      <c r="F26" s="35" t="s">
        <v>415</v>
      </c>
    </row>
    <row r="27" spans="1:14" ht="16" thickBot="1">
      <c r="A27" s="8">
        <v>2042</v>
      </c>
      <c r="B27" s="202">
        <f t="shared" si="1"/>
        <v>133.4185724711792</v>
      </c>
      <c r="D27" s="68" t="s">
        <v>414</v>
      </c>
      <c r="E27" s="793">
        <f>1500/8760</f>
        <v>0.17123287671232876</v>
      </c>
      <c r="F27" s="35" t="s">
        <v>415</v>
      </c>
      <c r="G27" s="18"/>
    </row>
    <row r="28" spans="1:14">
      <c r="A28" s="8">
        <v>2043</v>
      </c>
      <c r="B28" s="202">
        <f t="shared" si="1"/>
        <v>137.02087392790102</v>
      </c>
      <c r="C28" s="28"/>
      <c r="D28" s="797" t="s">
        <v>444</v>
      </c>
      <c r="E28" s="799">
        <v>0.65</v>
      </c>
      <c r="F28" s="167" t="s">
        <v>461</v>
      </c>
    </row>
    <row r="29" spans="1:14">
      <c r="A29" s="8">
        <v>2044</v>
      </c>
      <c r="B29" s="202">
        <f t="shared" si="1"/>
        <v>140.72043752395433</v>
      </c>
      <c r="C29" s="28"/>
      <c r="D29" s="68" t="s">
        <v>445</v>
      </c>
      <c r="E29" s="793">
        <f>E28/1.11</f>
        <v>0.5855855855855856</v>
      </c>
      <c r="F29" s="35" t="s">
        <v>469</v>
      </c>
      <c r="H29" s="800"/>
    </row>
    <row r="30" spans="1:14">
      <c r="A30" s="8">
        <v>2045</v>
      </c>
      <c r="B30" s="202">
        <f t="shared" si="1"/>
        <v>144.51988933710109</v>
      </c>
      <c r="D30" s="68" t="s">
        <v>471</v>
      </c>
      <c r="E30" s="51">
        <f>E28*$E$34*$E$35*E36/$B$45</f>
        <v>0.54271281531531512</v>
      </c>
      <c r="F30" s="35" t="s">
        <v>447</v>
      </c>
      <c r="I30" s="785"/>
    </row>
    <row r="31" spans="1:14">
      <c r="A31" s="8">
        <v>2040</v>
      </c>
      <c r="B31" s="202">
        <f>B24*(1+$B$3)</f>
        <v>126.49559504970399</v>
      </c>
      <c r="D31" s="68" t="s">
        <v>446</v>
      </c>
      <c r="E31" s="794">
        <v>0.43</v>
      </c>
      <c r="F31" s="35" t="s">
        <v>462</v>
      </c>
    </row>
    <row r="32" spans="1:14" ht="16" thickBot="1">
      <c r="A32" s="27" t="s">
        <v>88</v>
      </c>
      <c r="B32" s="61">
        <f>SUM(B5:B31)</f>
        <v>2868.6873487238909</v>
      </c>
      <c r="D32" s="68" t="s">
        <v>472</v>
      </c>
      <c r="E32" s="794">
        <f>E31/1.11</f>
        <v>0.38738738738738737</v>
      </c>
      <c r="F32" s="35"/>
    </row>
    <row r="33" spans="1:6">
      <c r="A33" s="76" t="s">
        <v>91</v>
      </c>
      <c r="C33" s="18"/>
      <c r="D33" s="68" t="s">
        <v>463</v>
      </c>
      <c r="E33" s="794">
        <f>E31*E34/B45</f>
        <v>0.3757657657657657</v>
      </c>
      <c r="F33" s="35" t="s">
        <v>447</v>
      </c>
    </row>
    <row r="34" spans="1:6" ht="16" thickBot="1">
      <c r="C34" s="91"/>
      <c r="D34" s="68" t="s">
        <v>464</v>
      </c>
      <c r="E34" s="795">
        <v>0.97</v>
      </c>
      <c r="F34" s="35" t="s">
        <v>301</v>
      </c>
    </row>
    <row r="35" spans="1:6">
      <c r="A35" s="960" t="s">
        <v>13</v>
      </c>
      <c r="B35" s="961"/>
      <c r="C35" s="18"/>
      <c r="D35" s="68" t="s">
        <v>465</v>
      </c>
      <c r="E35" s="796">
        <v>0.98499999999999999</v>
      </c>
      <c r="F35" s="35" t="s">
        <v>301</v>
      </c>
    </row>
    <row r="36" spans="1:6" ht="16" thickBot="1">
      <c r="A36" s="8" t="s">
        <v>11</v>
      </c>
      <c r="B36" s="20">
        <v>3.6</v>
      </c>
      <c r="C36" s="18"/>
      <c r="D36" s="68" t="s">
        <v>466</v>
      </c>
      <c r="E36" s="796">
        <v>0.97</v>
      </c>
      <c r="F36" s="35" t="s">
        <v>301</v>
      </c>
    </row>
    <row r="37" spans="1:6" ht="16" thickBot="1">
      <c r="A37" s="27" t="s">
        <v>12</v>
      </c>
      <c r="B37" s="38">
        <v>0.04</v>
      </c>
      <c r="D37" s="866" t="s">
        <v>323</v>
      </c>
      <c r="E37" s="867">
        <f>AVERAGE(F61,F62)/1.04</f>
        <v>0.36678124619383251</v>
      </c>
      <c r="F37" s="167" t="s">
        <v>469</v>
      </c>
    </row>
    <row r="38" spans="1:6">
      <c r="D38" s="71" t="s">
        <v>313</v>
      </c>
      <c r="E38" s="864">
        <f>E37+1.3%</f>
        <v>0.37978124619383252</v>
      </c>
      <c r="F38" s="35" t="s">
        <v>470</v>
      </c>
    </row>
    <row r="39" spans="1:6" ht="16" thickBot="1">
      <c r="D39" s="188" t="s">
        <v>324</v>
      </c>
      <c r="E39" s="865">
        <f>AVERAGE(E67,E68)</f>
        <v>7.3658587254490193</v>
      </c>
      <c r="F39" s="35" t="s">
        <v>469</v>
      </c>
    </row>
    <row r="40" spans="1:6">
      <c r="A40" s="960" t="s">
        <v>14</v>
      </c>
      <c r="B40" s="961"/>
      <c r="D40" s="188" t="s">
        <v>325</v>
      </c>
      <c r="E40" s="865">
        <f>1.04*B41/E38</f>
        <v>9.3434840070774037</v>
      </c>
      <c r="F40" s="35" t="s">
        <v>469</v>
      </c>
    </row>
    <row r="41" spans="1:6" ht="16">
      <c r="A41" s="187" t="s">
        <v>80</v>
      </c>
      <c r="B41" s="69">
        <v>3.4119999999999999</v>
      </c>
      <c r="D41" s="399" t="s">
        <v>468</v>
      </c>
      <c r="E41" s="869">
        <f>F69</f>
        <v>0.46168537959183675</v>
      </c>
      <c r="F41" s="35" t="s">
        <v>469</v>
      </c>
    </row>
    <row r="42" spans="1:6" ht="16" thickBot="1">
      <c r="A42" s="188" t="s">
        <v>60</v>
      </c>
      <c r="B42" s="69">
        <v>23.8</v>
      </c>
      <c r="D42" s="27" t="s">
        <v>467</v>
      </c>
      <c r="E42" s="868">
        <f>E41*B45</f>
        <v>0.51247077134693886</v>
      </c>
      <c r="F42" s="168" t="s">
        <v>469</v>
      </c>
    </row>
    <row r="43" spans="1:6">
      <c r="A43" s="188" t="s">
        <v>182</v>
      </c>
      <c r="B43" s="70">
        <f>1000000000/27.8</f>
        <v>35971223.02158273</v>
      </c>
      <c r="D43" s="34" t="s">
        <v>114</v>
      </c>
      <c r="E43" s="18">
        <v>300</v>
      </c>
      <c r="F43" s="35" t="s">
        <v>224</v>
      </c>
    </row>
    <row r="44" spans="1:6" ht="16" thickBot="1">
      <c r="A44" s="188" t="s">
        <v>296</v>
      </c>
      <c r="B44" s="483">
        <v>47.2</v>
      </c>
      <c r="D44" s="36" t="s">
        <v>115</v>
      </c>
      <c r="E44" s="535">
        <v>240</v>
      </c>
      <c r="F44" s="168" t="s">
        <v>224</v>
      </c>
    </row>
    <row r="45" spans="1:6" ht="16" thickBot="1">
      <c r="A45" s="189" t="s">
        <v>376</v>
      </c>
      <c r="B45" s="168">
        <v>1.1100000000000001</v>
      </c>
      <c r="D45" s="588" t="s">
        <v>79</v>
      </c>
      <c r="E45" s="75">
        <v>1</v>
      </c>
      <c r="F45" s="589" t="s">
        <v>59</v>
      </c>
    </row>
    <row r="46" spans="1:6" ht="16" thickBot="1">
      <c r="D46" s="592" t="s">
        <v>174</v>
      </c>
      <c r="E46" s="593">
        <v>700</v>
      </c>
      <c r="F46" s="594" t="s">
        <v>110</v>
      </c>
    </row>
    <row r="47" spans="1:6" ht="16" thickTop="1">
      <c r="A47" s="9"/>
      <c r="B47" s="139"/>
      <c r="C47" s="549"/>
      <c r="F47" s="18"/>
    </row>
    <row r="48" spans="1:6">
      <c r="A48" s="9"/>
      <c r="B48" s="139"/>
      <c r="C48" s="9"/>
    </row>
    <row r="49" spans="1:6">
      <c r="C49" s="9"/>
    </row>
    <row r="50" spans="1:6">
      <c r="C50" s="9"/>
      <c r="D50" s="5"/>
    </row>
    <row r="51" spans="1:6">
      <c r="C51" s="9"/>
    </row>
    <row r="52" spans="1:6" ht="16" thickBot="1">
      <c r="C52" s="9"/>
      <c r="D52" s="5"/>
    </row>
    <row r="53" spans="1:6" ht="16" thickBot="1">
      <c r="A53" s="554" t="s">
        <v>473</v>
      </c>
      <c r="B53" s="556"/>
      <c r="C53" s="9"/>
    </row>
    <row r="54" spans="1:6" ht="16" thickBot="1">
      <c r="A54" s="62" t="s">
        <v>264</v>
      </c>
      <c r="B54" s="39">
        <v>11.1</v>
      </c>
      <c r="C54" s="9"/>
    </row>
    <row r="55" spans="1:6" ht="16" thickBot="1">
      <c r="A55" s="27" t="s">
        <v>265</v>
      </c>
      <c r="B55" s="37">
        <v>13.2</v>
      </c>
      <c r="C55" s="9"/>
    </row>
    <row r="56" spans="1:6">
      <c r="A56" s="354"/>
      <c r="B56" s="18"/>
    </row>
    <row r="57" spans="1:6">
      <c r="A57" s="354"/>
      <c r="B57" s="18"/>
    </row>
    <row r="58" spans="1:6" ht="16" thickBot="1">
      <c r="A58" s="354"/>
      <c r="B58" s="18"/>
    </row>
    <row r="59" spans="1:6" ht="16" thickBot="1">
      <c r="A59" s="540" t="s">
        <v>305</v>
      </c>
      <c r="B59" s="541"/>
      <c r="C59" s="541"/>
      <c r="D59" s="541"/>
      <c r="E59" s="541"/>
      <c r="F59" s="542"/>
    </row>
    <row r="60" spans="1:6" ht="16" thickBot="1">
      <c r="A60" s="408" t="s">
        <v>6</v>
      </c>
      <c r="B60" s="410" t="s">
        <v>307</v>
      </c>
      <c r="C60" s="410" t="s">
        <v>308</v>
      </c>
      <c r="D60" s="410" t="s">
        <v>306</v>
      </c>
      <c r="E60" s="410" t="s">
        <v>309</v>
      </c>
      <c r="F60" s="314" t="s">
        <v>310</v>
      </c>
    </row>
    <row r="61" spans="1:6">
      <c r="A61" s="413">
        <v>2017</v>
      </c>
      <c r="B61" s="407">
        <v>7833.7</v>
      </c>
      <c r="C61" s="407">
        <f>B61*$B$42/1000</f>
        <v>186.44206</v>
      </c>
      <c r="D61" s="407">
        <v>20.6</v>
      </c>
      <c r="E61" s="407">
        <f>C61/D61</f>
        <v>9.0505854368932024</v>
      </c>
      <c r="F61" s="416">
        <f>B41/$E$61</f>
        <v>0.37699218727791362</v>
      </c>
    </row>
    <row r="62" spans="1:6" ht="16" thickBot="1">
      <c r="A62" s="408">
        <v>2018</v>
      </c>
      <c r="B62" s="409">
        <v>8172.7</v>
      </c>
      <c r="C62" s="409">
        <f>B62*$B$42/1000</f>
        <v>194.51026000000002</v>
      </c>
      <c r="D62" s="410">
        <v>22</v>
      </c>
      <c r="E62" s="411">
        <f>C62/D62</f>
        <v>8.8413754545454548</v>
      </c>
      <c r="F62" s="412">
        <f>B41/$E$62</f>
        <v>0.38591280480525808</v>
      </c>
    </row>
    <row r="64" spans="1:6" ht="16" thickBot="1">
      <c r="B64" s="405"/>
      <c r="C64" s="405"/>
      <c r="D64" s="405"/>
      <c r="E64" s="405"/>
      <c r="F64" s="405"/>
    </row>
    <row r="65" spans="1:9" ht="16" thickBot="1">
      <c r="A65" s="543" t="s">
        <v>421</v>
      </c>
      <c r="B65" s="544"/>
      <c r="C65" s="544"/>
      <c r="D65" s="544"/>
      <c r="E65" s="544"/>
      <c r="F65" s="545"/>
      <c r="G65" s="405"/>
      <c r="H65" s="405"/>
      <c r="I65" s="405"/>
    </row>
    <row r="66" spans="1:9" ht="16" thickBot="1">
      <c r="A66" s="491" t="s">
        <v>371</v>
      </c>
      <c r="B66" s="492" t="s">
        <v>370</v>
      </c>
      <c r="C66" s="492" t="s">
        <v>375</v>
      </c>
      <c r="D66" s="492" t="s">
        <v>374</v>
      </c>
      <c r="E66" s="492" t="s">
        <v>311</v>
      </c>
      <c r="F66" s="493" t="s">
        <v>312</v>
      </c>
    </row>
    <row r="67" spans="1:9">
      <c r="A67" s="100" t="s">
        <v>372</v>
      </c>
      <c r="B67" s="43">
        <v>5.6</v>
      </c>
      <c r="C67" s="405">
        <f>B67*$B$43/10^6</f>
        <v>201.43884892086328</v>
      </c>
      <c r="D67" s="42">
        <v>27</v>
      </c>
      <c r="E67" s="42">
        <f>C67/D67</f>
        <v>7.4606981081801216</v>
      </c>
      <c r="F67" s="169">
        <f>$B$41/E67</f>
        <v>0.45732985714285718</v>
      </c>
    </row>
    <row r="68" spans="1:9">
      <c r="A68" s="100" t="s">
        <v>373</v>
      </c>
      <c r="B68" s="43">
        <v>3.22</v>
      </c>
      <c r="C68" s="405">
        <f>B68*$B$43/10^6</f>
        <v>115.8273381294964</v>
      </c>
      <c r="D68" s="42">
        <v>15.93</v>
      </c>
      <c r="E68" s="42">
        <f>C68/D68</f>
        <v>7.2710193427179162</v>
      </c>
      <c r="F68" s="169">
        <f>$B$41/E68</f>
        <v>0.469260201242236</v>
      </c>
    </row>
    <row r="69" spans="1:9" ht="16" thickBot="1">
      <c r="A69" s="414" t="s">
        <v>32</v>
      </c>
      <c r="B69" s="406">
        <f>B68+B67</f>
        <v>8.82</v>
      </c>
      <c r="C69" s="406">
        <f>C68+C67</f>
        <v>317.26618705035969</v>
      </c>
      <c r="D69" s="406">
        <f>D68+D67</f>
        <v>42.93</v>
      </c>
      <c r="E69" s="45">
        <f>C69/D69</f>
        <v>7.3903141637633283</v>
      </c>
      <c r="F69" s="415">
        <f>$B$41/E69</f>
        <v>0.46168537959183675</v>
      </c>
    </row>
    <row r="70" spans="1:9">
      <c r="A70" s="354"/>
      <c r="B70" s="18"/>
    </row>
    <row r="71" spans="1:9">
      <c r="A71" s="354"/>
      <c r="B71" s="18"/>
      <c r="D71" s="405"/>
      <c r="E71" s="405"/>
      <c r="F71" s="405"/>
    </row>
    <row r="72" spans="1:9" ht="16" thickBot="1"/>
    <row r="73" spans="1:9" ht="16" thickBot="1">
      <c r="A73" s="554" t="s">
        <v>355</v>
      </c>
      <c r="B73" s="555"/>
      <c r="C73" s="555"/>
      <c r="D73" s="555"/>
      <c r="E73" s="790"/>
    </row>
    <row r="74" spans="1:9" ht="18" thickBot="1">
      <c r="A74" s="554"/>
      <c r="B74" s="555" t="s">
        <v>369</v>
      </c>
      <c r="C74" s="555" t="s">
        <v>368</v>
      </c>
      <c r="D74" s="555" t="s">
        <v>367</v>
      </c>
      <c r="E74" s="791" t="s">
        <v>359</v>
      </c>
    </row>
    <row r="75" spans="1:9">
      <c r="A75" s="6" t="s">
        <v>318</v>
      </c>
      <c r="B75" s="453">
        <v>880</v>
      </c>
      <c r="C75" s="423">
        <v>0.46</v>
      </c>
      <c r="D75" s="7">
        <v>0.46</v>
      </c>
      <c r="E75" s="792">
        <v>0.15</v>
      </c>
    </row>
    <row r="76" spans="1:9">
      <c r="A76" s="8" t="s">
        <v>319</v>
      </c>
      <c r="B76" s="405">
        <v>474</v>
      </c>
      <c r="C76" s="348">
        <v>0.24</v>
      </c>
      <c r="D76" s="9">
        <v>0.08</v>
      </c>
      <c r="E76" s="57">
        <v>0.01</v>
      </c>
    </row>
    <row r="77" spans="1:9">
      <c r="A77" s="8" t="s">
        <v>457</v>
      </c>
      <c r="B77" s="405">
        <f>53*3.412/E33</f>
        <v>481.24660752817073</v>
      </c>
      <c r="C77" s="348">
        <v>0.45200000000000001</v>
      </c>
      <c r="D77" s="9">
        <v>0.05</v>
      </c>
      <c r="E77" s="57">
        <v>4.4999999999999998E-2</v>
      </c>
    </row>
    <row r="78" spans="1:9">
      <c r="A78" s="8" t="s">
        <v>460</v>
      </c>
      <c r="B78" s="405">
        <f>53*3.412/E30</f>
        <v>333.20753609795378</v>
      </c>
      <c r="C78" s="348">
        <v>0.22</v>
      </c>
      <c r="D78" s="9">
        <v>0.05</v>
      </c>
      <c r="E78" s="57">
        <v>0.02</v>
      </c>
    </row>
    <row r="79" spans="1:9" ht="16" thickBot="1">
      <c r="A79" s="27" t="s">
        <v>315</v>
      </c>
      <c r="B79" s="406">
        <v>378</v>
      </c>
      <c r="C79" s="403">
        <f>C77*$E$25+(1-$E$25)*C78</f>
        <v>0.25480000000000003</v>
      </c>
      <c r="D79" s="403">
        <f>D77*$E$25+(1-$E$25)*D78</f>
        <v>0.05</v>
      </c>
      <c r="E79" s="457">
        <f>E77*$E$25+(1-$E$25)*E78</f>
        <v>2.375E-2</v>
      </c>
    </row>
    <row r="81" spans="1:7" ht="19">
      <c r="A81" s="425" t="s">
        <v>93</v>
      </c>
    </row>
    <row r="82" spans="1:7" ht="19">
      <c r="A82" s="424" t="s">
        <v>316</v>
      </c>
    </row>
    <row r="83" spans="1:7" ht="19">
      <c r="A83" s="424" t="s">
        <v>317</v>
      </c>
      <c r="G83" s="18"/>
    </row>
    <row r="84" spans="1:7" ht="19">
      <c r="A84" s="424" t="s">
        <v>455</v>
      </c>
      <c r="G84" s="549"/>
    </row>
    <row r="85" spans="1:7" ht="19">
      <c r="A85" s="424" t="s">
        <v>456</v>
      </c>
      <c r="G85" s="162"/>
    </row>
    <row r="86" spans="1:7" ht="19">
      <c r="A86" s="424" t="s">
        <v>458</v>
      </c>
      <c r="G86" s="162"/>
    </row>
    <row r="87" spans="1:7" ht="19">
      <c r="A87" s="424" t="s">
        <v>459</v>
      </c>
      <c r="G87" s="656"/>
    </row>
    <row r="88" spans="1:7" ht="16" thickBot="1">
      <c r="G88" s="18"/>
    </row>
    <row r="89" spans="1:7" ht="16" thickBot="1">
      <c r="A89" s="554" t="s">
        <v>356</v>
      </c>
      <c r="B89" s="555"/>
      <c r="C89" s="555"/>
      <c r="D89" s="555"/>
      <c r="E89" s="422"/>
      <c r="F89" s="344"/>
    </row>
    <row r="90" spans="1:7" ht="18" thickBot="1">
      <c r="A90" s="554"/>
      <c r="B90" s="862" t="s">
        <v>369</v>
      </c>
      <c r="C90" s="555" t="s">
        <v>368</v>
      </c>
      <c r="D90" s="862" t="s">
        <v>367</v>
      </c>
      <c r="E90" s="862" t="s">
        <v>359</v>
      </c>
      <c r="F90" s="861"/>
    </row>
    <row r="91" spans="1:7">
      <c r="A91" s="6" t="s">
        <v>377</v>
      </c>
      <c r="B91" s="453">
        <v>880</v>
      </c>
      <c r="C91" s="423">
        <v>0.35</v>
      </c>
      <c r="D91" s="7">
        <v>0.3</v>
      </c>
      <c r="E91" s="423">
        <v>0.03</v>
      </c>
      <c r="F91" s="548" t="s">
        <v>357</v>
      </c>
    </row>
    <row r="92" spans="1:7">
      <c r="A92" s="8" t="s">
        <v>378</v>
      </c>
      <c r="B92" s="405">
        <v>474</v>
      </c>
      <c r="C92" s="348">
        <v>0.27</v>
      </c>
      <c r="D92" s="348">
        <v>0.09</v>
      </c>
      <c r="E92" s="348">
        <v>1.2999999999999999E-2</v>
      </c>
      <c r="F92" s="547" t="s">
        <v>357</v>
      </c>
    </row>
    <row r="93" spans="1:7" ht="27" thickBot="1">
      <c r="A93" s="27" t="s">
        <v>315</v>
      </c>
      <c r="B93" s="406">
        <v>390</v>
      </c>
      <c r="C93" s="403">
        <v>0.16500000000000001</v>
      </c>
      <c r="D93" s="490">
        <v>5.0000000000000001E-3</v>
      </c>
      <c r="E93" s="490">
        <f>0.0158</f>
        <v>1.5800000000000002E-2</v>
      </c>
      <c r="F93" s="863" t="s">
        <v>358</v>
      </c>
    </row>
    <row r="95" spans="1:7" ht="16" thickBot="1"/>
    <row r="96" spans="1:7" ht="36" thickTop="1" thickBot="1">
      <c r="A96" s="959" t="s">
        <v>403</v>
      </c>
      <c r="B96" s="573" t="s">
        <v>408</v>
      </c>
      <c r="C96" s="571"/>
      <c r="D96" s="571"/>
      <c r="E96" s="571"/>
      <c r="F96" s="571"/>
    </row>
    <row r="97" spans="1:6" ht="19" thickTop="1" thickBot="1">
      <c r="A97" s="959"/>
      <c r="B97" s="574" t="s">
        <v>409</v>
      </c>
      <c r="C97" s="571"/>
      <c r="D97" s="571"/>
      <c r="E97" s="571"/>
      <c r="F97" s="571"/>
    </row>
    <row r="98" spans="1:6" ht="20" thickTop="1" thickBot="1">
      <c r="A98" s="575" t="s">
        <v>410</v>
      </c>
      <c r="B98" s="577">
        <v>46260</v>
      </c>
      <c r="C98" s="18"/>
      <c r="D98" s="19"/>
      <c r="E98" s="572"/>
      <c r="F98" s="18"/>
    </row>
    <row r="99" spans="1:6" ht="20" thickTop="1" thickBot="1">
      <c r="A99" s="575" t="s">
        <v>404</v>
      </c>
      <c r="B99" s="577">
        <v>26791</v>
      </c>
      <c r="C99" s="18"/>
      <c r="D99" s="19"/>
      <c r="E99" s="572"/>
      <c r="F99" s="18"/>
    </row>
    <row r="100" spans="1:6" ht="20" thickTop="1" thickBot="1">
      <c r="A100" s="575" t="s">
        <v>359</v>
      </c>
      <c r="B100" s="577">
        <v>92623</v>
      </c>
      <c r="C100" s="18"/>
      <c r="D100" s="19"/>
      <c r="E100" s="572"/>
      <c r="F100" s="18"/>
    </row>
    <row r="101" spans="1:6" ht="21" thickTop="1" thickBot="1">
      <c r="A101" s="576" t="s">
        <v>369</v>
      </c>
      <c r="B101" s="578">
        <v>130.96</v>
      </c>
      <c r="C101" s="47"/>
      <c r="D101" s="18"/>
      <c r="E101" s="18"/>
      <c r="F101" s="18"/>
    </row>
    <row r="102" spans="1:6" ht="16" thickTop="1">
      <c r="C102" s="5"/>
    </row>
  </sheetData>
  <mergeCells count="5">
    <mergeCell ref="H10:I10"/>
    <mergeCell ref="A96:A97"/>
    <mergeCell ref="A35:B35"/>
    <mergeCell ref="A40:B40"/>
    <mergeCell ref="D2:E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-0.249977111117893"/>
  </sheetPr>
  <dimension ref="A1:V34"/>
  <sheetViews>
    <sheetView rightToLeft="1" zoomScale="91" zoomScaleNormal="85" workbookViewId="0">
      <selection activeCell="B29" sqref="B29"/>
    </sheetView>
  </sheetViews>
  <sheetFormatPr baseColWidth="10" defaultColWidth="11" defaultRowHeight="15"/>
  <sheetData>
    <row r="1" spans="1:22" s="201" customFormat="1" ht="30" thickBot="1">
      <c r="A1" s="200" t="s">
        <v>188</v>
      </c>
    </row>
    <row r="2" spans="1:22" ht="16" thickBot="1">
      <c r="A2" s="484" t="s">
        <v>6</v>
      </c>
      <c r="B2" s="966" t="s">
        <v>92</v>
      </c>
      <c r="C2" s="967"/>
      <c r="D2" s="968"/>
      <c r="E2" s="973" t="s">
        <v>116</v>
      </c>
      <c r="F2" s="972"/>
      <c r="G2" s="974"/>
      <c r="H2" s="969" t="s">
        <v>4</v>
      </c>
      <c r="I2" s="970"/>
      <c r="J2" s="971"/>
      <c r="K2" s="972" t="s">
        <v>8</v>
      </c>
      <c r="L2" s="972"/>
      <c r="M2" s="972"/>
      <c r="N2" s="972"/>
      <c r="O2" s="973" t="s">
        <v>5</v>
      </c>
      <c r="P2" s="972"/>
      <c r="Q2" s="974"/>
      <c r="R2" s="964" t="s">
        <v>49</v>
      </c>
      <c r="S2" s="964"/>
      <c r="T2" s="965"/>
      <c r="U2" s="124"/>
      <c r="V2" s="124"/>
    </row>
    <row r="3" spans="1:22" s="463" customFormat="1" ht="33" thickBot="1">
      <c r="A3" s="460"/>
      <c r="B3" s="460" t="s">
        <v>117</v>
      </c>
      <c r="C3" s="461" t="s">
        <v>261</v>
      </c>
      <c r="D3" s="462"/>
      <c r="E3" s="460" t="s">
        <v>117</v>
      </c>
      <c r="F3" s="461" t="s">
        <v>261</v>
      </c>
      <c r="G3" s="462"/>
      <c r="H3" s="877" t="s">
        <v>117</v>
      </c>
      <c r="I3" s="878" t="s">
        <v>118</v>
      </c>
      <c r="J3" s="701" t="s">
        <v>261</v>
      </c>
      <c r="K3" s="461" t="s">
        <v>117</v>
      </c>
      <c r="L3" s="461" t="s">
        <v>124</v>
      </c>
      <c r="M3" s="461" t="s">
        <v>261</v>
      </c>
      <c r="N3" s="461"/>
      <c r="O3" s="460" t="s">
        <v>117</v>
      </c>
      <c r="P3" s="461" t="str">
        <f>M3</f>
        <v>הספק גז מוקם מצטבר (MW)</v>
      </c>
      <c r="Q3" s="462"/>
      <c r="R3" s="461" t="s">
        <v>117</v>
      </c>
      <c r="S3" s="461" t="str">
        <f>P3</f>
        <v>הספק גז מוקם מצטבר (MW)</v>
      </c>
      <c r="T3" s="462"/>
    </row>
    <row r="4" spans="1:22" s="320" customFormat="1">
      <c r="A4" s="292">
        <v>2020</v>
      </c>
      <c r="B4" s="318">
        <f>'הנחות עבודה'!I8</f>
        <v>3400</v>
      </c>
      <c r="C4" s="319"/>
      <c r="D4" s="293"/>
      <c r="E4" s="318">
        <f>B4</f>
        <v>3400</v>
      </c>
      <c r="F4" s="319">
        <f>C4</f>
        <v>0</v>
      </c>
      <c r="G4" s="293"/>
      <c r="H4" s="59">
        <v>3400</v>
      </c>
      <c r="I4" s="28">
        <v>0</v>
      </c>
      <c r="J4" s="293">
        <f>F4</f>
        <v>0</v>
      </c>
      <c r="K4" s="741">
        <v>3400</v>
      </c>
      <c r="L4" s="266">
        <v>0</v>
      </c>
      <c r="M4" s="266">
        <v>0</v>
      </c>
      <c r="N4" s="880"/>
      <c r="O4" s="125">
        <v>3400</v>
      </c>
      <c r="P4" s="28">
        <v>0</v>
      </c>
      <c r="Q4" s="293"/>
      <c r="R4" s="321">
        <f>E4</f>
        <v>3400</v>
      </c>
      <c r="S4" s="30">
        <f t="shared" ref="S4:S5" si="0">F4</f>
        <v>0</v>
      </c>
      <c r="T4" s="293"/>
    </row>
    <row r="5" spans="1:22" s="320" customFormat="1">
      <c r="A5" s="292">
        <v>2021</v>
      </c>
      <c r="B5" s="318">
        <f>B4</f>
        <v>3400</v>
      </c>
      <c r="C5" s="319"/>
      <c r="D5" s="293"/>
      <c r="E5" s="318">
        <f t="shared" ref="E5:E29" si="1">B5</f>
        <v>3400</v>
      </c>
      <c r="F5" s="319">
        <f t="shared" ref="F5:F29" si="2">C5</f>
        <v>0</v>
      </c>
      <c r="G5" s="293"/>
      <c r="H5" s="59">
        <v>3400</v>
      </c>
      <c r="I5" s="28">
        <v>0</v>
      </c>
      <c r="J5" s="293">
        <f t="shared" ref="J5:J29" si="3">F5</f>
        <v>0</v>
      </c>
      <c r="K5" s="59">
        <v>3400</v>
      </c>
      <c r="L5" s="28">
        <v>0</v>
      </c>
      <c r="M5" s="28">
        <v>0</v>
      </c>
      <c r="N5" s="293"/>
      <c r="O5" s="125">
        <v>3400</v>
      </c>
      <c r="P5" s="28">
        <v>0</v>
      </c>
      <c r="Q5" s="293"/>
      <c r="R5" s="321">
        <f t="shared" ref="R5:R29" si="4">E5</f>
        <v>3400</v>
      </c>
      <c r="S5" s="30">
        <f t="shared" si="0"/>
        <v>0</v>
      </c>
      <c r="T5" s="293"/>
    </row>
    <row r="6" spans="1:22">
      <c r="A6" s="8">
        <v>2022</v>
      </c>
      <c r="B6" s="59">
        <f>B5</f>
        <v>3400</v>
      </c>
      <c r="C6" s="28"/>
      <c r="D6" s="29"/>
      <c r="E6" s="318">
        <f t="shared" si="1"/>
        <v>3400</v>
      </c>
      <c r="F6" s="319">
        <f t="shared" si="2"/>
        <v>0</v>
      </c>
      <c r="G6" s="29"/>
      <c r="H6" s="59">
        <f>'הנחות עבודה'!$I$8-'הספק לפי חלופה'!I6</f>
        <v>2250</v>
      </c>
      <c r="I6" s="28">
        <f>'הנחות עבודה'!I4</f>
        <v>1150</v>
      </c>
      <c r="J6" s="293">
        <f t="shared" si="3"/>
        <v>0</v>
      </c>
      <c r="K6" s="59">
        <v>3400</v>
      </c>
      <c r="L6" s="28">
        <v>0</v>
      </c>
      <c r="M6" s="28">
        <v>0</v>
      </c>
      <c r="N6" s="20"/>
      <c r="O6" s="125">
        <v>3400</v>
      </c>
      <c r="P6" s="28">
        <v>0</v>
      </c>
      <c r="Q6" s="20"/>
      <c r="R6" s="321">
        <f t="shared" si="4"/>
        <v>3400</v>
      </c>
      <c r="S6" s="30">
        <f>F6</f>
        <v>0</v>
      </c>
      <c r="T6" s="20"/>
    </row>
    <row r="7" spans="1:22">
      <c r="A7" s="8">
        <f>A6+1</f>
        <v>2023</v>
      </c>
      <c r="B7" s="59">
        <f>B4</f>
        <v>3400</v>
      </c>
      <c r="C7" s="28"/>
      <c r="D7" s="29"/>
      <c r="E7" s="318">
        <f t="shared" si="1"/>
        <v>3400</v>
      </c>
      <c r="F7" s="319">
        <f t="shared" si="2"/>
        <v>0</v>
      </c>
      <c r="G7" s="29"/>
      <c r="H7" s="59">
        <f>'הנחות עבודה'!$I$8-'הספק לפי חלופה'!I7</f>
        <v>2250</v>
      </c>
      <c r="I7" s="28">
        <f>I6</f>
        <v>1150</v>
      </c>
      <c r="J7" s="293">
        <f t="shared" si="3"/>
        <v>0</v>
      </c>
      <c r="K7" s="59">
        <v>3400</v>
      </c>
      <c r="L7" s="28">
        <v>0</v>
      </c>
      <c r="M7" s="28">
        <v>0</v>
      </c>
      <c r="N7" s="20"/>
      <c r="O7" s="125">
        <v>3400</v>
      </c>
      <c r="P7" s="28">
        <v>0</v>
      </c>
      <c r="Q7" s="20"/>
      <c r="R7" s="321">
        <f t="shared" si="4"/>
        <v>3400</v>
      </c>
      <c r="S7" s="30">
        <f t="shared" ref="S7:S29" si="5">F7</f>
        <v>0</v>
      </c>
      <c r="T7" s="20"/>
    </row>
    <row r="8" spans="1:22">
      <c r="A8" s="8">
        <f t="shared" ref="A8:A29" si="6">A7+1</f>
        <v>2024</v>
      </c>
      <c r="B8" s="59">
        <f t="shared" ref="B8:B23" si="7">B7</f>
        <v>3400</v>
      </c>
      <c r="C8" s="28"/>
      <c r="D8" s="29"/>
      <c r="E8" s="318">
        <f t="shared" si="1"/>
        <v>3400</v>
      </c>
      <c r="F8" s="319">
        <f t="shared" si="2"/>
        <v>0</v>
      </c>
      <c r="G8" s="29"/>
      <c r="H8" s="59">
        <f>'הנחות עבודה'!$I$8-'הספק לפי חלופה'!I8</f>
        <v>1100</v>
      </c>
      <c r="I8" s="28">
        <f>I7+'הנחות עבודה'!I5</f>
        <v>2300</v>
      </c>
      <c r="J8" s="293">
        <f t="shared" si="3"/>
        <v>0</v>
      </c>
      <c r="K8" s="125">
        <f>MAX('הנחות עבודה'!$I$8-'הספק לפי חלופה'!L8,0)</f>
        <v>2250</v>
      </c>
      <c r="L8" s="30">
        <f>'הנחות עבודה'!I4</f>
        <v>1150</v>
      </c>
      <c r="M8" s="28">
        <f>'הנחות עבודה'!E22/3</f>
        <v>1220</v>
      </c>
      <c r="N8" s="20"/>
      <c r="O8" s="59">
        <f>K8</f>
        <v>2250</v>
      </c>
      <c r="P8" s="30">
        <f t="shared" ref="P8:P13" si="8">M8</f>
        <v>1220</v>
      </c>
      <c r="Q8" s="20"/>
      <c r="R8" s="321">
        <f t="shared" si="4"/>
        <v>3400</v>
      </c>
      <c r="S8" s="30">
        <f t="shared" si="5"/>
        <v>0</v>
      </c>
      <c r="T8" s="20"/>
    </row>
    <row r="9" spans="1:22">
      <c r="A9" s="8">
        <f t="shared" si="6"/>
        <v>2025</v>
      </c>
      <c r="B9" s="59">
        <f t="shared" si="7"/>
        <v>3400</v>
      </c>
      <c r="C9" s="28"/>
      <c r="D9" s="29"/>
      <c r="E9" s="318">
        <f t="shared" si="1"/>
        <v>3400</v>
      </c>
      <c r="F9" s="319">
        <f t="shared" si="2"/>
        <v>0</v>
      </c>
      <c r="G9" s="29"/>
      <c r="H9" s="59">
        <f>'הנחות עבודה'!$I$8-'הספק לפי חלופה'!I9</f>
        <v>1100</v>
      </c>
      <c r="I9" s="28">
        <f>I8</f>
        <v>2300</v>
      </c>
      <c r="J9" s="293">
        <f t="shared" si="3"/>
        <v>0</v>
      </c>
      <c r="K9" s="125">
        <f>MAX('הנחות עבודה'!$I$8-'הספק לפי חלופה'!L9,0)</f>
        <v>2250</v>
      </c>
      <c r="L9" s="30">
        <f>L8</f>
        <v>1150</v>
      </c>
      <c r="M9" s="28">
        <f>M8</f>
        <v>1220</v>
      </c>
      <c r="N9" s="20"/>
      <c r="O9" s="59">
        <f>K9</f>
        <v>2250</v>
      </c>
      <c r="P9" s="30">
        <f t="shared" si="8"/>
        <v>1220</v>
      </c>
      <c r="Q9" s="20"/>
      <c r="R9" s="321">
        <f t="shared" si="4"/>
        <v>3400</v>
      </c>
      <c r="S9" s="30">
        <f t="shared" si="5"/>
        <v>0</v>
      </c>
      <c r="T9" s="20"/>
    </row>
    <row r="10" spans="1:22">
      <c r="A10" s="8">
        <f t="shared" si="6"/>
        <v>2026</v>
      </c>
      <c r="B10" s="59">
        <f t="shared" si="7"/>
        <v>3400</v>
      </c>
      <c r="C10" s="28"/>
      <c r="D10" s="29"/>
      <c r="E10" s="318">
        <f t="shared" si="1"/>
        <v>3400</v>
      </c>
      <c r="F10" s="319">
        <f t="shared" si="2"/>
        <v>0</v>
      </c>
      <c r="G10" s="29"/>
      <c r="H10" s="8"/>
      <c r="I10" s="28">
        <f>I9+'הנחות עבודה'!I6</f>
        <v>3400</v>
      </c>
      <c r="J10" s="293">
        <f t="shared" si="3"/>
        <v>0</v>
      </c>
      <c r="K10" s="125">
        <f>MAX('הנחות עבודה'!$I$8-'הספק לפי חלופה'!L10,0)</f>
        <v>1100</v>
      </c>
      <c r="L10" s="30">
        <f>L9+'הנחות עבודה'!I5</f>
        <v>2300</v>
      </c>
      <c r="M10" s="28">
        <f>M9*2</f>
        <v>2440</v>
      </c>
      <c r="N10" s="20"/>
      <c r="O10" s="59">
        <f>K10</f>
        <v>1100</v>
      </c>
      <c r="P10" s="30">
        <f t="shared" si="8"/>
        <v>2440</v>
      </c>
      <c r="Q10" s="20"/>
      <c r="R10" s="321">
        <f t="shared" si="4"/>
        <v>3400</v>
      </c>
      <c r="S10" s="30">
        <f t="shared" si="5"/>
        <v>0</v>
      </c>
      <c r="T10" s="20"/>
    </row>
    <row r="11" spans="1:22">
      <c r="A11" s="8">
        <f t="shared" si="6"/>
        <v>2027</v>
      </c>
      <c r="B11" s="59">
        <f t="shared" si="7"/>
        <v>3400</v>
      </c>
      <c r="C11" s="28"/>
      <c r="D11" s="29"/>
      <c r="E11" s="318">
        <f t="shared" si="1"/>
        <v>3400</v>
      </c>
      <c r="F11" s="319">
        <f t="shared" si="2"/>
        <v>0</v>
      </c>
      <c r="G11" s="29"/>
      <c r="H11" s="59">
        <f>H10</f>
        <v>0</v>
      </c>
      <c r="I11" s="28">
        <v>3400</v>
      </c>
      <c r="J11" s="293">
        <f t="shared" si="3"/>
        <v>0</v>
      </c>
      <c r="K11" s="125">
        <f>MAX('הנחות עבודה'!$I$8-'הספק לפי חלופה'!L11,0)</f>
        <v>1100</v>
      </c>
      <c r="L11" s="30">
        <f>L10</f>
        <v>2300</v>
      </c>
      <c r="M11" s="28">
        <f>M10</f>
        <v>2440</v>
      </c>
      <c r="N11" s="20"/>
      <c r="O11" s="59">
        <f>K11</f>
        <v>1100</v>
      </c>
      <c r="P11" s="30">
        <f t="shared" si="8"/>
        <v>2440</v>
      </c>
      <c r="Q11" s="20"/>
      <c r="R11" s="321">
        <f t="shared" si="4"/>
        <v>3400</v>
      </c>
      <c r="S11" s="30">
        <f t="shared" si="5"/>
        <v>0</v>
      </c>
      <c r="T11" s="20"/>
    </row>
    <row r="12" spans="1:22">
      <c r="A12" s="8">
        <f t="shared" si="6"/>
        <v>2028</v>
      </c>
      <c r="B12" s="59">
        <f t="shared" si="7"/>
        <v>3400</v>
      </c>
      <c r="C12" s="28"/>
      <c r="D12" s="29"/>
      <c r="E12" s="318">
        <f t="shared" si="1"/>
        <v>3400</v>
      </c>
      <c r="F12" s="319">
        <f t="shared" si="2"/>
        <v>0</v>
      </c>
      <c r="G12" s="29"/>
      <c r="H12" s="59">
        <f t="shared" ref="H12:H29" si="9">H11</f>
        <v>0</v>
      </c>
      <c r="I12" s="28">
        <f>I10</f>
        <v>3400</v>
      </c>
      <c r="J12" s="293">
        <f t="shared" si="3"/>
        <v>0</v>
      </c>
      <c r="K12" s="125">
        <f>MAX('הנחות עבודה'!$I$8-'הספק לפי חלופה'!L12,0)</f>
        <v>0</v>
      </c>
      <c r="L12" s="30">
        <v>3400</v>
      </c>
      <c r="M12" s="28">
        <f>M9*3</f>
        <v>3660</v>
      </c>
      <c r="N12" s="20"/>
      <c r="O12" s="59">
        <f t="shared" ref="O12:O23" si="10">K12</f>
        <v>0</v>
      </c>
      <c r="P12" s="30">
        <f t="shared" si="8"/>
        <v>3660</v>
      </c>
      <c r="Q12" s="20"/>
      <c r="R12" s="321">
        <f t="shared" si="4"/>
        <v>3400</v>
      </c>
      <c r="S12" s="30">
        <f t="shared" si="5"/>
        <v>0</v>
      </c>
      <c r="T12" s="20"/>
    </row>
    <row r="13" spans="1:22">
      <c r="A13" s="8">
        <f t="shared" si="6"/>
        <v>2029</v>
      </c>
      <c r="B13" s="59">
        <f t="shared" si="7"/>
        <v>3400</v>
      </c>
      <c r="C13" s="28"/>
      <c r="D13" s="29"/>
      <c r="E13" s="318">
        <f t="shared" si="1"/>
        <v>3400</v>
      </c>
      <c r="F13" s="319">
        <f t="shared" si="2"/>
        <v>0</v>
      </c>
      <c r="G13" s="29"/>
      <c r="H13" s="59">
        <f t="shared" si="9"/>
        <v>0</v>
      </c>
      <c r="I13" s="28">
        <f>I12</f>
        <v>3400</v>
      </c>
      <c r="J13" s="293">
        <f t="shared" si="3"/>
        <v>0</v>
      </c>
      <c r="K13" s="125">
        <f>K12</f>
        <v>0</v>
      </c>
      <c r="L13" s="30">
        <f>B12</f>
        <v>3400</v>
      </c>
      <c r="M13" s="28">
        <f>M12</f>
        <v>3660</v>
      </c>
      <c r="N13" s="20"/>
      <c r="O13" s="59">
        <f t="shared" si="10"/>
        <v>0</v>
      </c>
      <c r="P13" s="30">
        <f t="shared" si="8"/>
        <v>3660</v>
      </c>
      <c r="Q13" s="20"/>
      <c r="R13" s="321">
        <f t="shared" si="4"/>
        <v>3400</v>
      </c>
      <c r="S13" s="30">
        <f t="shared" si="5"/>
        <v>0</v>
      </c>
      <c r="T13" s="20"/>
    </row>
    <row r="14" spans="1:22">
      <c r="A14" s="8">
        <f t="shared" si="6"/>
        <v>2030</v>
      </c>
      <c r="B14" s="59">
        <f t="shared" si="7"/>
        <v>3400</v>
      </c>
      <c r="C14" s="28"/>
      <c r="D14" s="29"/>
      <c r="E14" s="318">
        <f t="shared" si="1"/>
        <v>3400</v>
      </c>
      <c r="F14" s="319">
        <f t="shared" si="2"/>
        <v>0</v>
      </c>
      <c r="G14" s="29"/>
      <c r="H14" s="59">
        <f t="shared" si="9"/>
        <v>0</v>
      </c>
      <c r="I14" s="28">
        <f t="shared" ref="I14:I22" si="11">I13</f>
        <v>3400</v>
      </c>
      <c r="J14" s="293">
        <f t="shared" si="3"/>
        <v>0</v>
      </c>
      <c r="K14" s="125">
        <f t="shared" ref="K14:K29" si="12">K13</f>
        <v>0</v>
      </c>
      <c r="L14" s="30">
        <f t="shared" ref="L14:L29" si="13">B13</f>
        <v>3400</v>
      </c>
      <c r="M14" s="28">
        <f>M13</f>
        <v>3660</v>
      </c>
      <c r="N14" s="20"/>
      <c r="O14" s="59">
        <f t="shared" si="10"/>
        <v>0</v>
      </c>
      <c r="P14" s="30">
        <f t="shared" ref="P14:P29" si="14">M14</f>
        <v>3660</v>
      </c>
      <c r="Q14" s="20"/>
      <c r="R14" s="321">
        <f t="shared" si="4"/>
        <v>3400</v>
      </c>
      <c r="S14" s="30">
        <f t="shared" si="5"/>
        <v>0</v>
      </c>
      <c r="T14" s="20"/>
    </row>
    <row r="15" spans="1:22">
      <c r="A15" s="8">
        <f t="shared" si="6"/>
        <v>2031</v>
      </c>
      <c r="B15" s="59">
        <f t="shared" si="7"/>
        <v>3400</v>
      </c>
      <c r="C15" s="28"/>
      <c r="D15" s="29"/>
      <c r="E15" s="318">
        <f t="shared" si="1"/>
        <v>3400</v>
      </c>
      <c r="F15" s="319">
        <f t="shared" si="2"/>
        <v>0</v>
      </c>
      <c r="G15" s="29"/>
      <c r="H15" s="59">
        <f t="shared" si="9"/>
        <v>0</v>
      </c>
      <c r="I15" s="28">
        <f t="shared" si="11"/>
        <v>3400</v>
      </c>
      <c r="J15" s="293">
        <f t="shared" si="3"/>
        <v>0</v>
      </c>
      <c r="K15" s="125">
        <f t="shared" si="12"/>
        <v>0</v>
      </c>
      <c r="L15" s="30">
        <f t="shared" si="13"/>
        <v>3400</v>
      </c>
      <c r="M15" s="28">
        <f t="shared" ref="M15:M28" si="15">M14</f>
        <v>3660</v>
      </c>
      <c r="N15" s="20"/>
      <c r="O15" s="59">
        <f t="shared" si="10"/>
        <v>0</v>
      </c>
      <c r="P15" s="30">
        <f t="shared" si="14"/>
        <v>3660</v>
      </c>
      <c r="Q15" s="20"/>
      <c r="R15" s="321">
        <f t="shared" si="4"/>
        <v>3400</v>
      </c>
      <c r="S15" s="30">
        <f t="shared" si="5"/>
        <v>0</v>
      </c>
      <c r="T15" s="20"/>
    </row>
    <row r="16" spans="1:22">
      <c r="A16" s="8">
        <f t="shared" si="6"/>
        <v>2032</v>
      </c>
      <c r="B16" s="59">
        <f t="shared" si="7"/>
        <v>3400</v>
      </c>
      <c r="C16" s="28"/>
      <c r="D16" s="29"/>
      <c r="E16" s="318">
        <f t="shared" si="1"/>
        <v>3400</v>
      </c>
      <c r="F16" s="319">
        <f t="shared" si="2"/>
        <v>0</v>
      </c>
      <c r="G16" s="29"/>
      <c r="H16" s="59">
        <f t="shared" si="9"/>
        <v>0</v>
      </c>
      <c r="I16" s="28">
        <f t="shared" si="11"/>
        <v>3400</v>
      </c>
      <c r="J16" s="293">
        <f t="shared" si="3"/>
        <v>0</v>
      </c>
      <c r="K16" s="125">
        <f t="shared" si="12"/>
        <v>0</v>
      </c>
      <c r="L16" s="30">
        <f t="shared" si="13"/>
        <v>3400</v>
      </c>
      <c r="M16" s="28">
        <f t="shared" si="15"/>
        <v>3660</v>
      </c>
      <c r="N16" s="20"/>
      <c r="O16" s="59">
        <f t="shared" si="10"/>
        <v>0</v>
      </c>
      <c r="P16" s="30">
        <f t="shared" si="14"/>
        <v>3660</v>
      </c>
      <c r="Q16" s="20"/>
      <c r="R16" s="321">
        <f t="shared" si="4"/>
        <v>3400</v>
      </c>
      <c r="S16" s="30">
        <f t="shared" si="5"/>
        <v>0</v>
      </c>
      <c r="T16" s="20"/>
    </row>
    <row r="17" spans="1:20">
      <c r="A17" s="8">
        <f t="shared" si="6"/>
        <v>2033</v>
      </c>
      <c r="B17" s="59">
        <f t="shared" si="7"/>
        <v>3400</v>
      </c>
      <c r="C17" s="28"/>
      <c r="D17" s="29"/>
      <c r="E17" s="318">
        <f t="shared" si="1"/>
        <v>3400</v>
      </c>
      <c r="F17" s="319">
        <f t="shared" si="2"/>
        <v>0</v>
      </c>
      <c r="G17" s="29"/>
      <c r="H17" s="59">
        <f t="shared" si="9"/>
        <v>0</v>
      </c>
      <c r="I17" s="28">
        <f t="shared" si="11"/>
        <v>3400</v>
      </c>
      <c r="J17" s="293">
        <f t="shared" si="3"/>
        <v>0</v>
      </c>
      <c r="K17" s="125">
        <f t="shared" si="12"/>
        <v>0</v>
      </c>
      <c r="L17" s="30">
        <f t="shared" si="13"/>
        <v>3400</v>
      </c>
      <c r="M17" s="28">
        <f t="shared" si="15"/>
        <v>3660</v>
      </c>
      <c r="N17" s="20"/>
      <c r="O17" s="59">
        <f t="shared" si="10"/>
        <v>0</v>
      </c>
      <c r="P17" s="30">
        <f t="shared" si="14"/>
        <v>3660</v>
      </c>
      <c r="Q17" s="20"/>
      <c r="R17" s="321">
        <f t="shared" si="4"/>
        <v>3400</v>
      </c>
      <c r="S17" s="30">
        <f t="shared" si="5"/>
        <v>0</v>
      </c>
      <c r="T17" s="20"/>
    </row>
    <row r="18" spans="1:20">
      <c r="A18" s="8">
        <f t="shared" si="6"/>
        <v>2034</v>
      </c>
      <c r="B18" s="59">
        <f t="shared" si="7"/>
        <v>3400</v>
      </c>
      <c r="C18" s="28"/>
      <c r="D18" s="29"/>
      <c r="E18" s="318">
        <f t="shared" si="1"/>
        <v>3400</v>
      </c>
      <c r="F18" s="319">
        <f t="shared" si="2"/>
        <v>0</v>
      </c>
      <c r="G18" s="29"/>
      <c r="H18" s="59">
        <f t="shared" si="9"/>
        <v>0</v>
      </c>
      <c r="I18" s="28">
        <f>I17</f>
        <v>3400</v>
      </c>
      <c r="J18" s="293">
        <f t="shared" si="3"/>
        <v>0</v>
      </c>
      <c r="K18" s="125">
        <f t="shared" si="12"/>
        <v>0</v>
      </c>
      <c r="L18" s="30">
        <f t="shared" si="13"/>
        <v>3400</v>
      </c>
      <c r="M18" s="28">
        <f t="shared" si="15"/>
        <v>3660</v>
      </c>
      <c r="N18" s="20"/>
      <c r="O18" s="59">
        <f t="shared" si="10"/>
        <v>0</v>
      </c>
      <c r="P18" s="30">
        <f t="shared" si="14"/>
        <v>3660</v>
      </c>
      <c r="Q18" s="20"/>
      <c r="R18" s="321">
        <f t="shared" si="4"/>
        <v>3400</v>
      </c>
      <c r="S18" s="30">
        <f t="shared" si="5"/>
        <v>0</v>
      </c>
      <c r="T18" s="20"/>
    </row>
    <row r="19" spans="1:20">
      <c r="A19" s="8">
        <f t="shared" si="6"/>
        <v>2035</v>
      </c>
      <c r="B19" s="59">
        <f t="shared" si="7"/>
        <v>3400</v>
      </c>
      <c r="C19" s="28"/>
      <c r="D19" s="29"/>
      <c r="E19" s="318">
        <f t="shared" si="1"/>
        <v>3400</v>
      </c>
      <c r="F19" s="319">
        <f t="shared" si="2"/>
        <v>0</v>
      </c>
      <c r="G19" s="29"/>
      <c r="H19" s="59">
        <f t="shared" si="9"/>
        <v>0</v>
      </c>
      <c r="I19" s="28">
        <f t="shared" si="11"/>
        <v>3400</v>
      </c>
      <c r="J19" s="293">
        <f t="shared" si="3"/>
        <v>0</v>
      </c>
      <c r="K19" s="125">
        <f t="shared" si="12"/>
        <v>0</v>
      </c>
      <c r="L19" s="30">
        <f t="shared" si="13"/>
        <v>3400</v>
      </c>
      <c r="M19" s="28">
        <f t="shared" si="15"/>
        <v>3660</v>
      </c>
      <c r="N19" s="29"/>
      <c r="O19" s="59">
        <f t="shared" si="10"/>
        <v>0</v>
      </c>
      <c r="P19" s="30">
        <f t="shared" si="14"/>
        <v>3660</v>
      </c>
      <c r="Q19" s="20"/>
      <c r="R19" s="321">
        <f t="shared" si="4"/>
        <v>3400</v>
      </c>
      <c r="S19" s="30">
        <f t="shared" si="5"/>
        <v>0</v>
      </c>
      <c r="T19" s="20"/>
    </row>
    <row r="20" spans="1:20">
      <c r="A20" s="8">
        <f t="shared" si="6"/>
        <v>2036</v>
      </c>
      <c r="B20" s="59">
        <f t="shared" si="7"/>
        <v>3400</v>
      </c>
      <c r="C20" s="28"/>
      <c r="D20" s="29"/>
      <c r="E20" s="318">
        <f t="shared" si="1"/>
        <v>3400</v>
      </c>
      <c r="F20" s="319">
        <f t="shared" si="2"/>
        <v>0</v>
      </c>
      <c r="G20" s="29"/>
      <c r="H20" s="59">
        <f t="shared" si="9"/>
        <v>0</v>
      </c>
      <c r="I20" s="28">
        <f t="shared" si="11"/>
        <v>3400</v>
      </c>
      <c r="J20" s="293">
        <f t="shared" si="3"/>
        <v>0</v>
      </c>
      <c r="K20" s="125">
        <f t="shared" si="12"/>
        <v>0</v>
      </c>
      <c r="L20" s="30">
        <f t="shared" si="13"/>
        <v>3400</v>
      </c>
      <c r="M20" s="28">
        <f t="shared" si="15"/>
        <v>3660</v>
      </c>
      <c r="N20" s="29"/>
      <c r="O20" s="59">
        <f t="shared" si="10"/>
        <v>0</v>
      </c>
      <c r="P20" s="30">
        <f t="shared" si="14"/>
        <v>3660</v>
      </c>
      <c r="Q20" s="20"/>
      <c r="R20" s="321">
        <f t="shared" si="4"/>
        <v>3400</v>
      </c>
      <c r="S20" s="30">
        <f t="shared" si="5"/>
        <v>0</v>
      </c>
      <c r="T20" s="20"/>
    </row>
    <row r="21" spans="1:20">
      <c r="A21" s="8">
        <f t="shared" si="6"/>
        <v>2037</v>
      </c>
      <c r="B21" s="59">
        <f t="shared" si="7"/>
        <v>3400</v>
      </c>
      <c r="C21" s="28"/>
      <c r="D21" s="29"/>
      <c r="E21" s="318">
        <f t="shared" si="1"/>
        <v>3400</v>
      </c>
      <c r="F21" s="319">
        <f t="shared" si="2"/>
        <v>0</v>
      </c>
      <c r="G21" s="29"/>
      <c r="H21" s="59">
        <f t="shared" si="9"/>
        <v>0</v>
      </c>
      <c r="I21" s="28">
        <f t="shared" si="11"/>
        <v>3400</v>
      </c>
      <c r="J21" s="293">
        <f t="shared" si="3"/>
        <v>0</v>
      </c>
      <c r="K21" s="125">
        <f t="shared" si="12"/>
        <v>0</v>
      </c>
      <c r="L21" s="30">
        <f t="shared" si="13"/>
        <v>3400</v>
      </c>
      <c r="M21" s="28">
        <f t="shared" si="15"/>
        <v>3660</v>
      </c>
      <c r="N21" s="29"/>
      <c r="O21" s="59">
        <f t="shared" si="10"/>
        <v>0</v>
      </c>
      <c r="P21" s="30">
        <f t="shared" si="14"/>
        <v>3660</v>
      </c>
      <c r="Q21" s="20"/>
      <c r="R21" s="321">
        <f t="shared" si="4"/>
        <v>3400</v>
      </c>
      <c r="S21" s="30">
        <f t="shared" si="5"/>
        <v>0</v>
      </c>
      <c r="T21" s="29"/>
    </row>
    <row r="22" spans="1:20">
      <c r="A22" s="8">
        <f t="shared" si="6"/>
        <v>2038</v>
      </c>
      <c r="B22" s="59">
        <f t="shared" si="7"/>
        <v>3400</v>
      </c>
      <c r="C22" s="28"/>
      <c r="D22" s="29"/>
      <c r="E22" s="318">
        <f t="shared" si="1"/>
        <v>3400</v>
      </c>
      <c r="F22" s="319">
        <f t="shared" si="2"/>
        <v>0</v>
      </c>
      <c r="G22" s="29"/>
      <c r="H22" s="59">
        <f t="shared" si="9"/>
        <v>0</v>
      </c>
      <c r="I22" s="28">
        <f t="shared" si="11"/>
        <v>3400</v>
      </c>
      <c r="J22" s="293">
        <f t="shared" si="3"/>
        <v>0</v>
      </c>
      <c r="K22" s="125">
        <f t="shared" si="12"/>
        <v>0</v>
      </c>
      <c r="L22" s="30">
        <f t="shared" si="13"/>
        <v>3400</v>
      </c>
      <c r="M22" s="28">
        <f t="shared" si="15"/>
        <v>3660</v>
      </c>
      <c r="N22" s="29"/>
      <c r="O22" s="59">
        <f t="shared" si="10"/>
        <v>0</v>
      </c>
      <c r="P22" s="30">
        <f t="shared" si="14"/>
        <v>3660</v>
      </c>
      <c r="Q22" s="29"/>
      <c r="R22" s="321">
        <f t="shared" si="4"/>
        <v>3400</v>
      </c>
      <c r="S22" s="30">
        <f t="shared" si="5"/>
        <v>0</v>
      </c>
      <c r="T22" s="29"/>
    </row>
    <row r="23" spans="1:20">
      <c r="A23" s="8">
        <f t="shared" si="6"/>
        <v>2039</v>
      </c>
      <c r="B23" s="318">
        <f t="shared" si="7"/>
        <v>3400</v>
      </c>
      <c r="C23" s="255"/>
      <c r="D23" s="20"/>
      <c r="E23" s="318">
        <f t="shared" si="1"/>
        <v>3400</v>
      </c>
      <c r="F23" s="319">
        <f t="shared" si="2"/>
        <v>0</v>
      </c>
      <c r="G23" s="29"/>
      <c r="H23" s="59">
        <f t="shared" si="9"/>
        <v>0</v>
      </c>
      <c r="I23" s="28">
        <f>B23</f>
        <v>3400</v>
      </c>
      <c r="J23" s="293">
        <f t="shared" si="3"/>
        <v>0</v>
      </c>
      <c r="K23" s="125">
        <f t="shared" si="12"/>
        <v>0</v>
      </c>
      <c r="L23" s="30">
        <f t="shared" si="13"/>
        <v>3400</v>
      </c>
      <c r="M23" s="28">
        <f t="shared" si="15"/>
        <v>3660</v>
      </c>
      <c r="N23" s="29"/>
      <c r="O23" s="59">
        <f t="shared" si="10"/>
        <v>0</v>
      </c>
      <c r="P23" s="30">
        <f t="shared" si="14"/>
        <v>3660</v>
      </c>
      <c r="Q23" s="29"/>
      <c r="R23" s="321">
        <f t="shared" si="4"/>
        <v>3400</v>
      </c>
      <c r="S23" s="30">
        <f t="shared" si="5"/>
        <v>0</v>
      </c>
      <c r="T23" s="29"/>
    </row>
    <row r="24" spans="1:20">
      <c r="A24" s="8">
        <f t="shared" si="6"/>
        <v>2040</v>
      </c>
      <c r="B24" s="318">
        <f>B23-'הנחות עבודה'!I5</f>
        <v>2250</v>
      </c>
      <c r="C24" s="255">
        <f>'הנחות עבודה'!$E$22/3</f>
        <v>1220</v>
      </c>
      <c r="D24" s="20"/>
      <c r="E24" s="318">
        <f t="shared" si="1"/>
        <v>2250</v>
      </c>
      <c r="F24" s="319">
        <f t="shared" si="2"/>
        <v>1220</v>
      </c>
      <c r="G24" s="29"/>
      <c r="H24" s="59">
        <f t="shared" si="9"/>
        <v>0</v>
      </c>
      <c r="I24" s="28">
        <f t="shared" ref="I24:I29" si="16">B24</f>
        <v>2250</v>
      </c>
      <c r="J24" s="293">
        <f t="shared" si="3"/>
        <v>1220</v>
      </c>
      <c r="K24" s="125">
        <f t="shared" si="12"/>
        <v>0</v>
      </c>
      <c r="L24" s="30">
        <f t="shared" si="13"/>
        <v>3400</v>
      </c>
      <c r="M24" s="28">
        <f t="shared" si="15"/>
        <v>3660</v>
      </c>
      <c r="N24" s="29"/>
      <c r="O24" s="59">
        <f t="shared" ref="O24:O28" si="17">K24</f>
        <v>0</v>
      </c>
      <c r="P24" s="30">
        <f t="shared" ref="P24:P28" si="18">M24</f>
        <v>3660</v>
      </c>
      <c r="Q24" s="29"/>
      <c r="R24" s="321">
        <f t="shared" ref="R24:R28" si="19">E24</f>
        <v>2250</v>
      </c>
      <c r="S24" s="30">
        <f t="shared" ref="S24:S28" si="20">F24</f>
        <v>1220</v>
      </c>
      <c r="T24" s="29"/>
    </row>
    <row r="25" spans="1:20">
      <c r="A25" s="8">
        <f t="shared" si="6"/>
        <v>2041</v>
      </c>
      <c r="B25" s="318">
        <f>B24</f>
        <v>2250</v>
      </c>
      <c r="C25" s="255">
        <f>'הנחות עבודה'!$E$22/3</f>
        <v>1220</v>
      </c>
      <c r="D25" s="20"/>
      <c r="E25" s="318">
        <f t="shared" si="1"/>
        <v>2250</v>
      </c>
      <c r="F25" s="319">
        <f t="shared" si="2"/>
        <v>1220</v>
      </c>
      <c r="G25" s="29"/>
      <c r="H25" s="59">
        <f t="shared" si="9"/>
        <v>0</v>
      </c>
      <c r="I25" s="28">
        <f t="shared" si="16"/>
        <v>2250</v>
      </c>
      <c r="J25" s="293">
        <f t="shared" si="3"/>
        <v>1220</v>
      </c>
      <c r="K25" s="125">
        <f t="shared" si="12"/>
        <v>0</v>
      </c>
      <c r="L25" s="30">
        <f t="shared" si="13"/>
        <v>2250</v>
      </c>
      <c r="M25" s="28">
        <f t="shared" si="15"/>
        <v>3660</v>
      </c>
      <c r="N25" s="29"/>
      <c r="O25" s="59">
        <f t="shared" si="17"/>
        <v>0</v>
      </c>
      <c r="P25" s="30">
        <f t="shared" si="18"/>
        <v>3660</v>
      </c>
      <c r="Q25" s="29"/>
      <c r="R25" s="321">
        <f t="shared" si="19"/>
        <v>2250</v>
      </c>
      <c r="S25" s="30">
        <f t="shared" si="20"/>
        <v>1220</v>
      </c>
      <c r="T25" s="29"/>
    </row>
    <row r="26" spans="1:20">
      <c r="A26" s="8">
        <f t="shared" si="6"/>
        <v>2042</v>
      </c>
      <c r="B26" s="318">
        <f t="shared" ref="B26:B28" si="21">B25</f>
        <v>2250</v>
      </c>
      <c r="C26" s="255">
        <f>'הנחות עבודה'!$E$22/3</f>
        <v>1220</v>
      </c>
      <c r="D26" s="20"/>
      <c r="E26" s="318">
        <f t="shared" si="1"/>
        <v>2250</v>
      </c>
      <c r="F26" s="319">
        <f t="shared" si="2"/>
        <v>1220</v>
      </c>
      <c r="G26" s="29"/>
      <c r="H26" s="59">
        <f t="shared" si="9"/>
        <v>0</v>
      </c>
      <c r="I26" s="28">
        <f t="shared" si="16"/>
        <v>2250</v>
      </c>
      <c r="J26" s="293">
        <f t="shared" si="3"/>
        <v>1220</v>
      </c>
      <c r="K26" s="125">
        <f t="shared" si="12"/>
        <v>0</v>
      </c>
      <c r="L26" s="30">
        <f t="shared" si="13"/>
        <v>2250</v>
      </c>
      <c r="M26" s="28">
        <f t="shared" si="15"/>
        <v>3660</v>
      </c>
      <c r="N26" s="29"/>
      <c r="O26" s="59">
        <f t="shared" si="17"/>
        <v>0</v>
      </c>
      <c r="P26" s="30">
        <f t="shared" si="18"/>
        <v>3660</v>
      </c>
      <c r="Q26" s="29"/>
      <c r="R26" s="321">
        <f t="shared" si="19"/>
        <v>2250</v>
      </c>
      <c r="S26" s="30">
        <f t="shared" si="20"/>
        <v>1220</v>
      </c>
      <c r="T26" s="29"/>
    </row>
    <row r="27" spans="1:20">
      <c r="A27" s="8">
        <f t="shared" si="6"/>
        <v>2043</v>
      </c>
      <c r="B27" s="318">
        <f t="shared" si="21"/>
        <v>2250</v>
      </c>
      <c r="C27" s="255">
        <f>'הנחות עבודה'!$E$22/3</f>
        <v>1220</v>
      </c>
      <c r="D27" s="20"/>
      <c r="E27" s="318">
        <f t="shared" si="1"/>
        <v>2250</v>
      </c>
      <c r="F27" s="319">
        <f t="shared" si="2"/>
        <v>1220</v>
      </c>
      <c r="G27" s="29"/>
      <c r="H27" s="59">
        <f t="shared" si="9"/>
        <v>0</v>
      </c>
      <c r="I27" s="28">
        <f t="shared" si="16"/>
        <v>2250</v>
      </c>
      <c r="J27" s="293">
        <f t="shared" si="3"/>
        <v>1220</v>
      </c>
      <c r="K27" s="125">
        <f t="shared" si="12"/>
        <v>0</v>
      </c>
      <c r="L27" s="30">
        <f t="shared" si="13"/>
        <v>2250</v>
      </c>
      <c r="M27" s="28">
        <f t="shared" si="15"/>
        <v>3660</v>
      </c>
      <c r="N27" s="29"/>
      <c r="O27" s="59">
        <f t="shared" si="17"/>
        <v>0</v>
      </c>
      <c r="P27" s="30">
        <f t="shared" si="18"/>
        <v>3660</v>
      </c>
      <c r="Q27" s="29"/>
      <c r="R27" s="321">
        <f t="shared" si="19"/>
        <v>2250</v>
      </c>
      <c r="S27" s="30">
        <f t="shared" si="20"/>
        <v>1220</v>
      </c>
      <c r="T27" s="29"/>
    </row>
    <row r="28" spans="1:20">
      <c r="A28" s="8">
        <f t="shared" si="6"/>
        <v>2044</v>
      </c>
      <c r="B28" s="318">
        <f t="shared" si="21"/>
        <v>2250</v>
      </c>
      <c r="C28" s="255">
        <f>'הנחות עבודה'!$E$22/3</f>
        <v>1220</v>
      </c>
      <c r="D28" s="20"/>
      <c r="E28" s="318">
        <f t="shared" si="1"/>
        <v>2250</v>
      </c>
      <c r="F28" s="319">
        <f t="shared" si="2"/>
        <v>1220</v>
      </c>
      <c r="G28" s="29"/>
      <c r="H28" s="59">
        <f t="shared" si="9"/>
        <v>0</v>
      </c>
      <c r="I28" s="28">
        <f t="shared" si="16"/>
        <v>2250</v>
      </c>
      <c r="J28" s="293">
        <f t="shared" si="3"/>
        <v>1220</v>
      </c>
      <c r="K28" s="125">
        <f t="shared" si="12"/>
        <v>0</v>
      </c>
      <c r="L28" s="30">
        <f t="shared" si="13"/>
        <v>2250</v>
      </c>
      <c r="M28" s="28">
        <f t="shared" si="15"/>
        <v>3660</v>
      </c>
      <c r="N28" s="29"/>
      <c r="O28" s="59">
        <f t="shared" si="17"/>
        <v>0</v>
      </c>
      <c r="P28" s="30">
        <f t="shared" si="18"/>
        <v>3660</v>
      </c>
      <c r="Q28" s="29"/>
      <c r="R28" s="321">
        <f t="shared" si="19"/>
        <v>2250</v>
      </c>
      <c r="S28" s="30">
        <f t="shared" si="20"/>
        <v>1220</v>
      </c>
      <c r="T28" s="29"/>
    </row>
    <row r="29" spans="1:20" s="9" customFormat="1" ht="16" thickBot="1">
      <c r="A29" s="27">
        <f t="shared" si="6"/>
        <v>2045</v>
      </c>
      <c r="B29" s="485">
        <f>B28-'הנחות עבודה'!I4</f>
        <v>1100</v>
      </c>
      <c r="C29" s="486">
        <f>'הנחות עבודה'!$E$22*2/3</f>
        <v>2440</v>
      </c>
      <c r="D29" s="37"/>
      <c r="E29" s="485">
        <f t="shared" si="1"/>
        <v>1100</v>
      </c>
      <c r="F29" s="876">
        <f t="shared" si="2"/>
        <v>2440</v>
      </c>
      <c r="G29" s="61"/>
      <c r="H29" s="89">
        <f t="shared" si="9"/>
        <v>0</v>
      </c>
      <c r="I29" s="64">
        <f t="shared" si="16"/>
        <v>1100</v>
      </c>
      <c r="J29" s="879">
        <f t="shared" si="3"/>
        <v>2440</v>
      </c>
      <c r="K29" s="185">
        <f t="shared" si="12"/>
        <v>0</v>
      </c>
      <c r="L29" s="487">
        <f t="shared" si="13"/>
        <v>2250</v>
      </c>
      <c r="M29" s="64">
        <f>M23</f>
        <v>3660</v>
      </c>
      <c r="N29" s="61"/>
      <c r="O29" s="89">
        <f>O23</f>
        <v>0</v>
      </c>
      <c r="P29" s="487">
        <f t="shared" si="14"/>
        <v>3660</v>
      </c>
      <c r="Q29" s="61"/>
      <c r="R29" s="488">
        <f t="shared" si="4"/>
        <v>1100</v>
      </c>
      <c r="S29" s="487">
        <f t="shared" si="5"/>
        <v>2440</v>
      </c>
      <c r="T29" s="61"/>
    </row>
    <row r="30" spans="1:20">
      <c r="A30" s="130" t="s">
        <v>93</v>
      </c>
      <c r="H30" s="15"/>
      <c r="I30" s="15"/>
      <c r="J30" s="15"/>
      <c r="K30" s="15"/>
      <c r="L30" s="15"/>
      <c r="M30" s="15"/>
    </row>
    <row r="31" spans="1:20">
      <c r="A31" t="s">
        <v>262</v>
      </c>
      <c r="H31" s="15"/>
      <c r="I31" s="15"/>
      <c r="J31" s="15"/>
      <c r="K31" s="15"/>
      <c r="L31" s="15"/>
      <c r="M31" s="15"/>
    </row>
    <row r="32" spans="1:20">
      <c r="A32" t="s">
        <v>411</v>
      </c>
      <c r="H32" s="15"/>
      <c r="I32" s="15"/>
      <c r="J32" s="15"/>
      <c r="K32" s="15"/>
      <c r="L32" s="15"/>
      <c r="M32" s="15"/>
    </row>
    <row r="33" spans="8:13">
      <c r="H33" s="15"/>
      <c r="I33" s="15"/>
      <c r="J33" s="15"/>
      <c r="K33" s="15"/>
      <c r="L33" s="15"/>
      <c r="M33" s="15"/>
    </row>
    <row r="34" spans="8:13">
      <c r="H34" s="15"/>
      <c r="I34" s="15"/>
      <c r="J34" s="15"/>
      <c r="K34" s="15"/>
      <c r="L34" s="15"/>
      <c r="M34" s="15"/>
    </row>
  </sheetData>
  <mergeCells count="6">
    <mergeCell ref="R2:T2"/>
    <mergeCell ref="B2:D2"/>
    <mergeCell ref="H2:J2"/>
    <mergeCell ref="K2:N2"/>
    <mergeCell ref="O2:Q2"/>
    <mergeCell ref="E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-0.249977111117893"/>
  </sheetPr>
  <dimension ref="A1:AM48"/>
  <sheetViews>
    <sheetView rightToLeft="1" topLeftCell="K1" zoomScaleNormal="55" workbookViewId="0">
      <selection activeCell="K33" sqref="K33"/>
    </sheetView>
  </sheetViews>
  <sheetFormatPr baseColWidth="10" defaultColWidth="8.83203125" defaultRowHeight="15"/>
  <cols>
    <col min="2" max="2" width="13.1640625" bestFit="1" customWidth="1"/>
    <col min="3" max="3" width="13" bestFit="1" customWidth="1"/>
    <col min="4" max="4" width="12" bestFit="1" customWidth="1"/>
    <col min="5" max="5" width="10.1640625" bestFit="1" customWidth="1"/>
    <col min="6" max="6" width="10.1640625" customWidth="1"/>
    <col min="7" max="9" width="12" customWidth="1"/>
    <col min="12" max="12" width="9" bestFit="1" customWidth="1"/>
    <col min="13" max="13" width="12.83203125" customWidth="1"/>
    <col min="14" max="15" width="12.1640625" customWidth="1"/>
    <col min="16" max="16" width="12" customWidth="1"/>
    <col min="17" max="17" width="10.83203125" bestFit="1" customWidth="1"/>
    <col min="18" max="18" width="12.33203125" bestFit="1" customWidth="1"/>
    <col min="19" max="19" width="11.83203125" bestFit="1" customWidth="1"/>
    <col min="20" max="20" width="10" customWidth="1"/>
    <col min="21" max="25" width="10.83203125" bestFit="1" customWidth="1"/>
    <col min="26" max="26" width="10.83203125" customWidth="1"/>
    <col min="27" max="27" width="10" bestFit="1" customWidth="1"/>
    <col min="31" max="31" width="11" bestFit="1" customWidth="1"/>
    <col min="32" max="32" width="11" customWidth="1"/>
    <col min="33" max="33" width="13.6640625" bestFit="1" customWidth="1"/>
    <col min="35" max="35" width="16.33203125" bestFit="1" customWidth="1"/>
    <col min="36" max="36" width="17.1640625" bestFit="1" customWidth="1"/>
  </cols>
  <sheetData>
    <row r="1" spans="1:38" s="201" customFormat="1" ht="30" thickBot="1">
      <c r="A1" s="200" t="s">
        <v>189</v>
      </c>
    </row>
    <row r="2" spans="1:38" s="203" customFormat="1" ht="22" thickBot="1">
      <c r="B2" s="984" t="s">
        <v>56</v>
      </c>
      <c r="C2" s="985"/>
      <c r="D2" s="985"/>
      <c r="E2" s="985"/>
      <c r="F2" s="204"/>
      <c r="G2" s="987" t="s">
        <v>92</v>
      </c>
      <c r="H2" s="987"/>
      <c r="I2" s="987"/>
      <c r="J2" s="205"/>
      <c r="K2" s="984" t="s">
        <v>128</v>
      </c>
      <c r="L2" s="985"/>
      <c r="M2" s="985"/>
      <c r="N2" s="204"/>
      <c r="O2" s="984" t="s">
        <v>4</v>
      </c>
      <c r="P2" s="985"/>
      <c r="Q2" s="985"/>
      <c r="R2" s="985"/>
      <c r="S2" s="985"/>
      <c r="T2" s="580"/>
      <c r="U2" s="992" t="s">
        <v>8</v>
      </c>
      <c r="V2" s="993"/>
      <c r="W2" s="993"/>
      <c r="X2" s="993"/>
      <c r="Y2" s="993"/>
      <c r="Z2" s="994"/>
      <c r="AA2" s="581"/>
      <c r="AB2" s="995" t="s">
        <v>5</v>
      </c>
      <c r="AC2" s="996"/>
      <c r="AD2" s="996"/>
      <c r="AE2" s="996"/>
      <c r="AF2" s="996"/>
      <c r="AG2" s="582"/>
      <c r="AH2" s="988" t="s">
        <v>49</v>
      </c>
      <c r="AI2" s="989"/>
      <c r="AJ2" s="989"/>
      <c r="AK2" s="989"/>
      <c r="AL2" s="990"/>
    </row>
    <row r="3" spans="1:38" s="110" customFormat="1" ht="49" thickBot="1">
      <c r="B3" s="131" t="s">
        <v>6</v>
      </c>
      <c r="C3" s="108" t="s">
        <v>15</v>
      </c>
      <c r="D3" s="107" t="s">
        <v>2</v>
      </c>
      <c r="E3" s="129" t="s">
        <v>126</v>
      </c>
      <c r="F3" s="132"/>
      <c r="G3" s="137" t="str">
        <f>E3</f>
        <v>מתחדשות  TWH</v>
      </c>
      <c r="H3" s="126" t="s">
        <v>51</v>
      </c>
      <c r="I3" s="326" t="s">
        <v>52</v>
      </c>
      <c r="J3" s="132"/>
      <c r="K3" s="127" t="str">
        <f t="shared" ref="K3:K8" si="0">E3</f>
        <v>מתחדשות  TWH</v>
      </c>
      <c r="L3" s="126" t="s">
        <v>127</v>
      </c>
      <c r="M3" s="136" t="s">
        <v>52</v>
      </c>
      <c r="N3" s="134"/>
      <c r="O3" s="127" t="s">
        <v>125</v>
      </c>
      <c r="P3" s="127" t="s">
        <v>119</v>
      </c>
      <c r="Q3" s="126" t="s">
        <v>120</v>
      </c>
      <c r="R3" s="126" t="s">
        <v>121</v>
      </c>
      <c r="S3" s="136" t="str">
        <f>X3</f>
        <v>גז ביחידות קיימות TWH</v>
      </c>
      <c r="T3" s="616"/>
      <c r="U3" s="617" t="s">
        <v>125</v>
      </c>
      <c r="V3" s="618" t="s">
        <v>119</v>
      </c>
      <c r="W3" s="619" t="s">
        <v>122</v>
      </c>
      <c r="X3" s="620" t="s">
        <v>412</v>
      </c>
      <c r="Y3" s="714" t="s">
        <v>422</v>
      </c>
      <c r="Z3" s="715" t="s">
        <v>423</v>
      </c>
      <c r="AA3" s="716"/>
      <c r="AB3" s="725" t="s">
        <v>1</v>
      </c>
      <c r="AC3" s="726" t="s">
        <v>123</v>
      </c>
      <c r="AD3" s="328" t="s">
        <v>412</v>
      </c>
      <c r="AE3" s="727" t="s">
        <v>422</v>
      </c>
      <c r="AF3" s="728" t="s">
        <v>423</v>
      </c>
      <c r="AG3" s="128"/>
      <c r="AH3" s="138" t="s">
        <v>2</v>
      </c>
      <c r="AI3" s="107" t="s">
        <v>54</v>
      </c>
      <c r="AJ3" s="107" t="s">
        <v>272</v>
      </c>
      <c r="AK3" s="107" t="s">
        <v>53</v>
      </c>
      <c r="AL3" s="109" t="s">
        <v>52</v>
      </c>
    </row>
    <row r="4" spans="1:38" s="110" customFormat="1">
      <c r="B4" s="8">
        <v>2020</v>
      </c>
      <c r="C4" s="52">
        <f>+'הנחות עבודה'!B5</f>
        <v>73.405000000000001</v>
      </c>
      <c r="D4" s="51">
        <v>0.1</v>
      </c>
      <c r="E4" s="19">
        <f t="shared" ref="E4:E23" si="1">D4*C4</f>
        <v>7.3405000000000005</v>
      </c>
      <c r="F4" s="322"/>
      <c r="G4" s="221">
        <f t="shared" ref="G4:G6" si="2">E4</f>
        <v>7.3405000000000005</v>
      </c>
      <c r="H4" s="220">
        <f>$E$38*('הספק לפי חלופה'!B4/$E$36)</f>
        <v>20.512396694214875</v>
      </c>
      <c r="I4" s="218">
        <f t="shared" ref="I4:I6" si="3">C4-H4-E4</f>
        <v>45.552103305785131</v>
      </c>
      <c r="J4" s="323"/>
      <c r="K4" s="221">
        <f t="shared" si="0"/>
        <v>7.3405000000000005</v>
      </c>
      <c r="L4" s="220">
        <f>$E$39*'הספק לפי חלופה'!E4/$E$36</f>
        <v>14.471074380165289</v>
      </c>
      <c r="M4" s="218">
        <f>C4-E4-L4</f>
        <v>51.593425619834704</v>
      </c>
      <c r="N4" s="325"/>
      <c r="O4" s="221">
        <f t="shared" ref="O4:O12" si="4">E4</f>
        <v>7.3405000000000005</v>
      </c>
      <c r="P4" s="220">
        <f>('הספק לפי חלופה'!H4/$E$36)*'תמהיל יצור'!$E$39</f>
        <v>14.471074380165289</v>
      </c>
      <c r="Q4" s="220">
        <f>$E$42*'הספק לפי חלופה'!I4</f>
        <v>0</v>
      </c>
      <c r="R4" s="220">
        <f>($E$41/$E$40)*('הספק לפי חלופה'!I4/'תמהיל יצור'!$E$37)*L4</f>
        <v>0</v>
      </c>
      <c r="S4" s="218">
        <f t="shared" ref="S4:S12" si="5">C4-E4-Q4-R4-P4</f>
        <v>51.593425619834704</v>
      </c>
      <c r="T4" s="325"/>
      <c r="U4" s="583">
        <f t="shared" ref="U4:U12" si="6">E4</f>
        <v>7.3405000000000005</v>
      </c>
      <c r="V4" s="584">
        <f t="shared" ref="V4:V12" si="7">P4</f>
        <v>14.471074380165289</v>
      </c>
      <c r="W4" s="584">
        <f>$E$43*'הספק לפי חלופה'!L4</f>
        <v>0</v>
      </c>
      <c r="X4" s="584">
        <f>C4-W4-V4-U4-Y4-Z4</f>
        <v>51.593425619834711</v>
      </c>
      <c r="Y4" s="717">
        <f>'הספק לפי חלופה'!M4*(1-'הנחות עבודה'!$E$24)*'הנחות עבודה'!$E$26*8760/10^6</f>
        <v>0</v>
      </c>
      <c r="Z4" s="718">
        <f>'הספק לפי חלופה'!M4*'הנחות עבודה'!$E$24*'הנחות עבודה'!$E$27*8760/10^6</f>
        <v>0</v>
      </c>
      <c r="AA4" s="325"/>
      <c r="AB4" s="221">
        <f t="shared" ref="AB4:AB23" si="8">E4</f>
        <v>7.3405000000000005</v>
      </c>
      <c r="AC4" s="220">
        <f t="shared" ref="AC4:AC23" si="9">V4</f>
        <v>14.471074380165289</v>
      </c>
      <c r="AD4" s="220">
        <f>C4-AB4-AC4-AE4-AF4</f>
        <v>51.593425619834704</v>
      </c>
      <c r="AE4" s="220">
        <f>'הספק לפי חלופה'!P4*(1-'הנחות עבודה'!$E$24)*'הנחות עבודה'!$E$26*8760/10^6</f>
        <v>0</v>
      </c>
      <c r="AF4" s="218">
        <f>'הספק לפי חלופה'!P4*'הנחות עבודה'!$E$24*'הנחות עבודה'!$E$27*8760/10^6</f>
        <v>0</v>
      </c>
      <c r="AG4" s="128"/>
      <c r="AH4" s="139">
        <f>D4</f>
        <v>0.1</v>
      </c>
      <c r="AI4" s="44">
        <f t="shared" ref="AI4:AI20" si="10">AJ4-E4</f>
        <v>0</v>
      </c>
      <c r="AJ4" s="25">
        <f>AB4</f>
        <v>7.3405000000000005</v>
      </c>
      <c r="AK4" s="25">
        <f t="shared" ref="AK4:AK20" si="11">L4</f>
        <v>14.471074380165289</v>
      </c>
      <c r="AL4" s="26">
        <f t="shared" ref="AL4:AL20" si="12">C4-AK4-AJ4</f>
        <v>51.593425619834711</v>
      </c>
    </row>
    <row r="5" spans="1:38" s="110" customFormat="1">
      <c r="B5" s="8">
        <v>2021</v>
      </c>
      <c r="C5" s="52">
        <f>+'הנחות עבודה'!B6</f>
        <v>74.593000000000004</v>
      </c>
      <c r="D5" s="51">
        <v>0.11</v>
      </c>
      <c r="E5" s="19">
        <f t="shared" si="1"/>
        <v>8.2052300000000002</v>
      </c>
      <c r="F5" s="322"/>
      <c r="G5" s="217">
        <f t="shared" si="2"/>
        <v>8.2052300000000002</v>
      </c>
      <c r="H5" s="19">
        <f>$E$38*('הספק לפי חלופה'!B5/$E$36)</f>
        <v>20.512396694214875</v>
      </c>
      <c r="I5" s="219">
        <f t="shared" si="3"/>
        <v>45.875373305785132</v>
      </c>
      <c r="J5" s="323"/>
      <c r="K5" s="217">
        <f t="shared" si="0"/>
        <v>8.2052300000000002</v>
      </c>
      <c r="L5" s="19">
        <f>$E$39*'הספק לפי חלופה'!E5/$E$36</f>
        <v>14.471074380165289</v>
      </c>
      <c r="M5" s="219">
        <f>C5-E5-L5</f>
        <v>51.916695619834712</v>
      </c>
      <c r="N5" s="325"/>
      <c r="O5" s="217">
        <f t="shared" si="4"/>
        <v>8.2052300000000002</v>
      </c>
      <c r="P5" s="19">
        <f>('הספק לפי חלופה'!H5/$E$36)*'תמהיל יצור'!$E$39</f>
        <v>14.471074380165289</v>
      </c>
      <c r="Q5" s="19">
        <f>$E$42*'הספק לפי חלופה'!I5</f>
        <v>0</v>
      </c>
      <c r="R5" s="19">
        <f>($E$41/$E$40)*('הספק לפי חלופה'!I5/'תמהיל יצור'!$E$37)*L5</f>
        <v>0</v>
      </c>
      <c r="S5" s="219">
        <f t="shared" ref="S5:S6" si="13">C5-E5-Q5-R5-P5</f>
        <v>51.916695619834712</v>
      </c>
      <c r="T5" s="325"/>
      <c r="U5" s="585">
        <f t="shared" si="6"/>
        <v>8.2052300000000002</v>
      </c>
      <c r="V5" s="42">
        <f t="shared" si="7"/>
        <v>14.471074380165289</v>
      </c>
      <c r="W5" s="42">
        <f>$E$43*'הספק לפי חלופה'!L5</f>
        <v>0</v>
      </c>
      <c r="X5" s="42">
        <f t="shared" ref="X5:X23" si="14">C5-W5-V5-U5-Y5-Z5</f>
        <v>51.916695619834712</v>
      </c>
      <c r="Y5" s="19">
        <f>'הספק לפי חלופה'!M5*(1-'הנחות עבודה'!$E$24)*'הנחות עבודה'!$E$26*8760/10^6</f>
        <v>0</v>
      </c>
      <c r="Z5" s="719">
        <f>'הספק לפי חלופה'!M5*'הנחות עבודה'!$E$24*'הנחות עבודה'!$E$27*8760/10^6</f>
        <v>0</v>
      </c>
      <c r="AA5" s="325"/>
      <c r="AB5" s="217">
        <f t="shared" si="8"/>
        <v>8.2052300000000002</v>
      </c>
      <c r="AC5" s="19">
        <f t="shared" si="9"/>
        <v>14.471074380165289</v>
      </c>
      <c r="AD5" s="19">
        <f t="shared" ref="AD5:AD23" si="15">C5-AB5-AC5-AE5-AF5</f>
        <v>51.916695619834712</v>
      </c>
      <c r="AE5" s="19">
        <f>'הספק לפי חלופה'!P5*(1-'הנחות עבודה'!$E$24)*'הנחות עבודה'!$E$26*8760/10^6</f>
        <v>0</v>
      </c>
      <c r="AF5" s="219">
        <f>'הספק לפי חלופה'!P5*'הנחות עבודה'!$E$24*'הנחות עבודה'!$E$27*8760/10^6</f>
        <v>0</v>
      </c>
      <c r="AG5" s="128"/>
      <c r="AH5" s="139">
        <f>D5</f>
        <v>0.11</v>
      </c>
      <c r="AI5" s="44">
        <f t="shared" si="10"/>
        <v>0</v>
      </c>
      <c r="AJ5" s="25">
        <f>AB5</f>
        <v>8.2052300000000002</v>
      </c>
      <c r="AK5" s="25">
        <f t="shared" si="11"/>
        <v>14.471074380165289</v>
      </c>
      <c r="AL5" s="26">
        <f t="shared" si="12"/>
        <v>51.916695619834712</v>
      </c>
    </row>
    <row r="6" spans="1:38">
      <c r="B6" s="8">
        <v>2022</v>
      </c>
      <c r="C6" s="52">
        <f>+'הנחות עבודה'!B7</f>
        <v>77.028999999999996</v>
      </c>
      <c r="D6" s="51">
        <v>0.11</v>
      </c>
      <c r="E6" s="19">
        <f t="shared" si="1"/>
        <v>8.4731899999999989</v>
      </c>
      <c r="F6" s="217"/>
      <c r="G6" s="217">
        <f t="shared" si="2"/>
        <v>8.4731899999999989</v>
      </c>
      <c r="H6" s="19">
        <f>$E$38*('הספק לפי חלופה'!B6/$E$36)</f>
        <v>20.512396694214875</v>
      </c>
      <c r="I6" s="219">
        <f t="shared" si="3"/>
        <v>48.043413305785123</v>
      </c>
      <c r="J6" s="18"/>
      <c r="K6" s="217">
        <f t="shared" si="0"/>
        <v>8.4731899999999989</v>
      </c>
      <c r="L6" s="19">
        <f>$E$39*'הספק לפי חלופה'!E6/$E$36</f>
        <v>14.471074380165289</v>
      </c>
      <c r="M6" s="219">
        <f>C6-E6-L6</f>
        <v>54.084735619834703</v>
      </c>
      <c r="N6" s="18"/>
      <c r="O6" s="217">
        <f t="shared" si="4"/>
        <v>8.4731899999999989</v>
      </c>
      <c r="P6" s="19">
        <f>('הספק לפי חלופה'!H6/$E$36)*'תמהיל יצור'!$E$39</f>
        <v>9.5764462809917354</v>
      </c>
      <c r="Q6" s="19">
        <f>$E$42*'הספק לפי חלופה'!I6</f>
        <v>0.24860294117647058</v>
      </c>
      <c r="R6" s="19">
        <f>($E$41/$E$40)*('הספק לפי חלופה'!I6/'תמהיל יצור'!$E$37)*L6</f>
        <v>3.9157024793388433</v>
      </c>
      <c r="S6" s="219">
        <f t="shared" si="13"/>
        <v>54.815058298492943</v>
      </c>
      <c r="T6" s="19"/>
      <c r="U6" s="585">
        <f t="shared" si="6"/>
        <v>8.4731899999999989</v>
      </c>
      <c r="V6" s="42">
        <f t="shared" si="7"/>
        <v>9.5764462809917354</v>
      </c>
      <c r="W6" s="42">
        <f>$E$43*'הספק לפי חלופה'!L6</f>
        <v>0</v>
      </c>
      <c r="X6" s="42">
        <f t="shared" si="14"/>
        <v>58.979363719008262</v>
      </c>
      <c r="Y6" s="19">
        <f>'הספק לפי חלופה'!M6*(1-'הנחות עבודה'!$E$24)*'הנחות עבודה'!$E$26*8760/10^6</f>
        <v>0</v>
      </c>
      <c r="Z6" s="719">
        <f>'הספק לפי חלופה'!M6*'הנחות עבודה'!$E$24*'הנחות עבודה'!$E$27*8760/10^6</f>
        <v>0</v>
      </c>
      <c r="AA6" s="18"/>
      <c r="AB6" s="217">
        <f t="shared" si="8"/>
        <v>8.4731899999999989</v>
      </c>
      <c r="AC6" s="19">
        <f t="shared" si="9"/>
        <v>9.5764462809917354</v>
      </c>
      <c r="AD6" s="19">
        <f t="shared" si="15"/>
        <v>58.979363719008262</v>
      </c>
      <c r="AE6" s="19">
        <f>'הספק לפי חלופה'!P6*(1-'הנחות עבודה'!$E$24)*'הנחות עבודה'!$E$26*8760/10^6</f>
        <v>0</v>
      </c>
      <c r="AF6" s="219">
        <f>'הספק לפי חלופה'!P6*'הנחות עבודה'!$E$24*'הנחות עבודה'!$E$27*8760/10^6</f>
        <v>0</v>
      </c>
      <c r="AG6" s="20"/>
      <c r="AH6" s="139">
        <v>0.12</v>
      </c>
      <c r="AI6" s="44">
        <f t="shared" si="10"/>
        <v>0</v>
      </c>
      <c r="AJ6" s="25">
        <f>AB6</f>
        <v>8.4731899999999989</v>
      </c>
      <c r="AK6" s="25">
        <f t="shared" si="11"/>
        <v>14.471074380165289</v>
      </c>
      <c r="AL6" s="26">
        <f t="shared" si="12"/>
        <v>54.084735619834703</v>
      </c>
    </row>
    <row r="7" spans="1:38">
      <c r="B7" s="8">
        <f>B6+1</f>
        <v>2023</v>
      </c>
      <c r="C7" s="52">
        <f>+'הנחות עבודה'!B8</f>
        <v>79.543999999999997</v>
      </c>
      <c r="D7" s="51">
        <v>0.12</v>
      </c>
      <c r="E7" s="19">
        <f t="shared" si="1"/>
        <v>9.54528</v>
      </c>
      <c r="F7" s="217"/>
      <c r="G7" s="217">
        <f t="shared" ref="G7:G23" si="16">E7</f>
        <v>9.54528</v>
      </c>
      <c r="H7" s="19">
        <f>$E$38*('הספק לפי חלופה'!B7/$E$36)</f>
        <v>20.512396694214875</v>
      </c>
      <c r="I7" s="219">
        <f t="shared" ref="I7:I23" si="17">C7-H7-E7</f>
        <v>49.486323305785128</v>
      </c>
      <c r="J7" s="18"/>
      <c r="K7" s="217">
        <f t="shared" si="0"/>
        <v>9.54528</v>
      </c>
      <c r="L7" s="19">
        <f>$E$39*'הספק לפי חלופה'!E7/$E$36</f>
        <v>14.471074380165289</v>
      </c>
      <c r="M7" s="219">
        <f>C7-E7-L7</f>
        <v>55.527645619834701</v>
      </c>
      <c r="N7" s="18"/>
      <c r="O7" s="217">
        <f t="shared" si="4"/>
        <v>9.54528</v>
      </c>
      <c r="P7" s="19">
        <f>('הספק לפי חלופה'!H7/$E$36)*'תמהיל יצור'!$E$39</f>
        <v>9.5764462809917354</v>
      </c>
      <c r="Q7" s="19">
        <f>$E$42*'הספק לפי חלופה'!I7</f>
        <v>0.24860294117647058</v>
      </c>
      <c r="R7" s="19">
        <f>($E$41/$E$40)*('הספק לפי חלופה'!I7/'תמהיל יצור'!$E$37)*L7</f>
        <v>3.9157024793388433</v>
      </c>
      <c r="S7" s="219">
        <f t="shared" si="5"/>
        <v>56.257968298492941</v>
      </c>
      <c r="T7" s="19"/>
      <c r="U7" s="585">
        <f t="shared" si="6"/>
        <v>9.54528</v>
      </c>
      <c r="V7" s="42">
        <f t="shared" si="7"/>
        <v>9.5764462809917354</v>
      </c>
      <c r="W7" s="42">
        <f>$E$43*'הספק לפי חלופה'!L7</f>
        <v>0</v>
      </c>
      <c r="X7" s="42">
        <f t="shared" si="14"/>
        <v>60.422273719008267</v>
      </c>
      <c r="Y7" s="19">
        <f>'הספק לפי חלופה'!M7*(1-'הנחות עבודה'!$E$24)*'הנחות עבודה'!$E$26*8760/10^6</f>
        <v>0</v>
      </c>
      <c r="Z7" s="719">
        <f>'הספק לפי חלופה'!M7*'הנחות עבודה'!$E$24*'הנחות עבודה'!$E$27*8760/10^6</f>
        <v>0</v>
      </c>
      <c r="AA7" s="18"/>
      <c r="AB7" s="217">
        <f t="shared" si="8"/>
        <v>9.54528</v>
      </c>
      <c r="AC7" s="19">
        <f t="shared" si="9"/>
        <v>9.5764462809917354</v>
      </c>
      <c r="AD7" s="19">
        <f t="shared" si="15"/>
        <v>60.42227371900826</v>
      </c>
      <c r="AE7" s="19">
        <f>'הספק לפי חלופה'!P7*(1-'הנחות עבודה'!$E$24)*'הנחות עבודה'!$E$26*8760/10^6</f>
        <v>0</v>
      </c>
      <c r="AF7" s="219">
        <f>'הספק לפי חלופה'!P7*'הנחות עבודה'!$E$24*'הנחות עבודה'!$E$27*8760/10^6</f>
        <v>0</v>
      </c>
      <c r="AG7" s="20"/>
      <c r="AH7" s="139">
        <f t="shared" ref="AH7:AH13" si="18">AH6+0.02</f>
        <v>0.13999999999999999</v>
      </c>
      <c r="AI7" s="44">
        <f t="shared" si="10"/>
        <v>1.5908799999999985</v>
      </c>
      <c r="AJ7" s="25">
        <f t="shared" ref="AJ7:AJ20" si="19">AH7*C7</f>
        <v>11.136159999999999</v>
      </c>
      <c r="AK7" s="25">
        <f t="shared" si="11"/>
        <v>14.471074380165289</v>
      </c>
      <c r="AL7" s="26">
        <f t="shared" si="12"/>
        <v>53.936765619834709</v>
      </c>
    </row>
    <row r="8" spans="1:38">
      <c r="B8" s="8">
        <f t="shared" ref="B8:B29" si="20">B7+1</f>
        <v>2024</v>
      </c>
      <c r="C8" s="52">
        <f>+'הנחות עבודה'!B9</f>
        <v>82.141999999999996</v>
      </c>
      <c r="D8" s="51">
        <f t="shared" ref="D8:D13" si="21">D9-0.01</f>
        <v>0.12000000000000001</v>
      </c>
      <c r="E8" s="19">
        <f t="shared" si="1"/>
        <v>9.8570399999999996</v>
      </c>
      <c r="F8" s="217"/>
      <c r="G8" s="217">
        <f t="shared" si="16"/>
        <v>9.8570399999999996</v>
      </c>
      <c r="H8" s="19">
        <f>$E$38*('הספק לפי חלופה'!B8/$E$36)</f>
        <v>20.512396694214875</v>
      </c>
      <c r="I8" s="219">
        <f t="shared" si="17"/>
        <v>51.772563305785127</v>
      </c>
      <c r="J8" s="18"/>
      <c r="K8" s="217">
        <f t="shared" si="0"/>
        <v>9.8570399999999996</v>
      </c>
      <c r="L8" s="19">
        <f>$E$39*'הספק לפי חלופה'!E8/$E$36</f>
        <v>14.471074380165289</v>
      </c>
      <c r="M8" s="219">
        <f>C8-E8-L8</f>
        <v>57.813885619834707</v>
      </c>
      <c r="N8" s="18"/>
      <c r="O8" s="217">
        <f t="shared" si="4"/>
        <v>9.8570399999999996</v>
      </c>
      <c r="P8" s="19">
        <f>('הספק לפי חלופה'!H8/$E$36)*'תמהיל יצור'!$E$39</f>
        <v>4.6818181818181817</v>
      </c>
      <c r="Q8" s="19">
        <f>$E$42*'הספק לפי חלופה'!I8</f>
        <v>0.49720588235294116</v>
      </c>
      <c r="R8" s="19">
        <f>($E$41/$E$40)*('הספק לפי חלופה'!I8/'תמהיל יצור'!$E$37)*L8</f>
        <v>7.8314049586776866</v>
      </c>
      <c r="S8" s="219">
        <f t="shared" si="5"/>
        <v>59.274530977151187</v>
      </c>
      <c r="T8" s="19"/>
      <c r="U8" s="585">
        <f t="shared" si="6"/>
        <v>9.8570399999999996</v>
      </c>
      <c r="V8" s="42">
        <f t="shared" si="7"/>
        <v>4.6818181818181817</v>
      </c>
      <c r="W8" s="42">
        <f>$E$43*'הספק לפי חלופה'!L8</f>
        <v>0.20091176470588235</v>
      </c>
      <c r="X8" s="42">
        <f t="shared" si="14"/>
        <v>61.607230053475931</v>
      </c>
      <c r="Y8" s="19">
        <f>'הספק לפי חלופה'!M8*(1-'הנחות עבודה'!$E$24)*'הנחות עבודה'!$E$26*8760/10^6</f>
        <v>5.1544999999999996</v>
      </c>
      <c r="Z8" s="719">
        <f>'הספק לפי חלופה'!M8*'הנחות עבודה'!$E$24*'הנחות עבודה'!$E$27*8760/10^6</f>
        <v>0.64049999999999996</v>
      </c>
      <c r="AA8" s="18"/>
      <c r="AB8" s="217">
        <f t="shared" si="8"/>
        <v>9.8570399999999996</v>
      </c>
      <c r="AC8" s="19">
        <f t="shared" si="9"/>
        <v>4.6818181818181817</v>
      </c>
      <c r="AD8" s="19">
        <f t="shared" si="15"/>
        <v>61.808141818181809</v>
      </c>
      <c r="AE8" s="19">
        <f>'הספק לפי חלופה'!P8*(1-'הנחות עבודה'!$E$24)*'הנחות עבודה'!$E$26*8760/10^6</f>
        <v>5.1544999999999996</v>
      </c>
      <c r="AF8" s="219">
        <f>'הספק לפי חלופה'!P8*'הנחות עבודה'!$E$24*'הנחות עבודה'!$E$27*8760/10^6</f>
        <v>0.64049999999999996</v>
      </c>
      <c r="AG8" s="20"/>
      <c r="AH8" s="139">
        <f t="shared" si="18"/>
        <v>0.15999999999999998</v>
      </c>
      <c r="AI8" s="44">
        <f t="shared" si="10"/>
        <v>3.2856799999999975</v>
      </c>
      <c r="AJ8" s="25">
        <f t="shared" si="19"/>
        <v>13.142719999999997</v>
      </c>
      <c r="AK8" s="25">
        <f t="shared" si="11"/>
        <v>14.471074380165289</v>
      </c>
      <c r="AL8" s="26">
        <f t="shared" si="12"/>
        <v>54.528205619834708</v>
      </c>
    </row>
    <row r="9" spans="1:38">
      <c r="B9" s="8">
        <f t="shared" si="20"/>
        <v>2025</v>
      </c>
      <c r="C9" s="52">
        <f>+'הנחות עבודה'!B10</f>
        <v>84.823999999999998</v>
      </c>
      <c r="D9" s="51">
        <f>+'הנחות עבודה'!E4</f>
        <v>0.13</v>
      </c>
      <c r="E9" s="19">
        <f t="shared" si="1"/>
        <v>11.02712</v>
      </c>
      <c r="F9" s="217"/>
      <c r="G9" s="217">
        <f t="shared" si="16"/>
        <v>11.02712</v>
      </c>
      <c r="H9" s="19">
        <f>$E$38*('הספק לפי חלופה'!B9/$E$36)</f>
        <v>20.512396694214875</v>
      </c>
      <c r="I9" s="219">
        <f t="shared" si="17"/>
        <v>53.28448330578513</v>
      </c>
      <c r="J9" s="18"/>
      <c r="K9" s="217">
        <f t="shared" ref="K9:K23" si="22">E9</f>
        <v>11.02712</v>
      </c>
      <c r="L9" s="19">
        <f>$E$39*'הספק לפי חלופה'!E9/$E$36</f>
        <v>14.471074380165289</v>
      </c>
      <c r="M9" s="219">
        <f t="shared" ref="M9:M23" si="23">C9-E9-L9</f>
        <v>59.325805619834711</v>
      </c>
      <c r="N9" s="18"/>
      <c r="O9" s="217">
        <f t="shared" si="4"/>
        <v>11.02712</v>
      </c>
      <c r="P9" s="19">
        <f>('הספק לפי חלופה'!H9/$E$36)*'תמהיל יצור'!$E$39</f>
        <v>4.6818181818181817</v>
      </c>
      <c r="Q9" s="19">
        <f>$E$42*'הספק לפי חלופה'!I9</f>
        <v>0.49720588235294116</v>
      </c>
      <c r="R9" s="19">
        <f>($E$41/$E$40)*('הספק לפי חלופה'!I9/'תמהיל יצור'!$E$37)*L9</f>
        <v>7.8314049586776866</v>
      </c>
      <c r="S9" s="219">
        <f t="shared" si="5"/>
        <v>60.786450977151198</v>
      </c>
      <c r="T9" s="19"/>
      <c r="U9" s="585">
        <f t="shared" si="6"/>
        <v>11.02712</v>
      </c>
      <c r="V9" s="42">
        <f t="shared" si="7"/>
        <v>4.6818181818181817</v>
      </c>
      <c r="W9" s="42">
        <f>$E$43*'הספק לפי חלופה'!L9</f>
        <v>0.20091176470588235</v>
      </c>
      <c r="X9" s="42">
        <f t="shared" si="14"/>
        <v>63.119150053475934</v>
      </c>
      <c r="Y9" s="19">
        <f>'הספק לפי חלופה'!M9*(1-'הנחות עבודה'!$E$24)*'הנחות עבודה'!$E$26*8760/10^6</f>
        <v>5.1544999999999996</v>
      </c>
      <c r="Z9" s="719">
        <f>'הספק לפי חלופה'!M9*'הנחות עבודה'!$E$24*'הנחות עבודה'!$E$27*8760/10^6</f>
        <v>0.64049999999999996</v>
      </c>
      <c r="AA9" s="18"/>
      <c r="AB9" s="217">
        <f t="shared" si="8"/>
        <v>11.02712</v>
      </c>
      <c r="AC9" s="19">
        <f t="shared" si="9"/>
        <v>4.6818181818181817</v>
      </c>
      <c r="AD9" s="19">
        <f t="shared" si="15"/>
        <v>63.320061818181813</v>
      </c>
      <c r="AE9" s="19">
        <f>'הספק לפי חלופה'!P9*(1-'הנחות עבודה'!$E$24)*'הנחות עבודה'!$E$26*8760/10^6</f>
        <v>5.1544999999999996</v>
      </c>
      <c r="AF9" s="219">
        <f>'הספק לפי חלופה'!P9*'הנחות עבודה'!$E$24*'הנחות עבודה'!$E$27*8760/10^6</f>
        <v>0.64049999999999996</v>
      </c>
      <c r="AG9" s="20"/>
      <c r="AH9" s="139">
        <f t="shared" si="18"/>
        <v>0.17999999999999997</v>
      </c>
      <c r="AI9" s="44">
        <f t="shared" si="10"/>
        <v>4.2411999999999974</v>
      </c>
      <c r="AJ9" s="25">
        <f t="shared" si="19"/>
        <v>15.268319999999997</v>
      </c>
      <c r="AK9" s="25">
        <f t="shared" si="11"/>
        <v>14.471074380165289</v>
      </c>
      <c r="AL9" s="26">
        <f t="shared" si="12"/>
        <v>55.084605619834711</v>
      </c>
    </row>
    <row r="10" spans="1:38">
      <c r="B10" s="8">
        <f t="shared" si="20"/>
        <v>2026</v>
      </c>
      <c r="C10" s="52">
        <f>+'הנחות עבודה'!B11</f>
        <v>87.114247999999989</v>
      </c>
      <c r="D10" s="51">
        <f t="shared" si="21"/>
        <v>0.12999999999999998</v>
      </c>
      <c r="E10" s="19">
        <f t="shared" si="1"/>
        <v>11.324852239999997</v>
      </c>
      <c r="F10" s="217"/>
      <c r="G10" s="217">
        <f t="shared" si="16"/>
        <v>11.324852239999997</v>
      </c>
      <c r="H10" s="19">
        <f>$E$38*('הספק לפי חלופה'!B10/$E$36)</f>
        <v>20.512396694214875</v>
      </c>
      <c r="I10" s="219">
        <f t="shared" si="17"/>
        <v>55.27699906578512</v>
      </c>
      <c r="J10" s="18"/>
      <c r="K10" s="217">
        <f t="shared" si="22"/>
        <v>11.324852239999997</v>
      </c>
      <c r="L10" s="19">
        <f>$E$39*'הספק לפי חלופה'!E10/$E$36</f>
        <v>14.471074380165289</v>
      </c>
      <c r="M10" s="219">
        <f t="shared" si="23"/>
        <v>61.3183213798347</v>
      </c>
      <c r="N10" s="18"/>
      <c r="O10" s="217">
        <f t="shared" si="4"/>
        <v>11.324852239999997</v>
      </c>
      <c r="P10" s="19">
        <f>('הספק לפי חלופה'!H10/$E$36)*'תמהיל יצור'!$E$39</f>
        <v>0</v>
      </c>
      <c r="Q10" s="19">
        <f>$E$42*'הספק לפי חלופה'!I10</f>
        <v>0.73499999999999999</v>
      </c>
      <c r="R10" s="19">
        <f>($E$41/$E$40)*('הספק לפי חלופה'!I10/'תמהיל יצור'!$E$37)*L10</f>
        <v>11.576859504132232</v>
      </c>
      <c r="S10" s="219">
        <f t="shared" si="5"/>
        <v>63.477536255867761</v>
      </c>
      <c r="T10" s="19"/>
      <c r="U10" s="585">
        <f t="shared" si="6"/>
        <v>11.324852239999997</v>
      </c>
      <c r="V10" s="42">
        <f t="shared" si="7"/>
        <v>0</v>
      </c>
      <c r="W10" s="42">
        <f>$E$43*'הספק לפי חלופה'!L10</f>
        <v>0.40182352941176469</v>
      </c>
      <c r="X10" s="42">
        <f t="shared" si="14"/>
        <v>63.797572230588223</v>
      </c>
      <c r="Y10" s="19">
        <f>'הספק לפי חלופה'!M10*(1-'הנחות עבודה'!$E$24)*'הנחות עבודה'!$E$26*8760/10^6</f>
        <v>10.308999999999999</v>
      </c>
      <c r="Z10" s="719">
        <f>'הספק לפי חלופה'!M10*'הנחות עבודה'!$E$24*'הנחות עבודה'!$E$27*8760/10^6</f>
        <v>1.2809999999999999</v>
      </c>
      <c r="AA10" s="18"/>
      <c r="AB10" s="217">
        <f t="shared" si="8"/>
        <v>11.324852239999997</v>
      </c>
      <c r="AC10" s="19">
        <f t="shared" si="9"/>
        <v>0</v>
      </c>
      <c r="AD10" s="19">
        <f t="shared" si="15"/>
        <v>64.199395759999987</v>
      </c>
      <c r="AE10" s="19">
        <f>'הספק לפי חלופה'!P10*(1-'הנחות עבודה'!$E$24)*'הנחות עבודה'!$E$26*8760/10^6</f>
        <v>10.308999999999999</v>
      </c>
      <c r="AF10" s="219">
        <f>'הספק לפי חלופה'!P10*'הנחות עבודה'!$E$24*'הנחות עבודה'!$E$27*8760/10^6</f>
        <v>1.2809999999999999</v>
      </c>
      <c r="AG10" s="20"/>
      <c r="AH10" s="139">
        <f t="shared" si="18"/>
        <v>0.19999999999999996</v>
      </c>
      <c r="AI10" s="44">
        <f t="shared" si="10"/>
        <v>6.097997359999999</v>
      </c>
      <c r="AJ10" s="25">
        <f t="shared" si="19"/>
        <v>17.422849599999996</v>
      </c>
      <c r="AK10" s="25">
        <f t="shared" si="11"/>
        <v>14.471074380165289</v>
      </c>
      <c r="AL10" s="26">
        <f t="shared" si="12"/>
        <v>55.220324019834706</v>
      </c>
    </row>
    <row r="11" spans="1:38">
      <c r="B11" s="8">
        <f t="shared" si="20"/>
        <v>2027</v>
      </c>
      <c r="C11" s="52">
        <f>+'הנחות עבודה'!B12</f>
        <v>89.466332695999981</v>
      </c>
      <c r="D11" s="51">
        <f t="shared" si="21"/>
        <v>0.13999999999999999</v>
      </c>
      <c r="E11" s="19">
        <f t="shared" si="1"/>
        <v>12.525286577439996</v>
      </c>
      <c r="F11" s="217"/>
      <c r="G11" s="217">
        <f t="shared" si="16"/>
        <v>12.525286577439996</v>
      </c>
      <c r="H11" s="19">
        <f>$E$38*('הספק לפי חלופה'!B11/$E$36)</f>
        <v>20.512396694214875</v>
      </c>
      <c r="I11" s="219">
        <f t="shared" si="17"/>
        <v>56.42864942434511</v>
      </c>
      <c r="J11" s="18"/>
      <c r="K11" s="217">
        <f t="shared" si="22"/>
        <v>12.525286577439996</v>
      </c>
      <c r="L11" s="19">
        <f>$E$39*'הספק לפי חלופה'!E11/$E$36</f>
        <v>14.471074380165289</v>
      </c>
      <c r="M11" s="219">
        <f t="shared" si="23"/>
        <v>62.46997173839469</v>
      </c>
      <c r="N11" s="18"/>
      <c r="O11" s="217">
        <f t="shared" si="4"/>
        <v>12.525286577439996</v>
      </c>
      <c r="P11" s="19">
        <f>('הספק לפי חלופה'!H11/$E$36)*'תמהיל יצור'!$E$39</f>
        <v>0</v>
      </c>
      <c r="Q11" s="19">
        <f>$E$42*'הספק לפי חלופה'!I11</f>
        <v>0.73499999999999999</v>
      </c>
      <c r="R11" s="19">
        <f>($E$41/$E$40)*('הספק לפי חלופה'!I11/'תמהיל יצור'!$E$37)*L11</f>
        <v>11.576859504132232</v>
      </c>
      <c r="S11" s="219">
        <f t="shared" si="5"/>
        <v>64.629186614427752</v>
      </c>
      <c r="T11" s="19"/>
      <c r="U11" s="585">
        <f t="shared" si="6"/>
        <v>12.525286577439996</v>
      </c>
      <c r="V11" s="42">
        <f t="shared" si="7"/>
        <v>0</v>
      </c>
      <c r="W11" s="42">
        <f>$E$43*'הספק לפי חלופה'!L11</f>
        <v>0.40182352941176469</v>
      </c>
      <c r="X11" s="42">
        <f t="shared" si="14"/>
        <v>64.949222589148206</v>
      </c>
      <c r="Y11" s="19">
        <f>'הספק לפי חלופה'!M11*(1-'הנחות עבודה'!$E$24)*'הנחות עבודה'!$E$26*8760/10^6</f>
        <v>10.308999999999999</v>
      </c>
      <c r="Z11" s="719">
        <f>'הספק לפי חלופה'!M11*'הנחות עבודה'!$E$24*'הנחות עבודה'!$E$27*8760/10^6</f>
        <v>1.2809999999999999</v>
      </c>
      <c r="AA11" s="18"/>
      <c r="AB11" s="217">
        <f t="shared" si="8"/>
        <v>12.525286577439996</v>
      </c>
      <c r="AC11" s="19">
        <f t="shared" si="9"/>
        <v>0</v>
      </c>
      <c r="AD11" s="19">
        <f t="shared" si="15"/>
        <v>65.351046118559978</v>
      </c>
      <c r="AE11" s="19">
        <f>'הספק לפי חלופה'!P11*(1-'הנחות עבודה'!$E$24)*'הנחות עבודה'!$E$26*8760/10^6</f>
        <v>10.308999999999999</v>
      </c>
      <c r="AF11" s="219">
        <f>'הספק לפי חלופה'!P11*'הנחות עבודה'!$E$24*'הנחות עבודה'!$E$27*8760/10^6</f>
        <v>1.2809999999999999</v>
      </c>
      <c r="AG11" s="20"/>
      <c r="AH11" s="139">
        <f t="shared" si="18"/>
        <v>0.21999999999999995</v>
      </c>
      <c r="AI11" s="44">
        <f t="shared" si="10"/>
        <v>7.157306615679996</v>
      </c>
      <c r="AJ11" s="25">
        <f t="shared" si="19"/>
        <v>19.682593193119992</v>
      </c>
      <c r="AK11" s="25">
        <f t="shared" si="11"/>
        <v>14.471074380165289</v>
      </c>
      <c r="AL11" s="26">
        <f t="shared" si="12"/>
        <v>55.312665122714698</v>
      </c>
    </row>
    <row r="12" spans="1:38">
      <c r="B12" s="8">
        <f t="shared" si="20"/>
        <v>2028</v>
      </c>
      <c r="C12" s="52">
        <f>+'הנחות עבודה'!B13</f>
        <v>91.881923678791978</v>
      </c>
      <c r="D12" s="51">
        <f t="shared" si="21"/>
        <v>0.15</v>
      </c>
      <c r="E12" s="19">
        <f t="shared" si="1"/>
        <v>13.782288551818796</v>
      </c>
      <c r="F12" s="217"/>
      <c r="G12" s="217">
        <f t="shared" si="16"/>
        <v>13.782288551818796</v>
      </c>
      <c r="H12" s="19">
        <f>$E$38*('הספק לפי חלופה'!B12/$E$36)</f>
        <v>20.512396694214875</v>
      </c>
      <c r="I12" s="219">
        <f t="shared" si="17"/>
        <v>57.587238432758312</v>
      </c>
      <c r="J12" s="18"/>
      <c r="K12" s="217">
        <f t="shared" si="22"/>
        <v>13.782288551818796</v>
      </c>
      <c r="L12" s="19">
        <f>$E$39*'הספק לפי חלופה'!E12/$E$36</f>
        <v>14.471074380165289</v>
      </c>
      <c r="M12" s="219">
        <f t="shared" si="23"/>
        <v>63.628560746807892</v>
      </c>
      <c r="N12" s="18"/>
      <c r="O12" s="217">
        <f t="shared" si="4"/>
        <v>13.782288551818796</v>
      </c>
      <c r="P12" s="19">
        <f>('הספק לפי חלופה'!H12/$E$36)*'תמהיל יצור'!$E$39</f>
        <v>0</v>
      </c>
      <c r="Q12" s="19">
        <f>$E$42*'הספק לפי חלופה'!I12</f>
        <v>0.73499999999999999</v>
      </c>
      <c r="R12" s="19">
        <f>($E$41/$E$40)*('הספק לפי חלופה'!I12/'תמהיל יצור'!$E$37)*L12</f>
        <v>11.576859504132232</v>
      </c>
      <c r="S12" s="219">
        <f t="shared" si="5"/>
        <v>65.787775622840954</v>
      </c>
      <c r="T12" s="19"/>
      <c r="U12" s="585">
        <f t="shared" si="6"/>
        <v>13.782288551818796</v>
      </c>
      <c r="V12" s="42">
        <f t="shared" si="7"/>
        <v>0</v>
      </c>
      <c r="W12" s="42">
        <f>$E$43*'הספק לפי חלופה'!L12</f>
        <v>0.59399999999999997</v>
      </c>
      <c r="X12" s="42">
        <f t="shared" si="14"/>
        <v>60.120635126973184</v>
      </c>
      <c r="Y12" s="19">
        <f>'הספק לפי חלופה'!M12*(1-'הנחות עבודה'!$E$24)*'הנחות עבודה'!$E$26*8760/10^6</f>
        <v>15.463500000000002</v>
      </c>
      <c r="Z12" s="719">
        <f>'הספק לפי חלופה'!M12*'הנחות עבודה'!$E$24*'הנחות עבודה'!$E$27*8760/10^6</f>
        <v>1.9214999999999998</v>
      </c>
      <c r="AA12" s="18"/>
      <c r="AB12" s="217">
        <f t="shared" si="8"/>
        <v>13.782288551818796</v>
      </c>
      <c r="AC12" s="19">
        <f t="shared" si="9"/>
        <v>0</v>
      </c>
      <c r="AD12" s="19">
        <f t="shared" si="15"/>
        <v>60.714635126973178</v>
      </c>
      <c r="AE12" s="19">
        <f>'הספק לפי חלופה'!P12*(1-'הנחות עבודה'!$E$24)*'הנחות עבודה'!$E$26*8760/10^6</f>
        <v>15.463500000000002</v>
      </c>
      <c r="AF12" s="219">
        <f>'הספק לפי חלופה'!P12*'הנחות עבודה'!$E$24*'הנחות עבודה'!$E$27*8760/10^6</f>
        <v>1.9214999999999998</v>
      </c>
      <c r="AG12" s="20"/>
      <c r="AH12" s="139">
        <f t="shared" si="18"/>
        <v>0.23999999999999994</v>
      </c>
      <c r="AI12" s="44">
        <f t="shared" si="10"/>
        <v>8.2693731310912728</v>
      </c>
      <c r="AJ12" s="25">
        <f t="shared" si="19"/>
        <v>22.051661682910069</v>
      </c>
      <c r="AK12" s="25">
        <f t="shared" si="11"/>
        <v>14.471074380165289</v>
      </c>
      <c r="AL12" s="26">
        <f t="shared" si="12"/>
        <v>55.359187615716621</v>
      </c>
    </row>
    <row r="13" spans="1:38">
      <c r="B13" s="8">
        <f t="shared" si="20"/>
        <v>2029</v>
      </c>
      <c r="C13" s="52">
        <f>+'הנחות עבודה'!B14</f>
        <v>94.362735618119359</v>
      </c>
      <c r="D13" s="51">
        <f t="shared" si="21"/>
        <v>0.16</v>
      </c>
      <c r="E13" s="19">
        <f t="shared" si="1"/>
        <v>15.098037698899098</v>
      </c>
      <c r="F13" s="217"/>
      <c r="G13" s="217">
        <f t="shared" si="16"/>
        <v>15.098037698899098</v>
      </c>
      <c r="H13" s="19">
        <f>$E$38*('הספק לפי חלופה'!B13/$E$36)</f>
        <v>20.512396694214875</v>
      </c>
      <c r="I13" s="219">
        <f t="shared" si="17"/>
        <v>58.75230122500539</v>
      </c>
      <c r="J13" s="18"/>
      <c r="K13" s="217">
        <f t="shared" si="22"/>
        <v>15.098037698899098</v>
      </c>
      <c r="L13" s="19">
        <f>$E$39*'הספק לפי חלופה'!E13/$E$36</f>
        <v>14.471074380165289</v>
      </c>
      <c r="M13" s="219">
        <f t="shared" si="23"/>
        <v>64.793623539054963</v>
      </c>
      <c r="N13" s="18"/>
      <c r="O13" s="217">
        <f t="shared" ref="O13:O23" si="24">E13</f>
        <v>15.098037698899098</v>
      </c>
      <c r="P13" s="19">
        <f>('הספק לפי חלופה'!H13/$E$36)*'תמהיל יצור'!$E$39</f>
        <v>0</v>
      </c>
      <c r="Q13" s="19">
        <f>$E$42*'הספק לפי חלופה'!I13</f>
        <v>0.73499999999999999</v>
      </c>
      <c r="R13" s="19">
        <f>($E$41/$E$40)*('הספק לפי חלופה'!I13/'תמהיל יצור'!$E$37)*L13</f>
        <v>11.576859504132232</v>
      </c>
      <c r="S13" s="219">
        <f t="shared" ref="S13:S23" si="25">C13-E13-Q13-R13-P13</f>
        <v>66.952838415088024</v>
      </c>
      <c r="T13" s="19"/>
      <c r="U13" s="585">
        <f t="shared" ref="U13:U23" si="26">E13</f>
        <v>15.098037698899098</v>
      </c>
      <c r="V13" s="42">
        <f t="shared" ref="V13:V23" si="27">P13</f>
        <v>0</v>
      </c>
      <c r="W13" s="42">
        <f>$E$43*'הספק לפי חלופה'!L13</f>
        <v>0.59399999999999997</v>
      </c>
      <c r="X13" s="42">
        <f t="shared" si="14"/>
        <v>61.285697919220254</v>
      </c>
      <c r="Y13" s="19">
        <f>'הספק לפי חלופה'!M13*(1-'הנחות עבודה'!$E$24)*'הנחות עבודה'!$E$26*8760/10^6</f>
        <v>15.463500000000002</v>
      </c>
      <c r="Z13" s="719">
        <f>'הספק לפי חלופה'!M13*'הנחות עבודה'!$E$24*'הנחות עבודה'!$E$27*8760/10^6</f>
        <v>1.9214999999999998</v>
      </c>
      <c r="AA13" s="18"/>
      <c r="AB13" s="217">
        <f t="shared" si="8"/>
        <v>15.098037698899098</v>
      </c>
      <c r="AC13" s="19">
        <f t="shared" si="9"/>
        <v>0</v>
      </c>
      <c r="AD13" s="19">
        <f t="shared" si="15"/>
        <v>61.879697919220249</v>
      </c>
      <c r="AE13" s="19">
        <f>'הספק לפי חלופה'!P13*(1-'הנחות עבודה'!$E$24)*'הנחות עבודה'!$E$26*8760/10^6</f>
        <v>15.463500000000002</v>
      </c>
      <c r="AF13" s="219">
        <f>'הספק לפי חלופה'!P13*'הנחות עבודה'!$E$24*'הנחות עבודה'!$E$27*8760/10^6</f>
        <v>1.9214999999999998</v>
      </c>
      <c r="AG13" s="20"/>
      <c r="AH13" s="139">
        <f t="shared" si="18"/>
        <v>0.25999999999999995</v>
      </c>
      <c r="AI13" s="44">
        <f t="shared" si="10"/>
        <v>9.4362735618119302</v>
      </c>
      <c r="AJ13" s="25">
        <f t="shared" si="19"/>
        <v>24.534311260711029</v>
      </c>
      <c r="AK13" s="25">
        <f t="shared" si="11"/>
        <v>14.471074380165289</v>
      </c>
      <c r="AL13" s="26">
        <f t="shared" si="12"/>
        <v>55.35734997724304</v>
      </c>
    </row>
    <row r="14" spans="1:38" s="15" customFormat="1">
      <c r="B14" s="34">
        <f t="shared" si="20"/>
        <v>2030</v>
      </c>
      <c r="C14" s="52">
        <f>+'הנחות עבודה'!B15</f>
        <v>96.910529479808574</v>
      </c>
      <c r="D14" s="51">
        <f>+'הנחות עבודה'!$E$3</f>
        <v>0.17</v>
      </c>
      <c r="E14" s="19">
        <f t="shared" si="1"/>
        <v>16.47479001156746</v>
      </c>
      <c r="F14" s="217"/>
      <c r="G14" s="217">
        <f t="shared" si="16"/>
        <v>16.47479001156746</v>
      </c>
      <c r="H14" s="19">
        <f>$E$38*('הספק לפי חלופה'!B14/$E$36)</f>
        <v>20.512396694214875</v>
      </c>
      <c r="I14" s="219">
        <f t="shared" si="17"/>
        <v>59.923342774026239</v>
      </c>
      <c r="J14" s="18"/>
      <c r="K14" s="217">
        <f t="shared" si="22"/>
        <v>16.47479001156746</v>
      </c>
      <c r="L14" s="19">
        <f>$E$39*'הספק לפי חלופה'!E14/$E$36</f>
        <v>14.471074380165289</v>
      </c>
      <c r="M14" s="219">
        <f t="shared" si="23"/>
        <v>65.964665088075819</v>
      </c>
      <c r="N14" s="18"/>
      <c r="O14" s="217">
        <f t="shared" si="24"/>
        <v>16.47479001156746</v>
      </c>
      <c r="P14" s="19">
        <f>('הספק לפי חלופה'!H14/$E$36)*'תמהיל יצור'!$E$39</f>
        <v>0</v>
      </c>
      <c r="Q14" s="19">
        <f>$E$42*'הספק לפי חלופה'!I14</f>
        <v>0.73499999999999999</v>
      </c>
      <c r="R14" s="19">
        <f>($E$41/$E$40)*('הספק לפי חלופה'!I14/'תמהיל יצור'!$E$37)*L14</f>
        <v>11.576859504132232</v>
      </c>
      <c r="S14" s="219">
        <f t="shared" si="25"/>
        <v>68.12387996410888</v>
      </c>
      <c r="T14" s="19"/>
      <c r="U14" s="585">
        <f t="shared" si="26"/>
        <v>16.47479001156746</v>
      </c>
      <c r="V14" s="42">
        <f t="shared" si="27"/>
        <v>0</v>
      </c>
      <c r="W14" s="42">
        <f>$E$43*'הספק לפי חלופה'!L14</f>
        <v>0.59399999999999997</v>
      </c>
      <c r="X14" s="42">
        <f t="shared" si="14"/>
        <v>62.456739468241118</v>
      </c>
      <c r="Y14" s="19">
        <f>'הספק לפי חלופה'!M14*(1-'הנחות עבודה'!$E$24)*'הנחות עבודה'!$E$26*8760/10^6</f>
        <v>15.463500000000002</v>
      </c>
      <c r="Z14" s="719">
        <f>'הספק לפי חלופה'!M14*'הנחות עבודה'!$E$24*'הנחות עבודה'!$E$27*8760/10^6</f>
        <v>1.9214999999999998</v>
      </c>
      <c r="AA14" s="18"/>
      <c r="AB14" s="217">
        <f t="shared" si="8"/>
        <v>16.47479001156746</v>
      </c>
      <c r="AC14" s="19">
        <f t="shared" si="9"/>
        <v>0</v>
      </c>
      <c r="AD14" s="19">
        <f t="shared" si="15"/>
        <v>63.050739468241112</v>
      </c>
      <c r="AE14" s="19">
        <f>'הספק לפי חלופה'!P14*(1-'הנחות עבודה'!$E$24)*'הנחות עבודה'!$E$26*8760/10^6</f>
        <v>15.463500000000002</v>
      </c>
      <c r="AF14" s="219">
        <f>'הספק לפי חלופה'!P14*'הנחות עבודה'!$E$24*'הנחות עבודה'!$E$27*8760/10^6</f>
        <v>1.9214999999999998</v>
      </c>
      <c r="AG14" s="35"/>
      <c r="AH14" s="139">
        <v>0.25</v>
      </c>
      <c r="AI14" s="46">
        <f t="shared" si="10"/>
        <v>7.7528423583846831</v>
      </c>
      <c r="AJ14" s="48">
        <f t="shared" si="19"/>
        <v>24.227632369952143</v>
      </c>
      <c r="AK14" s="48">
        <f t="shared" si="11"/>
        <v>14.471074380165289</v>
      </c>
      <c r="AL14" s="26">
        <f t="shared" si="12"/>
        <v>58.211822729691136</v>
      </c>
    </row>
    <row r="15" spans="1:38">
      <c r="B15" s="8">
        <f t="shared" si="20"/>
        <v>2031</v>
      </c>
      <c r="C15" s="52">
        <f>+'הנחות עבודה'!B16</f>
        <v>99.527113775763397</v>
      </c>
      <c r="D15" s="51">
        <f>+'הנחות עבודה'!$E$3</f>
        <v>0.17</v>
      </c>
      <c r="E15" s="19">
        <f t="shared" si="1"/>
        <v>16.919609341879777</v>
      </c>
      <c r="F15" s="217"/>
      <c r="G15" s="217">
        <f t="shared" si="16"/>
        <v>16.919609341879777</v>
      </c>
      <c r="H15" s="19">
        <f>$E$38*('הספק לפי חלופה'!B15/$E$36)</f>
        <v>20.512396694214875</v>
      </c>
      <c r="I15" s="219">
        <f t="shared" si="17"/>
        <v>62.095107739668748</v>
      </c>
      <c r="J15" s="18"/>
      <c r="K15" s="217">
        <f t="shared" si="22"/>
        <v>16.919609341879777</v>
      </c>
      <c r="L15" s="19">
        <f>$E$39*'הספק לפי חלופה'!E15/$E$36</f>
        <v>14.471074380165289</v>
      </c>
      <c r="M15" s="219">
        <f t="shared" si="23"/>
        <v>68.136430053718328</v>
      </c>
      <c r="N15" s="18"/>
      <c r="O15" s="217">
        <f t="shared" si="24"/>
        <v>16.919609341879777</v>
      </c>
      <c r="P15" s="19">
        <f>('הספק לפי חלופה'!H15/$E$36)*'תמהיל יצור'!$E$39</f>
        <v>0</v>
      </c>
      <c r="Q15" s="19">
        <f>$E$42*'הספק לפי חלופה'!I15</f>
        <v>0.73499999999999999</v>
      </c>
      <c r="R15" s="19">
        <f>($E$41/$E$40)*('הספק לפי חלופה'!I15/'תמהיל יצור'!$E$37)*L15</f>
        <v>11.576859504132232</v>
      </c>
      <c r="S15" s="219">
        <f t="shared" si="25"/>
        <v>70.29564492975139</v>
      </c>
      <c r="T15" s="19"/>
      <c r="U15" s="585">
        <f t="shared" si="26"/>
        <v>16.919609341879777</v>
      </c>
      <c r="V15" s="42">
        <f t="shared" si="27"/>
        <v>0</v>
      </c>
      <c r="W15" s="42">
        <f>$E$43*'הספק לפי חלופה'!L15</f>
        <v>0.59399999999999997</v>
      </c>
      <c r="X15" s="42">
        <f t="shared" si="14"/>
        <v>64.628504433883634</v>
      </c>
      <c r="Y15" s="19">
        <f>'הספק לפי חלופה'!M15*(1-'הנחות עבודה'!$E$24)*'הנחות עבודה'!$E$26*8760/10^6</f>
        <v>15.463500000000002</v>
      </c>
      <c r="Z15" s="719">
        <f>'הספק לפי חלופה'!M15*'הנחות עבודה'!$E$24*'הנחות עבודה'!$E$27*8760/10^6</f>
        <v>1.9214999999999998</v>
      </c>
      <c r="AA15" s="18"/>
      <c r="AB15" s="217">
        <f t="shared" si="8"/>
        <v>16.919609341879777</v>
      </c>
      <c r="AC15" s="19">
        <f t="shared" si="9"/>
        <v>0</v>
      </c>
      <c r="AD15" s="19">
        <f t="shared" si="15"/>
        <v>65.222504433883628</v>
      </c>
      <c r="AE15" s="19">
        <f>'הספק לפי חלופה'!P15*(1-'הנחות עבודה'!$E$24)*'הנחות עבודה'!$E$26*8760/10^6</f>
        <v>15.463500000000002</v>
      </c>
      <c r="AF15" s="219">
        <f>'הספק לפי חלופה'!P15*'הנחות עבודה'!$E$24*'הנחות עבודה'!$E$27*8760/10^6</f>
        <v>1.9214999999999998</v>
      </c>
      <c r="AG15" s="20"/>
      <c r="AH15" s="139">
        <v>0.25</v>
      </c>
      <c r="AI15" s="44">
        <f t="shared" si="10"/>
        <v>7.9621691020610719</v>
      </c>
      <c r="AJ15" s="25">
        <f t="shared" si="19"/>
        <v>24.881778443940849</v>
      </c>
      <c r="AK15" s="25">
        <f t="shared" si="11"/>
        <v>14.471074380165289</v>
      </c>
      <c r="AL15" s="26">
        <f t="shared" si="12"/>
        <v>60.17426095165726</v>
      </c>
    </row>
    <row r="16" spans="1:38">
      <c r="B16" s="8">
        <f t="shared" si="20"/>
        <v>2032</v>
      </c>
      <c r="C16" s="52">
        <f>+'הנחות עבודה'!B17</f>
        <v>102.214345847709</v>
      </c>
      <c r="D16" s="51">
        <f>+'הנחות עבודה'!$E$3</f>
        <v>0.17</v>
      </c>
      <c r="E16" s="19">
        <f t="shared" si="1"/>
        <v>17.37643879411053</v>
      </c>
      <c r="F16" s="217"/>
      <c r="G16" s="217">
        <f t="shared" si="16"/>
        <v>17.37643879411053</v>
      </c>
      <c r="H16" s="19">
        <f>$E$38*('הספק לפי חלופה'!B16/$E$36)</f>
        <v>20.512396694214875</v>
      </c>
      <c r="I16" s="219">
        <f t="shared" si="17"/>
        <v>64.3255103593836</v>
      </c>
      <c r="J16" s="18"/>
      <c r="K16" s="217">
        <f t="shared" si="22"/>
        <v>17.37643879411053</v>
      </c>
      <c r="L16" s="19">
        <f>$E$39*'הספק לפי חלופה'!E16/$E$36</f>
        <v>14.471074380165289</v>
      </c>
      <c r="M16" s="219">
        <f t="shared" si="23"/>
        <v>70.36683267343318</v>
      </c>
      <c r="N16" s="18"/>
      <c r="O16" s="217">
        <f t="shared" si="24"/>
        <v>17.37643879411053</v>
      </c>
      <c r="P16" s="19">
        <f>('הספק לפי חלופה'!H16/$E$36)*'תמהיל יצור'!$E$39</f>
        <v>0</v>
      </c>
      <c r="Q16" s="19">
        <f>$E$42*'הספק לפי חלופה'!I16</f>
        <v>0.73499999999999999</v>
      </c>
      <c r="R16" s="19">
        <f>($E$41/$E$40)*('הספק לפי חלופה'!I16/'תמהיל יצור'!$E$37)*L16</f>
        <v>11.576859504132232</v>
      </c>
      <c r="S16" s="219">
        <f t="shared" si="25"/>
        <v>72.526047549466242</v>
      </c>
      <c r="T16" s="19"/>
      <c r="U16" s="585">
        <f t="shared" si="26"/>
        <v>17.37643879411053</v>
      </c>
      <c r="V16" s="42">
        <f t="shared" si="27"/>
        <v>0</v>
      </c>
      <c r="W16" s="42">
        <f>$E$43*'הספק לפי חלופה'!L16</f>
        <v>0.59399999999999997</v>
      </c>
      <c r="X16" s="42">
        <f t="shared" si="14"/>
        <v>66.858907053598486</v>
      </c>
      <c r="Y16" s="19">
        <f>'הספק לפי חלופה'!M16*(1-'הנחות עבודה'!$E$24)*'הנחות עבודה'!$E$26*8760/10^6</f>
        <v>15.463500000000002</v>
      </c>
      <c r="Z16" s="719">
        <f>'הספק לפי חלופה'!M16*'הנחות עבודה'!$E$24*'הנחות עבודה'!$E$27*8760/10^6</f>
        <v>1.9214999999999998</v>
      </c>
      <c r="AA16" s="18"/>
      <c r="AB16" s="217">
        <f t="shared" si="8"/>
        <v>17.37643879411053</v>
      </c>
      <c r="AC16" s="19">
        <f t="shared" si="9"/>
        <v>0</v>
      </c>
      <c r="AD16" s="19">
        <f t="shared" si="15"/>
        <v>67.45290705359848</v>
      </c>
      <c r="AE16" s="19">
        <f>'הספק לפי חלופה'!P16*(1-'הנחות עבודה'!$E$24)*'הנחות עבודה'!$E$26*8760/10^6</f>
        <v>15.463500000000002</v>
      </c>
      <c r="AF16" s="219">
        <f>'הספק לפי חלופה'!P16*'הנחות עבודה'!$E$24*'הנחות עבודה'!$E$27*8760/10^6</f>
        <v>1.9214999999999998</v>
      </c>
      <c r="AG16" s="20"/>
      <c r="AH16" s="139">
        <v>0.25</v>
      </c>
      <c r="AI16" s="44">
        <f t="shared" si="10"/>
        <v>8.177147667816719</v>
      </c>
      <c r="AJ16" s="25">
        <f t="shared" si="19"/>
        <v>25.553586461927249</v>
      </c>
      <c r="AK16" s="25">
        <f t="shared" si="11"/>
        <v>14.471074380165289</v>
      </c>
      <c r="AL16" s="26">
        <f t="shared" si="12"/>
        <v>62.189685005616454</v>
      </c>
    </row>
    <row r="17" spans="2:39">
      <c r="B17" s="8">
        <f t="shared" si="20"/>
        <v>2033</v>
      </c>
      <c r="C17" s="52">
        <f>+'הנחות עבודה'!B18</f>
        <v>104.97413318559713</v>
      </c>
      <c r="D17" s="51">
        <f>+'הנחות עבודה'!$E$3</f>
        <v>0.17</v>
      </c>
      <c r="E17" s="19">
        <f t="shared" si="1"/>
        <v>17.845602641551512</v>
      </c>
      <c r="F17" s="217"/>
      <c r="G17" s="217">
        <f t="shared" si="16"/>
        <v>17.845602641551512</v>
      </c>
      <c r="H17" s="19">
        <f>$E$38*('הספק לפי חלופה'!B17/$E$36)</f>
        <v>20.512396694214875</v>
      </c>
      <c r="I17" s="219">
        <f t="shared" si="17"/>
        <v>66.616133849830746</v>
      </c>
      <c r="J17" s="18"/>
      <c r="K17" s="217">
        <f t="shared" si="22"/>
        <v>17.845602641551512</v>
      </c>
      <c r="L17" s="19">
        <f>$E$39*'הספק לפי חלופה'!E17/$E$36</f>
        <v>14.471074380165289</v>
      </c>
      <c r="M17" s="219">
        <f t="shared" si="23"/>
        <v>72.657456163880326</v>
      </c>
      <c r="N17" s="18"/>
      <c r="O17" s="217">
        <f t="shared" si="24"/>
        <v>17.845602641551512</v>
      </c>
      <c r="P17" s="19">
        <f>('הספק לפי חלופה'!H17/$E$36)*'תמהיל יצור'!$E$39</f>
        <v>0</v>
      </c>
      <c r="Q17" s="19">
        <f>$E$42*'הספק לפי חלופה'!I17</f>
        <v>0.73499999999999999</v>
      </c>
      <c r="R17" s="19">
        <f>($E$41/$E$40)*('הספק לפי חלופה'!I17/'תמהיל יצור'!$E$37)*L17</f>
        <v>11.576859504132232</v>
      </c>
      <c r="S17" s="219">
        <f t="shared" si="25"/>
        <v>74.816671039913388</v>
      </c>
      <c r="T17" s="19"/>
      <c r="U17" s="585">
        <f t="shared" si="26"/>
        <v>17.845602641551512</v>
      </c>
      <c r="V17" s="42">
        <f t="shared" si="27"/>
        <v>0</v>
      </c>
      <c r="W17" s="42">
        <f>$E$43*'הספק לפי חלופה'!L17</f>
        <v>0.59399999999999997</v>
      </c>
      <c r="X17" s="42">
        <f t="shared" si="14"/>
        <v>69.149530544045632</v>
      </c>
      <c r="Y17" s="19">
        <f>'הספק לפי חלופה'!M17*(1-'הנחות עבודה'!$E$24)*'הנחות עבודה'!$E$26*8760/10^6</f>
        <v>15.463500000000002</v>
      </c>
      <c r="Z17" s="719">
        <f>'הספק לפי חלופה'!M17*'הנחות עבודה'!$E$24*'הנחות עבודה'!$E$27*8760/10^6</f>
        <v>1.9214999999999998</v>
      </c>
      <c r="AA17" s="18"/>
      <c r="AB17" s="217">
        <f t="shared" si="8"/>
        <v>17.845602641551512</v>
      </c>
      <c r="AC17" s="19">
        <f t="shared" si="9"/>
        <v>0</v>
      </c>
      <c r="AD17" s="19">
        <f t="shared" si="15"/>
        <v>69.743530544045626</v>
      </c>
      <c r="AE17" s="19">
        <f>'הספק לפי חלופה'!P17*(1-'הנחות עבודה'!$E$24)*'הנחות עבודה'!$E$26*8760/10^6</f>
        <v>15.463500000000002</v>
      </c>
      <c r="AF17" s="219">
        <f>'הספק לפי חלופה'!P17*'הנחות עבודה'!$E$24*'הנחות עבודה'!$E$27*8760/10^6</f>
        <v>1.9214999999999998</v>
      </c>
      <c r="AG17" s="20"/>
      <c r="AH17" s="139">
        <v>0.25</v>
      </c>
      <c r="AI17" s="44">
        <f t="shared" si="10"/>
        <v>8.3979306548477695</v>
      </c>
      <c r="AJ17" s="25">
        <f t="shared" si="19"/>
        <v>26.243533296399281</v>
      </c>
      <c r="AK17" s="25">
        <f t="shared" si="11"/>
        <v>14.471074380165289</v>
      </c>
      <c r="AL17" s="26">
        <f t="shared" si="12"/>
        <v>64.259525509032557</v>
      </c>
    </row>
    <row r="18" spans="2:39">
      <c r="B18" s="8">
        <f t="shared" si="20"/>
        <v>2034</v>
      </c>
      <c r="C18" s="52">
        <f>+'הנחות עבודה'!B19</f>
        <v>107.80843478160824</v>
      </c>
      <c r="D18" s="51">
        <f>+'הנחות עבודה'!$E$3</f>
        <v>0.17</v>
      </c>
      <c r="E18" s="19">
        <f t="shared" si="1"/>
        <v>18.327433912873403</v>
      </c>
      <c r="F18" s="217"/>
      <c r="G18" s="217">
        <f t="shared" si="16"/>
        <v>18.327433912873403</v>
      </c>
      <c r="H18" s="19">
        <f>$E$38*('הספק לפי חלופה'!B18/$E$36)</f>
        <v>20.512396694214875</v>
      </c>
      <c r="I18" s="219">
        <f t="shared" si="17"/>
        <v>68.968604174519967</v>
      </c>
      <c r="J18" s="18"/>
      <c r="K18" s="217">
        <f t="shared" si="22"/>
        <v>18.327433912873403</v>
      </c>
      <c r="L18" s="19">
        <f>$E$39*'הספק לפי חלופה'!E18/$E$36</f>
        <v>14.471074380165289</v>
      </c>
      <c r="M18" s="219">
        <f t="shared" si="23"/>
        <v>75.009926488569548</v>
      </c>
      <c r="N18" s="18"/>
      <c r="O18" s="217">
        <f t="shared" si="24"/>
        <v>18.327433912873403</v>
      </c>
      <c r="P18" s="19">
        <f>('הספק לפי חלופה'!H18/$E$36)*'תמהיל יצור'!$E$39</f>
        <v>0</v>
      </c>
      <c r="Q18" s="19">
        <f>$E$42*'הספק לפי חלופה'!I18</f>
        <v>0.73499999999999999</v>
      </c>
      <c r="R18" s="19">
        <f>($E$41/$E$40)*('הספק לפי חלופה'!I18/'תמהיל יצור'!$E$37)*L18</f>
        <v>11.576859504132232</v>
      </c>
      <c r="S18" s="219">
        <f t="shared" si="25"/>
        <v>77.169141364602609</v>
      </c>
      <c r="T18" s="19"/>
      <c r="U18" s="585">
        <f t="shared" si="26"/>
        <v>18.327433912873403</v>
      </c>
      <c r="V18" s="42">
        <f t="shared" si="27"/>
        <v>0</v>
      </c>
      <c r="W18" s="42">
        <f>$E$43*'הספק לפי חלופה'!L18</f>
        <v>0.59399999999999997</v>
      </c>
      <c r="X18" s="42">
        <f t="shared" si="14"/>
        <v>71.502000868734854</v>
      </c>
      <c r="Y18" s="19">
        <f>'הספק לפי חלופה'!M18*(1-'הנחות עבודה'!$E$24)*'הנחות עבודה'!$E$26*8760/10^6</f>
        <v>15.463500000000002</v>
      </c>
      <c r="Z18" s="719">
        <f>'הספק לפי חלופה'!M18*'הנחות עבודה'!$E$24*'הנחות עבודה'!$E$27*8760/10^6</f>
        <v>1.9214999999999998</v>
      </c>
      <c r="AA18" s="18"/>
      <c r="AB18" s="217">
        <f t="shared" si="8"/>
        <v>18.327433912873403</v>
      </c>
      <c r="AC18" s="19">
        <f t="shared" si="9"/>
        <v>0</v>
      </c>
      <c r="AD18" s="19">
        <f t="shared" si="15"/>
        <v>72.096000868734848</v>
      </c>
      <c r="AE18" s="19">
        <f>'הספק לפי חלופה'!P18*(1-'הנחות עבודה'!$E$24)*'הנחות עבודה'!$E$26*8760/10^6</f>
        <v>15.463500000000002</v>
      </c>
      <c r="AF18" s="219">
        <f>'הספק לפי חלופה'!P18*'הנחות עבודה'!$E$24*'הנחות עבודה'!$E$27*8760/10^6</f>
        <v>1.9214999999999998</v>
      </c>
      <c r="AG18" s="20"/>
      <c r="AH18" s="139">
        <v>0.25</v>
      </c>
      <c r="AI18" s="44">
        <f t="shared" si="10"/>
        <v>8.6246747825286576</v>
      </c>
      <c r="AJ18" s="25">
        <f t="shared" si="19"/>
        <v>26.95210869540206</v>
      </c>
      <c r="AK18" s="25">
        <f t="shared" si="11"/>
        <v>14.471074380165289</v>
      </c>
      <c r="AL18" s="26">
        <f t="shared" si="12"/>
        <v>66.38525170604089</v>
      </c>
    </row>
    <row r="19" spans="2:39">
      <c r="B19" s="8">
        <f t="shared" si="20"/>
        <v>2035</v>
      </c>
      <c r="C19" s="52">
        <f>+'הנחות עבודה'!B20</f>
        <v>110.71926252071165</v>
      </c>
      <c r="D19" s="51">
        <f>+'הנחות עבודה'!$E$3</f>
        <v>0.17</v>
      </c>
      <c r="E19" s="19">
        <f t="shared" si="1"/>
        <v>18.822274628520983</v>
      </c>
      <c r="F19" s="217"/>
      <c r="G19" s="217">
        <f t="shared" si="16"/>
        <v>18.822274628520983</v>
      </c>
      <c r="H19" s="19">
        <f>$E$38*('הספק לפי חלופה'!B19/$E$36)</f>
        <v>20.512396694214875</v>
      </c>
      <c r="I19" s="219">
        <f t="shared" si="17"/>
        <v>71.384591197975794</v>
      </c>
      <c r="J19" s="18"/>
      <c r="K19" s="217">
        <f t="shared" si="22"/>
        <v>18.822274628520983</v>
      </c>
      <c r="L19" s="19">
        <f>$E$39*'הספק לפי חלופה'!E19/$E$36</f>
        <v>14.471074380165289</v>
      </c>
      <c r="M19" s="219">
        <f t="shared" si="23"/>
        <v>77.425913512025375</v>
      </c>
      <c r="N19" s="18"/>
      <c r="O19" s="217">
        <f t="shared" si="24"/>
        <v>18.822274628520983</v>
      </c>
      <c r="P19" s="19">
        <f>('הספק לפי חלופה'!H19/$E$36)*'תמהיל יצור'!$E$39</f>
        <v>0</v>
      </c>
      <c r="Q19" s="19">
        <f>$E$42*'הספק לפי חלופה'!I19</f>
        <v>0.73499999999999999</v>
      </c>
      <c r="R19" s="19">
        <f>($E$41/$E$40)*('הספק לפי חלופה'!I19/'תמהיל יצור'!$E$37)*L19</f>
        <v>11.576859504132232</v>
      </c>
      <c r="S19" s="219">
        <f t="shared" si="25"/>
        <v>79.585128388058436</v>
      </c>
      <c r="T19" s="19"/>
      <c r="U19" s="585">
        <f t="shared" si="26"/>
        <v>18.822274628520983</v>
      </c>
      <c r="V19" s="42">
        <f t="shared" si="27"/>
        <v>0</v>
      </c>
      <c r="W19" s="42">
        <f>$E$43*'הספק לפי חלופה'!L19</f>
        <v>0.59399999999999997</v>
      </c>
      <c r="X19" s="42">
        <f t="shared" si="14"/>
        <v>73.917987892190681</v>
      </c>
      <c r="Y19" s="19">
        <f>'הספק לפי חלופה'!M19*(1-'הנחות עבודה'!$E$24)*'הנחות עבודה'!$E$26*8760/10^6</f>
        <v>15.463500000000002</v>
      </c>
      <c r="Z19" s="719">
        <f>'הספק לפי חלופה'!M19*'הנחות עבודה'!$E$24*'הנחות עבודה'!$E$27*8760/10^6</f>
        <v>1.9214999999999998</v>
      </c>
      <c r="AA19" s="18"/>
      <c r="AB19" s="217">
        <f t="shared" si="8"/>
        <v>18.822274628520983</v>
      </c>
      <c r="AC19" s="19">
        <f t="shared" si="9"/>
        <v>0</v>
      </c>
      <c r="AD19" s="19">
        <f t="shared" si="15"/>
        <v>74.511987892190675</v>
      </c>
      <c r="AE19" s="19">
        <f>'הספק לפי חלופה'!P19*(1-'הנחות עבודה'!$E$24)*'הנחות עבודה'!$E$26*8760/10^6</f>
        <v>15.463500000000002</v>
      </c>
      <c r="AF19" s="219">
        <f>'הספק לפי חלופה'!P19*'הנחות עבודה'!$E$24*'הנחות עבודה'!$E$27*8760/10^6</f>
        <v>1.9214999999999998</v>
      </c>
      <c r="AG19" s="20"/>
      <c r="AH19" s="139">
        <v>0.25</v>
      </c>
      <c r="AI19" s="44">
        <f t="shared" si="10"/>
        <v>8.85754100165693</v>
      </c>
      <c r="AJ19" s="25">
        <f t="shared" si="19"/>
        <v>27.679815630177913</v>
      </c>
      <c r="AK19" s="25">
        <f t="shared" si="11"/>
        <v>14.471074380165289</v>
      </c>
      <c r="AL19" s="26">
        <f t="shared" si="12"/>
        <v>68.568372510368448</v>
      </c>
    </row>
    <row r="20" spans="2:39">
      <c r="B20" s="8">
        <f t="shared" si="20"/>
        <v>2036</v>
      </c>
      <c r="C20" s="52">
        <f>+'הנחות עבודה'!B21</f>
        <v>113.70868260877086</v>
      </c>
      <c r="D20" s="51">
        <f>+'הנחות עבודה'!$E$3</f>
        <v>0.17</v>
      </c>
      <c r="E20" s="19">
        <f t="shared" si="1"/>
        <v>19.330476043491046</v>
      </c>
      <c r="F20" s="217"/>
      <c r="G20" s="217">
        <f t="shared" si="16"/>
        <v>19.330476043491046</v>
      </c>
      <c r="H20" s="19">
        <f>$E$38*('הספק לפי חלופה'!B20/$E$36)</f>
        <v>20.512396694214875</v>
      </c>
      <c r="I20" s="219">
        <f t="shared" si="17"/>
        <v>73.86580987106494</v>
      </c>
      <c r="J20" s="18"/>
      <c r="K20" s="217">
        <f t="shared" si="22"/>
        <v>19.330476043491046</v>
      </c>
      <c r="L20" s="19">
        <f>$E$39*'הספק לפי חלופה'!E20/$E$36</f>
        <v>14.471074380165289</v>
      </c>
      <c r="M20" s="219">
        <f t="shared" si="23"/>
        <v>79.90713218511452</v>
      </c>
      <c r="N20" s="18"/>
      <c r="O20" s="217">
        <f t="shared" si="24"/>
        <v>19.330476043491046</v>
      </c>
      <c r="P20" s="19">
        <f>('הספק לפי חלופה'!H20/$E$36)*'תמהיל יצור'!$E$39</f>
        <v>0</v>
      </c>
      <c r="Q20" s="19">
        <f>$E$42*'הספק לפי חלופה'!I20</f>
        <v>0.73499999999999999</v>
      </c>
      <c r="R20" s="19">
        <f>($E$41/$E$40)*('הספק לפי חלופה'!I20/'תמהיל יצור'!$E$37)*L20</f>
        <v>11.576859504132232</v>
      </c>
      <c r="S20" s="219">
        <f t="shared" si="25"/>
        <v>82.066347061147582</v>
      </c>
      <c r="T20" s="19"/>
      <c r="U20" s="585">
        <f t="shared" si="26"/>
        <v>19.330476043491046</v>
      </c>
      <c r="V20" s="42">
        <f t="shared" si="27"/>
        <v>0</v>
      </c>
      <c r="W20" s="42">
        <f>$E$43*'הספק לפי חלופה'!L20</f>
        <v>0.59399999999999997</v>
      </c>
      <c r="X20" s="42">
        <f t="shared" si="14"/>
        <v>76.399206565279826</v>
      </c>
      <c r="Y20" s="19">
        <f>'הספק לפי חלופה'!M20*(1-'הנחות עבודה'!$E$24)*'הנחות עבודה'!$E$26*8760/10^6</f>
        <v>15.463500000000002</v>
      </c>
      <c r="Z20" s="719">
        <f>'הספק לפי חלופה'!M20*'הנחות עבודה'!$E$24*'הנחות עבודה'!$E$27*8760/10^6</f>
        <v>1.9214999999999998</v>
      </c>
      <c r="AA20" s="18"/>
      <c r="AB20" s="217">
        <f t="shared" si="8"/>
        <v>19.330476043491046</v>
      </c>
      <c r="AC20" s="19">
        <f t="shared" si="9"/>
        <v>0</v>
      </c>
      <c r="AD20" s="19">
        <f t="shared" si="15"/>
        <v>76.99320656527982</v>
      </c>
      <c r="AE20" s="19">
        <f>'הספק לפי חלופה'!P20*(1-'הנחות עבודה'!$E$24)*'הנחות עבודה'!$E$26*8760/10^6</f>
        <v>15.463500000000002</v>
      </c>
      <c r="AF20" s="219">
        <f>'הספק לפי חלופה'!P20*'הנחות עבודה'!$E$24*'הנחות עבודה'!$E$27*8760/10^6</f>
        <v>1.9214999999999998</v>
      </c>
      <c r="AG20" s="20"/>
      <c r="AH20" s="139">
        <v>0.25</v>
      </c>
      <c r="AI20" s="44">
        <f t="shared" si="10"/>
        <v>9.096694608701668</v>
      </c>
      <c r="AJ20" s="25">
        <f t="shared" si="19"/>
        <v>28.427170652192714</v>
      </c>
      <c r="AK20" s="25">
        <f t="shared" si="11"/>
        <v>14.471074380165289</v>
      </c>
      <c r="AL20" s="26">
        <f t="shared" si="12"/>
        <v>70.810437576412852</v>
      </c>
      <c r="AM20" s="1"/>
    </row>
    <row r="21" spans="2:39">
      <c r="B21" s="8">
        <f t="shared" si="20"/>
        <v>2037</v>
      </c>
      <c r="C21" s="52">
        <f>+'הנחות עבודה'!B22</f>
        <v>116.77881703920767</v>
      </c>
      <c r="D21" s="51">
        <f>+'הנחות עבודה'!$E$3</f>
        <v>0.17</v>
      </c>
      <c r="E21" s="19">
        <f t="shared" si="1"/>
        <v>19.852398896665306</v>
      </c>
      <c r="F21" s="217"/>
      <c r="G21" s="217">
        <f t="shared" si="16"/>
        <v>19.852398896665306</v>
      </c>
      <c r="H21" s="19">
        <f>$E$38*('הספק לפי חלופה'!B21/$E$36)</f>
        <v>20.512396694214875</v>
      </c>
      <c r="I21" s="219">
        <f t="shared" si="17"/>
        <v>76.414021448327489</v>
      </c>
      <c r="J21" s="18"/>
      <c r="K21" s="217">
        <f t="shared" si="22"/>
        <v>19.852398896665306</v>
      </c>
      <c r="L21" s="19">
        <f>$E$39*'הספק לפי חלופה'!E21/$E$36</f>
        <v>14.471074380165289</v>
      </c>
      <c r="M21" s="219">
        <f t="shared" si="23"/>
        <v>82.455343762377069</v>
      </c>
      <c r="N21" s="18"/>
      <c r="O21" s="217">
        <f t="shared" si="24"/>
        <v>19.852398896665306</v>
      </c>
      <c r="P21" s="19">
        <f>('הספק לפי חלופה'!H21/$E$36)*'תמהיל יצור'!$E$39</f>
        <v>0</v>
      </c>
      <c r="Q21" s="19">
        <f>$E$42*'הספק לפי חלופה'!I21</f>
        <v>0.73499999999999999</v>
      </c>
      <c r="R21" s="19">
        <f>($E$41/$E$40)*('הספק לפי חלופה'!I21/'תמהיל יצור'!$E$37)*L21</f>
        <v>11.576859504132232</v>
      </c>
      <c r="S21" s="219">
        <f t="shared" si="25"/>
        <v>84.614558638410131</v>
      </c>
      <c r="T21" s="19"/>
      <c r="U21" s="585">
        <f t="shared" si="26"/>
        <v>19.852398896665306</v>
      </c>
      <c r="V21" s="42">
        <f t="shared" si="27"/>
        <v>0</v>
      </c>
      <c r="W21" s="42">
        <f>$E$43*'הספק לפי חלופה'!L21</f>
        <v>0.59399999999999997</v>
      </c>
      <c r="X21" s="42">
        <f t="shared" si="14"/>
        <v>78.947418142542375</v>
      </c>
      <c r="Y21" s="19">
        <f>'הספק לפי חלופה'!M21*(1-'הנחות עבודה'!$E$24)*'הנחות עבודה'!$E$26*8760/10^6</f>
        <v>15.463500000000002</v>
      </c>
      <c r="Z21" s="719">
        <f>'הספק לפי חלופה'!M21*'הנחות עבודה'!$E$24*'הנחות עבודה'!$E$27*8760/10^6</f>
        <v>1.9214999999999998</v>
      </c>
      <c r="AA21" s="18"/>
      <c r="AB21" s="217">
        <f t="shared" si="8"/>
        <v>19.852398896665306</v>
      </c>
      <c r="AC21" s="19">
        <f t="shared" si="9"/>
        <v>0</v>
      </c>
      <c r="AD21" s="19">
        <f t="shared" si="15"/>
        <v>79.541418142542369</v>
      </c>
      <c r="AE21" s="19">
        <f>'הספק לפי חלופה'!P21*(1-'הנחות עבודה'!$E$24)*'הנחות עבודה'!$E$26*8760/10^6</f>
        <v>15.463500000000002</v>
      </c>
      <c r="AF21" s="219">
        <f>'הספק לפי חלופה'!P21*'הנחות עבודה'!$E$24*'הנחות עבודה'!$E$27*8760/10^6</f>
        <v>1.9214999999999998</v>
      </c>
      <c r="AG21" s="20"/>
      <c r="AH21" s="139">
        <v>0.25</v>
      </c>
      <c r="AI21" s="44">
        <f t="shared" ref="AI21:AI29" si="28">AJ21-E21</f>
        <v>9.3423053631366102</v>
      </c>
      <c r="AJ21" s="25">
        <f t="shared" ref="AJ21:AJ29" si="29">AH21*C21</f>
        <v>29.194704259801917</v>
      </c>
      <c r="AK21" s="25">
        <f t="shared" ref="AK21:AK29" si="30">L21</f>
        <v>14.471074380165289</v>
      </c>
      <c r="AL21" s="26">
        <f t="shared" ref="AL21:AL29" si="31">C21-AK21-AJ21</f>
        <v>73.113038399240452</v>
      </c>
    </row>
    <row r="22" spans="2:39">
      <c r="B22" s="8">
        <f t="shared" si="20"/>
        <v>2038</v>
      </c>
      <c r="C22" s="52">
        <f>+'הנחות עבודה'!B23</f>
        <v>119.93184509926627</v>
      </c>
      <c r="D22" s="51">
        <f>+'הנחות עבודה'!$E$3</f>
        <v>0.17</v>
      </c>
      <c r="E22" s="19">
        <f t="shared" si="1"/>
        <v>20.388413666875266</v>
      </c>
      <c r="F22" s="217"/>
      <c r="G22" s="217">
        <f t="shared" si="16"/>
        <v>20.388413666875266</v>
      </c>
      <c r="H22" s="19">
        <f>$E$38*('הספק לפי חלופה'!B22/$E$36)</f>
        <v>20.512396694214875</v>
      </c>
      <c r="I22" s="219">
        <f t="shared" si="17"/>
        <v>79.031034738176132</v>
      </c>
      <c r="J22" s="18"/>
      <c r="K22" s="217">
        <f t="shared" si="22"/>
        <v>20.388413666875266</v>
      </c>
      <c r="L22" s="19">
        <f>$E$39*'הספק לפי חלופה'!E22/$E$36</f>
        <v>14.471074380165289</v>
      </c>
      <c r="M22" s="219">
        <f t="shared" si="23"/>
        <v>85.072357052225712</v>
      </c>
      <c r="N22" s="18"/>
      <c r="O22" s="217">
        <f t="shared" si="24"/>
        <v>20.388413666875266</v>
      </c>
      <c r="P22" s="19">
        <f>('הספק לפי חלופה'!H22/$E$36)*'תמהיל יצור'!$E$39</f>
        <v>0</v>
      </c>
      <c r="Q22" s="19">
        <f>$E$42*'הספק לפי חלופה'!I22</f>
        <v>0.73499999999999999</v>
      </c>
      <c r="R22" s="19">
        <f>($E$41/$E$40)*('הספק לפי חלופה'!I22/'תמהיל יצור'!$E$37)*L22</f>
        <v>11.576859504132232</v>
      </c>
      <c r="S22" s="219">
        <f t="shared" si="25"/>
        <v>87.231571928258774</v>
      </c>
      <c r="T22" s="19"/>
      <c r="U22" s="585">
        <f t="shared" si="26"/>
        <v>20.388413666875266</v>
      </c>
      <c r="V22" s="42">
        <f t="shared" si="27"/>
        <v>0</v>
      </c>
      <c r="W22" s="42">
        <f>$E$43*'הספק לפי חלופה'!L22</f>
        <v>0.59399999999999997</v>
      </c>
      <c r="X22" s="42">
        <f t="shared" si="14"/>
        <v>81.564431432391018</v>
      </c>
      <c r="Y22" s="19">
        <f>'הספק לפי חלופה'!M22*(1-'הנחות עבודה'!$E$24)*'הנחות עבודה'!$E$26*8760/10^6</f>
        <v>15.463500000000002</v>
      </c>
      <c r="Z22" s="719">
        <f>'הספק לפי חלופה'!M22*'הנחות עבודה'!$E$24*'הנחות עבודה'!$E$27*8760/10^6</f>
        <v>1.9214999999999998</v>
      </c>
      <c r="AA22" s="18"/>
      <c r="AB22" s="217">
        <f t="shared" si="8"/>
        <v>20.388413666875266</v>
      </c>
      <c r="AC22" s="19">
        <f t="shared" si="9"/>
        <v>0</v>
      </c>
      <c r="AD22" s="19">
        <f t="shared" si="15"/>
        <v>82.158431432391012</v>
      </c>
      <c r="AE22" s="19">
        <f>'הספק לפי חלופה'!P22*(1-'הנחות עבודה'!$E$24)*'הנחות עבודה'!$E$26*8760/10^6</f>
        <v>15.463500000000002</v>
      </c>
      <c r="AF22" s="219">
        <f>'הספק לפי חלופה'!P22*'הנחות עבודה'!$E$24*'הנחות עבודה'!$E$27*8760/10^6</f>
        <v>1.9214999999999998</v>
      </c>
      <c r="AG22" s="20"/>
      <c r="AH22" s="139">
        <v>0.25</v>
      </c>
      <c r="AI22" s="44">
        <f t="shared" si="28"/>
        <v>9.5945476079413012</v>
      </c>
      <c r="AJ22" s="25">
        <f t="shared" si="29"/>
        <v>29.982961274816567</v>
      </c>
      <c r="AK22" s="25">
        <f t="shared" si="30"/>
        <v>14.471074380165289</v>
      </c>
      <c r="AL22" s="26">
        <f t="shared" si="31"/>
        <v>75.477809444284418</v>
      </c>
      <c r="AM22" s="16"/>
    </row>
    <row r="23" spans="2:39">
      <c r="B23" s="8">
        <f t="shared" si="20"/>
        <v>2039</v>
      </c>
      <c r="C23" s="52">
        <f>+'הנחות עבודה'!B24</f>
        <v>123.17000491694645</v>
      </c>
      <c r="D23" s="51">
        <f>+'הנחות עבודה'!$E$3</f>
        <v>0.17</v>
      </c>
      <c r="E23" s="19">
        <f t="shared" si="1"/>
        <v>20.938900835880897</v>
      </c>
      <c r="F23" s="217"/>
      <c r="G23" s="217">
        <f t="shared" si="16"/>
        <v>20.938900835880897</v>
      </c>
      <c r="H23" s="19">
        <f>$E$38*('הספק לפי חלופה'!B23/$E$36)</f>
        <v>20.512396694214875</v>
      </c>
      <c r="I23" s="219">
        <f t="shared" si="17"/>
        <v>81.718707386850681</v>
      </c>
      <c r="J23" s="18"/>
      <c r="K23" s="217">
        <f t="shared" si="22"/>
        <v>20.938900835880897</v>
      </c>
      <c r="L23" s="19">
        <f>$E$39*'הספק לפי חלופה'!E23/$E$36</f>
        <v>14.471074380165289</v>
      </c>
      <c r="M23" s="219">
        <f t="shared" si="23"/>
        <v>87.760029700900262</v>
      </c>
      <c r="N23" s="18"/>
      <c r="O23" s="217">
        <f t="shared" si="24"/>
        <v>20.938900835880897</v>
      </c>
      <c r="P23" s="19">
        <f>('הספק לפי חלופה'!H23/$E$36)*'תמהיל יצור'!$E$39</f>
        <v>0</v>
      </c>
      <c r="Q23" s="19">
        <f>$E$42*'הספק לפי חלופה'!I23</f>
        <v>0.73499999999999999</v>
      </c>
      <c r="R23" s="19">
        <f>($E$41/$E$40)*('הספק לפי חלופה'!I23/'תמהיל יצור'!$E$37)*L23</f>
        <v>11.576859504132232</v>
      </c>
      <c r="S23" s="219">
        <f t="shared" si="25"/>
        <v>89.919244576933323</v>
      </c>
      <c r="T23" s="19"/>
      <c r="U23" s="585">
        <f t="shared" si="26"/>
        <v>20.938900835880897</v>
      </c>
      <c r="V23" s="42">
        <f t="shared" si="27"/>
        <v>0</v>
      </c>
      <c r="W23" s="42">
        <f>$E$43*'הספק לפי חלופה'!L23</f>
        <v>0.59399999999999997</v>
      </c>
      <c r="X23" s="42">
        <f t="shared" si="14"/>
        <v>84.252104081065568</v>
      </c>
      <c r="Y23" s="19">
        <f>'הספק לפי חלופה'!M23*(1-'הנחות עבודה'!$E$24)*'הנחות עבודה'!$E$26*8760/10^6</f>
        <v>15.463500000000002</v>
      </c>
      <c r="Z23" s="719">
        <f>'הספק לפי חלופה'!M23*'הנחות עבודה'!$E$24*'הנחות עבודה'!$E$27*8760/10^6</f>
        <v>1.9214999999999998</v>
      </c>
      <c r="AA23" s="18"/>
      <c r="AB23" s="217">
        <f t="shared" si="8"/>
        <v>20.938900835880897</v>
      </c>
      <c r="AC23" s="19">
        <f t="shared" si="9"/>
        <v>0</v>
      </c>
      <c r="AD23" s="19">
        <f t="shared" si="15"/>
        <v>84.846104081065562</v>
      </c>
      <c r="AE23" s="19">
        <f>'הספק לפי חלופה'!P23*(1-'הנחות עבודה'!$E$24)*'הנחות עבודה'!$E$26*8760/10^6</f>
        <v>15.463500000000002</v>
      </c>
      <c r="AF23" s="219">
        <f>'הספק לפי חלופה'!P23*'הנחות עבודה'!$E$24*'הנחות עבודה'!$E$27*8760/10^6</f>
        <v>1.9214999999999998</v>
      </c>
      <c r="AG23" s="20"/>
      <c r="AH23" s="139">
        <v>0.25</v>
      </c>
      <c r="AI23" s="44">
        <f t="shared" si="28"/>
        <v>9.8536003933557161</v>
      </c>
      <c r="AJ23" s="25">
        <f t="shared" si="29"/>
        <v>30.792501229236613</v>
      </c>
      <c r="AK23" s="25">
        <f t="shared" si="30"/>
        <v>14.471074380165289</v>
      </c>
      <c r="AL23" s="26">
        <f t="shared" si="31"/>
        <v>77.906429307544556</v>
      </c>
      <c r="AM23" s="33"/>
    </row>
    <row r="24" spans="2:39">
      <c r="B24" s="8">
        <f t="shared" si="20"/>
        <v>2040</v>
      </c>
      <c r="C24" s="52">
        <f>+'הנחות עבודה'!B25</f>
        <v>126.49559504970399</v>
      </c>
      <c r="D24" s="51">
        <f>+'הנחות עבודה'!$E$3</f>
        <v>0.17</v>
      </c>
      <c r="E24" s="19">
        <f t="shared" ref="E24:E29" si="32">D24*C24</f>
        <v>21.50425115844968</v>
      </c>
      <c r="F24" s="217"/>
      <c r="G24" s="217">
        <f t="shared" ref="G24:G29" si="33">E24</f>
        <v>21.50425115844968</v>
      </c>
      <c r="H24" s="19">
        <f>$E$38*('הספק לפי חלופה'!B24/$E$36)</f>
        <v>13.574380165289256</v>
      </c>
      <c r="I24" s="219">
        <f t="shared" ref="I24:I29" si="34">C24-H24-E24</f>
        <v>91.416963725965061</v>
      </c>
      <c r="J24" s="18"/>
      <c r="K24" s="217">
        <f t="shared" ref="K24:K29" si="35">E24</f>
        <v>21.50425115844968</v>
      </c>
      <c r="L24" s="19">
        <f>$E$39*'הספק לפי חלופה'!E24/$E$36</f>
        <v>9.5764462809917354</v>
      </c>
      <c r="M24" s="219">
        <f t="shared" ref="M24:M29" si="36">C24-E24-L24</f>
        <v>95.414897610262585</v>
      </c>
      <c r="N24" s="18"/>
      <c r="O24" s="217">
        <f t="shared" ref="O24:O29" si="37">E24</f>
        <v>21.50425115844968</v>
      </c>
      <c r="P24" s="19">
        <f>('הספק לפי חלופה'!H24/$E$36)*'תמהיל יצור'!$E$39</f>
        <v>0</v>
      </c>
      <c r="Q24" s="19">
        <f>$E$42*'הספק לפי חלופה'!I24</f>
        <v>0.4863970588235294</v>
      </c>
      <c r="R24" s="19">
        <f>($E$41/$E$40)*('הספק לפי חלופה'!I24/'תמהיל יצור'!$E$37)*L24</f>
        <v>5.0698833252309186</v>
      </c>
      <c r="S24" s="219">
        <f t="shared" ref="S24:S29" si="38">C24-E24-Q24-R24-P24</f>
        <v>99.435063507199871</v>
      </c>
      <c r="T24" s="19"/>
      <c r="U24" s="585">
        <f t="shared" ref="U24:U29" si="39">E24</f>
        <v>21.50425115844968</v>
      </c>
      <c r="V24" s="42">
        <f t="shared" ref="V24:V29" si="40">P24</f>
        <v>0</v>
      </c>
      <c r="W24" s="42">
        <f>$E$43*'הספק לפי חלופה'!L24</f>
        <v>0.59399999999999997</v>
      </c>
      <c r="X24" s="42">
        <f t="shared" ref="X24:X29" si="41">C24-W24-V24-U24-Y24-Z24</f>
        <v>87.012343891254332</v>
      </c>
      <c r="Y24" s="19">
        <f>'הספק לפי חלופה'!M24*(1-'הנחות עבודה'!$E$24)*'הנחות עבודה'!$E$26*8760/10^6</f>
        <v>15.463500000000002</v>
      </c>
      <c r="Z24" s="719">
        <f>'הספק לפי חלופה'!M24*'הנחות עבודה'!$E$24*'הנחות עבודה'!$E$27*8760/10^6</f>
        <v>1.9214999999999998</v>
      </c>
      <c r="AA24" s="18"/>
      <c r="AB24" s="217">
        <f t="shared" ref="AB24:AB29" si="42">E24</f>
        <v>21.50425115844968</v>
      </c>
      <c r="AC24" s="19">
        <f t="shared" ref="AC24:AC29" si="43">V24</f>
        <v>0</v>
      </c>
      <c r="AD24" s="19">
        <f t="shared" ref="AD24:AD29" si="44">C24-AB24-AC24-AE24-AF24</f>
        <v>87.606343891254326</v>
      </c>
      <c r="AE24" s="19">
        <f>'הספק לפי חלופה'!P24*(1-'הנחות עבודה'!$E$24)*'הנחות עבודה'!$E$26*8760/10^6</f>
        <v>15.463500000000002</v>
      </c>
      <c r="AF24" s="219">
        <f>'הספק לפי חלופה'!P24*'הנחות עבודה'!$E$24*'הנחות עבודה'!$E$27*8760/10^6</f>
        <v>1.9214999999999998</v>
      </c>
      <c r="AG24" s="20"/>
      <c r="AH24" s="139">
        <v>0.25</v>
      </c>
      <c r="AI24" s="44">
        <f t="shared" si="28"/>
        <v>10.119647603976318</v>
      </c>
      <c r="AJ24" s="25">
        <f t="shared" si="29"/>
        <v>31.623898762425998</v>
      </c>
      <c r="AK24" s="25">
        <f t="shared" si="30"/>
        <v>9.5764462809917354</v>
      </c>
      <c r="AL24" s="26">
        <f t="shared" si="31"/>
        <v>85.295250006286267</v>
      </c>
      <c r="AM24" s="33"/>
    </row>
    <row r="25" spans="2:39">
      <c r="B25" s="8">
        <f t="shared" si="20"/>
        <v>2041</v>
      </c>
      <c r="C25" s="52">
        <f>+'הנחות עבודה'!B26</f>
        <v>129.91097611604599</v>
      </c>
      <c r="D25" s="51">
        <f>+'הנחות עבודה'!$E$3</f>
        <v>0.17</v>
      </c>
      <c r="E25" s="19">
        <f t="shared" si="32"/>
        <v>22.08486593972782</v>
      </c>
      <c r="F25" s="217"/>
      <c r="G25" s="217">
        <f t="shared" si="33"/>
        <v>22.08486593972782</v>
      </c>
      <c r="H25" s="19">
        <f>$E$38*('הספק לפי חלופה'!B25/$E$36)</f>
        <v>13.574380165289256</v>
      </c>
      <c r="I25" s="219">
        <f t="shared" si="34"/>
        <v>94.251730011028911</v>
      </c>
      <c r="J25" s="18"/>
      <c r="K25" s="217">
        <f t="shared" si="35"/>
        <v>22.08486593972782</v>
      </c>
      <c r="L25" s="19">
        <f>$E$39*'הספק לפי חלופה'!E25/$E$36</f>
        <v>9.5764462809917354</v>
      </c>
      <c r="M25" s="219">
        <f t="shared" si="36"/>
        <v>98.249663895326435</v>
      </c>
      <c r="N25" s="18"/>
      <c r="O25" s="217">
        <f t="shared" si="37"/>
        <v>22.08486593972782</v>
      </c>
      <c r="P25" s="19">
        <f>('הספק לפי חלופה'!H25/$E$36)*'תמהיל יצור'!$E$39</f>
        <v>0</v>
      </c>
      <c r="Q25" s="19">
        <f>$E$42*'הספק לפי חלופה'!I25</f>
        <v>0.4863970588235294</v>
      </c>
      <c r="R25" s="19">
        <f>($E$41/$E$40)*('הספק לפי חלופה'!I25/'תמהיל יצור'!$E$37)*L25</f>
        <v>5.0698833252309186</v>
      </c>
      <c r="S25" s="219">
        <f t="shared" si="38"/>
        <v>102.26982979226372</v>
      </c>
      <c r="T25" s="19"/>
      <c r="U25" s="585">
        <f t="shared" si="39"/>
        <v>22.08486593972782</v>
      </c>
      <c r="V25" s="42">
        <f t="shared" si="40"/>
        <v>0</v>
      </c>
      <c r="W25" s="42">
        <f>$E$43*'הספק לפי חלופה'!L25</f>
        <v>0.39308823529411763</v>
      </c>
      <c r="X25" s="42">
        <f t="shared" si="41"/>
        <v>90.048021941024047</v>
      </c>
      <c r="Y25" s="19">
        <f>'הספק לפי חלופה'!M25*(1-'הנחות עבודה'!$E$24)*'הנחות עבודה'!$E$26*8760/10^6</f>
        <v>15.463500000000002</v>
      </c>
      <c r="Z25" s="719">
        <f>'הספק לפי חלופה'!M25*'הנחות עבודה'!$E$24*'הנחות עבודה'!$E$27*8760/10^6</f>
        <v>1.9214999999999998</v>
      </c>
      <c r="AA25" s="18"/>
      <c r="AB25" s="217">
        <f t="shared" si="42"/>
        <v>22.08486593972782</v>
      </c>
      <c r="AC25" s="19">
        <f t="shared" si="43"/>
        <v>0</v>
      </c>
      <c r="AD25" s="19">
        <f t="shared" si="44"/>
        <v>90.441110176318176</v>
      </c>
      <c r="AE25" s="19">
        <f>'הספק לפי חלופה'!P25*(1-'הנחות עבודה'!$E$24)*'הנחות עבודה'!$E$26*8760/10^6</f>
        <v>15.463500000000002</v>
      </c>
      <c r="AF25" s="219">
        <f>'הספק לפי חלופה'!P25*'הנחות עבודה'!$E$24*'הנחות עבודה'!$E$27*8760/10^6</f>
        <v>1.9214999999999998</v>
      </c>
      <c r="AG25" s="20"/>
      <c r="AH25" s="139">
        <v>0.25</v>
      </c>
      <c r="AI25" s="44">
        <f t="shared" si="28"/>
        <v>10.392878089283677</v>
      </c>
      <c r="AJ25" s="25">
        <f t="shared" si="29"/>
        <v>32.477744029011497</v>
      </c>
      <c r="AK25" s="25">
        <f t="shared" si="30"/>
        <v>9.5764462809917354</v>
      </c>
      <c r="AL25" s="26">
        <f t="shared" si="31"/>
        <v>87.856785806042751</v>
      </c>
      <c r="AM25" s="33"/>
    </row>
    <row r="26" spans="2:39">
      <c r="B26" s="8">
        <f t="shared" si="20"/>
        <v>2042</v>
      </c>
      <c r="C26" s="52">
        <f>+'הנחות עבודה'!B27</f>
        <v>133.4185724711792</v>
      </c>
      <c r="D26" s="51">
        <f>+'הנחות עבודה'!$E$3</f>
        <v>0.17</v>
      </c>
      <c r="E26" s="19">
        <f t="shared" si="32"/>
        <v>22.681157320100468</v>
      </c>
      <c r="F26" s="217"/>
      <c r="G26" s="217">
        <f t="shared" si="33"/>
        <v>22.681157320100468</v>
      </c>
      <c r="H26" s="19">
        <f>$E$38*('הספק לפי חלופה'!B26/$E$36)</f>
        <v>13.574380165289256</v>
      </c>
      <c r="I26" s="219">
        <f t="shared" si="34"/>
        <v>97.16303498578948</v>
      </c>
      <c r="J26" s="18"/>
      <c r="K26" s="217">
        <f t="shared" si="35"/>
        <v>22.681157320100468</v>
      </c>
      <c r="L26" s="19">
        <f>$E$39*'הספק לפי חלופה'!E26/$E$36</f>
        <v>9.5764462809917354</v>
      </c>
      <c r="M26" s="219">
        <f t="shared" si="36"/>
        <v>101.160968870087</v>
      </c>
      <c r="N26" s="18"/>
      <c r="O26" s="217">
        <f t="shared" si="37"/>
        <v>22.681157320100468</v>
      </c>
      <c r="P26" s="19">
        <f>('הספק לפי חלופה'!H26/$E$36)*'תמהיל יצור'!$E$39</f>
        <v>0</v>
      </c>
      <c r="Q26" s="19">
        <f>$E$42*'הספק לפי חלופה'!I26</f>
        <v>0.4863970588235294</v>
      </c>
      <c r="R26" s="19">
        <f>($E$41/$E$40)*('הספק לפי חלופה'!I26/'תמהיל יצור'!$E$37)*L26</f>
        <v>5.0698833252309186</v>
      </c>
      <c r="S26" s="219">
        <f t="shared" si="38"/>
        <v>105.18113476702429</v>
      </c>
      <c r="T26" s="19"/>
      <c r="U26" s="585">
        <f t="shared" si="39"/>
        <v>22.681157320100468</v>
      </c>
      <c r="V26" s="42">
        <f t="shared" si="40"/>
        <v>0</v>
      </c>
      <c r="W26" s="42">
        <f>$E$43*'הספק לפי חלופה'!L26</f>
        <v>0.39308823529411763</v>
      </c>
      <c r="X26" s="42">
        <f t="shared" si="41"/>
        <v>92.959326915784615</v>
      </c>
      <c r="Y26" s="19">
        <f>'הספק לפי חלופה'!M26*(1-'הנחות עבודה'!$E$24)*'הנחות עבודה'!$E$26*8760/10^6</f>
        <v>15.463500000000002</v>
      </c>
      <c r="Z26" s="719">
        <f>'הספק לפי חלופה'!M26*'הנחות עבודה'!$E$24*'הנחות עבודה'!$E$27*8760/10^6</f>
        <v>1.9214999999999998</v>
      </c>
      <c r="AA26" s="18"/>
      <c r="AB26" s="217">
        <f t="shared" si="42"/>
        <v>22.681157320100468</v>
      </c>
      <c r="AC26" s="19">
        <f t="shared" si="43"/>
        <v>0</v>
      </c>
      <c r="AD26" s="19">
        <f t="shared" si="44"/>
        <v>93.352415151078745</v>
      </c>
      <c r="AE26" s="19">
        <f>'הספק לפי חלופה'!P26*(1-'הנחות עבודה'!$E$24)*'הנחות עבודה'!$E$26*8760/10^6</f>
        <v>15.463500000000002</v>
      </c>
      <c r="AF26" s="219">
        <f>'הספק לפי חלופה'!P26*'הנחות עבודה'!$E$24*'הנחות עבודה'!$E$27*8760/10^6</f>
        <v>1.9214999999999998</v>
      </c>
      <c r="AG26" s="20"/>
      <c r="AH26" s="139">
        <v>0.25</v>
      </c>
      <c r="AI26" s="44">
        <f t="shared" si="28"/>
        <v>10.673485797694333</v>
      </c>
      <c r="AJ26" s="25">
        <f t="shared" si="29"/>
        <v>33.354643117794801</v>
      </c>
      <c r="AK26" s="25">
        <f t="shared" si="30"/>
        <v>9.5764462809917354</v>
      </c>
      <c r="AL26" s="26">
        <f t="shared" si="31"/>
        <v>90.487483072392678</v>
      </c>
      <c r="AM26" s="33"/>
    </row>
    <row r="27" spans="2:39">
      <c r="B27" s="8">
        <f t="shared" si="20"/>
        <v>2043</v>
      </c>
      <c r="C27" s="52">
        <f>+'הנחות עבודה'!B28</f>
        <v>137.02087392790102</v>
      </c>
      <c r="D27" s="51">
        <f>+'הנחות עבודה'!$E$3</f>
        <v>0.17</v>
      </c>
      <c r="E27" s="19">
        <f t="shared" si="32"/>
        <v>23.293548567743176</v>
      </c>
      <c r="F27" s="217"/>
      <c r="G27" s="217">
        <f t="shared" si="33"/>
        <v>23.293548567743176</v>
      </c>
      <c r="H27" s="19">
        <f>$E$38*('הספק לפי חלופה'!B27/$E$36)</f>
        <v>13.574380165289256</v>
      </c>
      <c r="I27" s="219">
        <f t="shared" si="34"/>
        <v>100.15294519486859</v>
      </c>
      <c r="J27" s="18"/>
      <c r="K27" s="217">
        <f t="shared" si="35"/>
        <v>23.293548567743176</v>
      </c>
      <c r="L27" s="19">
        <f>$E$39*'הספק לפי חלופה'!E27/$E$36</f>
        <v>9.5764462809917354</v>
      </c>
      <c r="M27" s="219">
        <f t="shared" si="36"/>
        <v>104.15087907916612</v>
      </c>
      <c r="N27" s="18"/>
      <c r="O27" s="217">
        <f t="shared" si="37"/>
        <v>23.293548567743176</v>
      </c>
      <c r="P27" s="19">
        <f>('הספק לפי חלופה'!H27/$E$36)*'תמהיל יצור'!$E$39</f>
        <v>0</v>
      </c>
      <c r="Q27" s="19">
        <f>$E$42*'הספק לפי חלופה'!I27</f>
        <v>0.4863970588235294</v>
      </c>
      <c r="R27" s="19">
        <f>($E$41/$E$40)*('הספק לפי חלופה'!I27/'תמהיל יצור'!$E$37)*L27</f>
        <v>5.0698833252309186</v>
      </c>
      <c r="S27" s="219">
        <f t="shared" si="38"/>
        <v>108.1710449761034</v>
      </c>
      <c r="T27" s="19"/>
      <c r="U27" s="585">
        <f t="shared" si="39"/>
        <v>23.293548567743176</v>
      </c>
      <c r="V27" s="42">
        <f t="shared" si="40"/>
        <v>0</v>
      </c>
      <c r="W27" s="42">
        <f>$E$43*'הספק לפי חלופה'!L27</f>
        <v>0.39308823529411763</v>
      </c>
      <c r="X27" s="42">
        <f t="shared" si="41"/>
        <v>95.949237124863728</v>
      </c>
      <c r="Y27" s="19">
        <f>'הספק לפי חלופה'!M27*(1-'הנחות עבודה'!$E$24)*'הנחות עבודה'!$E$26*8760/10^6</f>
        <v>15.463500000000002</v>
      </c>
      <c r="Z27" s="719">
        <f>'הספק לפי חלופה'!M27*'הנחות עבודה'!$E$24*'הנחות עבודה'!$E$27*8760/10^6</f>
        <v>1.9214999999999998</v>
      </c>
      <c r="AA27" s="18"/>
      <c r="AB27" s="217">
        <f t="shared" si="42"/>
        <v>23.293548567743176</v>
      </c>
      <c r="AC27" s="19">
        <f t="shared" si="43"/>
        <v>0</v>
      </c>
      <c r="AD27" s="19">
        <f t="shared" si="44"/>
        <v>96.342325360157858</v>
      </c>
      <c r="AE27" s="19">
        <f>'הספק לפי חלופה'!P27*(1-'הנחות עבודה'!$E$24)*'הנחות עבודה'!$E$26*8760/10^6</f>
        <v>15.463500000000002</v>
      </c>
      <c r="AF27" s="219">
        <f>'הספק לפי חלופה'!P27*'הנחות עבודה'!$E$24*'הנחות עבודה'!$E$27*8760/10^6</f>
        <v>1.9214999999999998</v>
      </c>
      <c r="AG27" s="20"/>
      <c r="AH27" s="139">
        <v>0.25</v>
      </c>
      <c r="AI27" s="44">
        <f t="shared" si="28"/>
        <v>10.961669914232079</v>
      </c>
      <c r="AJ27" s="25">
        <f t="shared" si="29"/>
        <v>34.255218481975255</v>
      </c>
      <c r="AK27" s="25">
        <f t="shared" si="30"/>
        <v>9.5764462809917354</v>
      </c>
      <c r="AL27" s="26">
        <f t="shared" si="31"/>
        <v>93.189209164934027</v>
      </c>
      <c r="AM27" s="33"/>
    </row>
    <row r="28" spans="2:39">
      <c r="B28" s="8">
        <f t="shared" si="20"/>
        <v>2044</v>
      </c>
      <c r="C28" s="52">
        <f>+'הנחות עבודה'!B29</f>
        <v>140.72043752395433</v>
      </c>
      <c r="D28" s="51">
        <f>+'הנחות עבודה'!$E$3</f>
        <v>0.17</v>
      </c>
      <c r="E28" s="19">
        <f t="shared" si="32"/>
        <v>23.922474379072238</v>
      </c>
      <c r="F28" s="217"/>
      <c r="G28" s="217">
        <f t="shared" si="33"/>
        <v>23.922474379072238</v>
      </c>
      <c r="H28" s="19">
        <f>$E$38*('הספק לפי חלופה'!B28/$E$36)</f>
        <v>13.574380165289256</v>
      </c>
      <c r="I28" s="219">
        <f t="shared" si="34"/>
        <v>103.22358297959283</v>
      </c>
      <c r="J28" s="18"/>
      <c r="K28" s="217">
        <f t="shared" si="35"/>
        <v>23.922474379072238</v>
      </c>
      <c r="L28" s="19">
        <f>$E$39*'הספק לפי חלופה'!E28/$E$36</f>
        <v>9.5764462809917354</v>
      </c>
      <c r="M28" s="219">
        <f t="shared" si="36"/>
        <v>107.22151686389036</v>
      </c>
      <c r="N28" s="18"/>
      <c r="O28" s="217">
        <f t="shared" si="37"/>
        <v>23.922474379072238</v>
      </c>
      <c r="P28" s="19">
        <f>('הספק לפי חלופה'!H28/$E$36)*'תמהיל יצור'!$E$39</f>
        <v>0</v>
      </c>
      <c r="Q28" s="19">
        <f>$E$42*'הספק לפי חלופה'!I28</f>
        <v>0.4863970588235294</v>
      </c>
      <c r="R28" s="19">
        <f>($E$41/$E$40)*('הספק לפי חלופה'!I28/'תמהיל יצור'!$E$37)*L28</f>
        <v>5.0698833252309186</v>
      </c>
      <c r="S28" s="219">
        <f t="shared" si="38"/>
        <v>111.24168276082764</v>
      </c>
      <c r="T28" s="19"/>
      <c r="U28" s="585">
        <f t="shared" si="39"/>
        <v>23.922474379072238</v>
      </c>
      <c r="V28" s="42">
        <f t="shared" si="40"/>
        <v>0</v>
      </c>
      <c r="W28" s="42">
        <f>$E$43*'הספק לפי חלופה'!L28</f>
        <v>0.39308823529411763</v>
      </c>
      <c r="X28" s="42">
        <f t="shared" si="41"/>
        <v>99.019874909587969</v>
      </c>
      <c r="Y28" s="19">
        <f>'הספק לפי חלופה'!M28*(1-'הנחות עבודה'!$E$24)*'הנחות עבודה'!$E$26*8760/10^6</f>
        <v>15.463500000000002</v>
      </c>
      <c r="Z28" s="719">
        <f>'הספק לפי חלופה'!M28*'הנחות עבודה'!$E$24*'הנחות עבודה'!$E$27*8760/10^6</f>
        <v>1.9214999999999998</v>
      </c>
      <c r="AA28" s="18"/>
      <c r="AB28" s="217">
        <f t="shared" si="42"/>
        <v>23.922474379072238</v>
      </c>
      <c r="AC28" s="19">
        <f t="shared" si="43"/>
        <v>0</v>
      </c>
      <c r="AD28" s="19">
        <f t="shared" si="44"/>
        <v>99.412963144882099</v>
      </c>
      <c r="AE28" s="19">
        <f>'הספק לפי חלופה'!P28*(1-'הנחות עבודה'!$E$24)*'הנחות עבודה'!$E$26*8760/10^6</f>
        <v>15.463500000000002</v>
      </c>
      <c r="AF28" s="219">
        <f>'הספק לפי חלופה'!P28*'הנחות עבודה'!$E$24*'הנחות עבודה'!$E$27*8760/10^6</f>
        <v>1.9214999999999998</v>
      </c>
      <c r="AG28" s="20"/>
      <c r="AH28" s="139">
        <v>0.25</v>
      </c>
      <c r="AI28" s="44">
        <f t="shared" si="28"/>
        <v>11.257635001916345</v>
      </c>
      <c r="AJ28" s="25">
        <f t="shared" si="29"/>
        <v>35.180109380988583</v>
      </c>
      <c r="AK28" s="25">
        <f t="shared" si="30"/>
        <v>9.5764462809917354</v>
      </c>
      <c r="AL28" s="26">
        <f t="shared" si="31"/>
        <v>95.963881861974002</v>
      </c>
      <c r="AM28" s="33"/>
    </row>
    <row r="29" spans="2:39" ht="16" thickBot="1">
      <c r="B29" s="8">
        <f t="shared" si="20"/>
        <v>2045</v>
      </c>
      <c r="C29" s="52">
        <f>+'הנחות עבודה'!B30</f>
        <v>144.51988933710109</v>
      </c>
      <c r="D29" s="51">
        <f>+'הנחות עבודה'!$E$3</f>
        <v>0.17</v>
      </c>
      <c r="E29" s="19">
        <f t="shared" si="32"/>
        <v>24.568381187307189</v>
      </c>
      <c r="F29" s="217"/>
      <c r="G29" s="217">
        <f t="shared" si="33"/>
        <v>24.568381187307189</v>
      </c>
      <c r="H29" s="19">
        <f>$E$38*('הספק לפי חלופה'!B29/$E$36)</f>
        <v>6.6363636363636358</v>
      </c>
      <c r="I29" s="219">
        <f t="shared" si="34"/>
        <v>113.31514451343028</v>
      </c>
      <c r="J29" s="18"/>
      <c r="K29" s="217">
        <f t="shared" si="35"/>
        <v>24.568381187307189</v>
      </c>
      <c r="L29" s="19">
        <f>$E$39*'הספק לפי חלופה'!E29/$E$36</f>
        <v>4.6818181818181817</v>
      </c>
      <c r="M29" s="219">
        <f t="shared" si="36"/>
        <v>115.26968996797572</v>
      </c>
      <c r="N29" s="18"/>
      <c r="O29" s="217">
        <f t="shared" si="37"/>
        <v>24.568381187307189</v>
      </c>
      <c r="P29" s="19">
        <f>('הספק לפי חלופה'!H29/$E$36)*'תמהיל יצור'!$E$39</f>
        <v>0</v>
      </c>
      <c r="Q29" s="19">
        <f>$E$42*'הספק לפי חלופה'!I29</f>
        <v>0.23779411764705882</v>
      </c>
      <c r="R29" s="19">
        <f>($E$41/$E$40)*('הספק לפי חלופה'!I29/'תמהיל יצור'!$E$37)*L29</f>
        <v>1.2117647058823531</v>
      </c>
      <c r="S29" s="219">
        <f t="shared" si="38"/>
        <v>118.50194932626449</v>
      </c>
      <c r="T29" s="19"/>
      <c r="U29" s="585">
        <f t="shared" si="39"/>
        <v>24.568381187307189</v>
      </c>
      <c r="V29" s="42">
        <f t="shared" si="40"/>
        <v>0</v>
      </c>
      <c r="W29" s="42">
        <f>$E$43*'הספק לפי חלופה'!L29</f>
        <v>0.39308823529411763</v>
      </c>
      <c r="X29" s="42">
        <f t="shared" si="41"/>
        <v>102.17341991449979</v>
      </c>
      <c r="Y29" s="19">
        <f>'הספק לפי חלופה'!M29*(1-'הנחות עבודה'!$E$24)*'הנחות עבודה'!$E$26*8760/10^6</f>
        <v>15.463500000000002</v>
      </c>
      <c r="Z29" s="719">
        <f>'הספק לפי חלופה'!M29*'הנחות עבודה'!$E$24*'הנחות עבודה'!$E$27*8760/10^6</f>
        <v>1.9214999999999998</v>
      </c>
      <c r="AA29" s="18"/>
      <c r="AB29" s="217">
        <f t="shared" si="42"/>
        <v>24.568381187307189</v>
      </c>
      <c r="AC29" s="19">
        <f t="shared" si="43"/>
        <v>0</v>
      </c>
      <c r="AD29" s="19">
        <f t="shared" si="44"/>
        <v>102.56650814979392</v>
      </c>
      <c r="AE29" s="19">
        <f>'הספק לפי חלופה'!P29*(1-'הנחות עבודה'!$E$24)*'הנחות עבודה'!$E$26*8760/10^6</f>
        <v>15.463500000000002</v>
      </c>
      <c r="AF29" s="219">
        <f>'הספק לפי חלופה'!P29*'הנחות עבודה'!$E$24*'הנחות עבודה'!$E$27*8760/10^6</f>
        <v>1.9214999999999998</v>
      </c>
      <c r="AG29" s="20"/>
      <c r="AH29" s="139">
        <v>0.25</v>
      </c>
      <c r="AI29" s="44">
        <f t="shared" si="28"/>
        <v>11.561591146968084</v>
      </c>
      <c r="AJ29" s="25">
        <f t="shared" si="29"/>
        <v>36.129972334275273</v>
      </c>
      <c r="AK29" s="25">
        <f t="shared" si="30"/>
        <v>4.6818181818181817</v>
      </c>
      <c r="AL29" s="26">
        <f t="shared" si="31"/>
        <v>103.70809882100764</v>
      </c>
      <c r="AM29" s="5"/>
    </row>
    <row r="30" spans="2:39" ht="16" thickBot="1">
      <c r="B30" s="290" t="s">
        <v>55</v>
      </c>
      <c r="C30" s="94">
        <f>SUM(C4:C29)</f>
        <v>2742.1917536741867</v>
      </c>
      <c r="D30" s="95"/>
      <c r="E30" s="94">
        <f>SUM(E4:E29)</f>
        <v>431.50984239397462</v>
      </c>
      <c r="F30" s="133"/>
      <c r="G30" s="94">
        <f>SUM(G4:G29)</f>
        <v>431.50984239397462</v>
      </c>
      <c r="H30" s="94">
        <f>SUM(H4:H29)</f>
        <v>484.7561983471075</v>
      </c>
      <c r="I30" s="94">
        <f>SUM(I4:I29)</f>
        <v>1825.925712933104</v>
      </c>
      <c r="J30" s="133"/>
      <c r="K30" s="94">
        <f>SUM(K4:K29)</f>
        <v>431.50984239397462</v>
      </c>
      <c r="L30" s="94">
        <f>SUM(L4:L29)</f>
        <v>341.98553719008248</v>
      </c>
      <c r="M30" s="94">
        <f>SUM(M4:M29)</f>
        <v>1968.6963740901288</v>
      </c>
      <c r="N30" s="135"/>
      <c r="O30" s="94">
        <f>SUM(O4:O29)</f>
        <v>431.50984239397462</v>
      </c>
      <c r="P30" s="94">
        <f>SUM(P4:P29)</f>
        <v>57.458677685950406</v>
      </c>
      <c r="Q30" s="94">
        <f>SUM(Q4:Q29)</f>
        <v>14.451397058823527</v>
      </c>
      <c r="R30" s="94">
        <f>SUM(R4:R29)</f>
        <v>212.13142926592135</v>
      </c>
      <c r="S30" s="94">
        <f>SUM(S4:S29)</f>
        <v>2026.6404072695163</v>
      </c>
      <c r="T30" s="621"/>
      <c r="U30" s="622">
        <f t="shared" ref="U30:Z30" si="45">SUM(U4:U29)</f>
        <v>431.50984239397462</v>
      </c>
      <c r="V30" s="623">
        <f t="shared" si="45"/>
        <v>57.458677685950406</v>
      </c>
      <c r="W30" s="623">
        <f t="shared" si="45"/>
        <v>10.892911764705881</v>
      </c>
      <c r="X30" s="624">
        <f t="shared" si="45"/>
        <v>1894.6303218295557</v>
      </c>
      <c r="Y30" s="720">
        <f t="shared" si="45"/>
        <v>309.2700000000001</v>
      </c>
      <c r="Z30" s="721">
        <f t="shared" si="45"/>
        <v>38.429999999999993</v>
      </c>
      <c r="AA30" s="722"/>
      <c r="AB30" s="723">
        <f>SUM(AB4:AB29)</f>
        <v>431.50984239397462</v>
      </c>
      <c r="AC30" s="723">
        <f>SUM(AC4:AC29)</f>
        <v>57.458677685950406</v>
      </c>
      <c r="AD30" s="724">
        <f>SUM(AD4:AD29)</f>
        <v>1905.5232335942612</v>
      </c>
      <c r="AE30" s="729">
        <f>SUM(AE4:AE29)</f>
        <v>309.2700000000001</v>
      </c>
      <c r="AF30" s="729">
        <f>SUM(AF4:AF29)</f>
        <v>38.429999999999993</v>
      </c>
      <c r="AG30" s="586"/>
      <c r="AH30" s="94"/>
      <c r="AI30" s="94"/>
      <c r="AJ30" s="94">
        <f>SUM(AJ4:AJ29)</f>
        <v>624.21491415705987</v>
      </c>
      <c r="AK30" s="94">
        <f>SUM(AK4:AK29)</f>
        <v>341.98553719008248</v>
      </c>
      <c r="AL30" s="94">
        <f>SUM(AL4:AL29)</f>
        <v>1775.9913023270437</v>
      </c>
    </row>
    <row r="32" spans="2:39" s="9" customFormat="1">
      <c r="C32" s="42"/>
      <c r="D32" s="42"/>
      <c r="E32" s="295"/>
      <c r="F32" s="295"/>
      <c r="H32" s="295"/>
      <c r="I32" s="295"/>
      <c r="L32" s="295"/>
      <c r="M32" s="295"/>
      <c r="Q32" s="295"/>
      <c r="R32" s="305"/>
      <c r="S32" s="305"/>
      <c r="T32" s="305"/>
      <c r="W32" s="295"/>
      <c r="X32" s="295"/>
      <c r="AA32" s="295"/>
      <c r="AC32" s="139"/>
      <c r="AG32" s="295"/>
      <c r="AH32" s="295"/>
      <c r="AI32" s="295"/>
      <c r="AJ32" s="139"/>
    </row>
    <row r="33" spans="1:35" ht="16" thickBot="1">
      <c r="H33" s="986"/>
      <c r="I33" s="986"/>
      <c r="L33" s="986"/>
      <c r="M33" s="986"/>
      <c r="Q33" s="986"/>
      <c r="R33" s="986"/>
      <c r="S33" s="986"/>
      <c r="T33" s="106"/>
      <c r="W33" s="986"/>
      <c r="X33" s="986"/>
      <c r="AA33" s="986"/>
      <c r="AB33" s="986"/>
      <c r="AG33" s="991"/>
      <c r="AH33" s="986"/>
      <c r="AI33" s="986"/>
    </row>
    <row r="34" spans="1:35" ht="16" thickBot="1">
      <c r="B34" s="130" t="s">
        <v>10</v>
      </c>
      <c r="H34" s="986"/>
      <c r="I34" s="986"/>
      <c r="L34" s="986"/>
      <c r="M34" s="986"/>
      <c r="N34" s="16"/>
      <c r="O34" s="16"/>
      <c r="P34" s="16"/>
      <c r="Q34" s="16"/>
      <c r="R34" s="977" t="s">
        <v>245</v>
      </c>
      <c r="S34" s="978"/>
      <c r="T34" s="978"/>
      <c r="U34" s="978"/>
      <c r="V34" s="978"/>
      <c r="W34" s="978"/>
      <c r="X34" s="978"/>
      <c r="Y34" s="979"/>
      <c r="Z34" s="615"/>
      <c r="AA34" s="16"/>
      <c r="AH34" s="16"/>
      <c r="AI34" s="16"/>
    </row>
    <row r="35" spans="1:35" ht="49" thickBot="1">
      <c r="B35" s="209"/>
      <c r="C35" s="210"/>
      <c r="D35" s="210"/>
      <c r="E35" s="210" t="s">
        <v>143</v>
      </c>
      <c r="F35" s="210" t="s">
        <v>140</v>
      </c>
      <c r="G35" s="210"/>
      <c r="H35" s="980"/>
      <c r="I35" s="980"/>
      <c r="J35" s="210"/>
      <c r="K35" s="210"/>
      <c r="L35" s="980"/>
      <c r="M35" s="981"/>
      <c r="N35" s="16"/>
      <c r="O35" s="16"/>
      <c r="P35" s="16"/>
      <c r="Q35" s="16"/>
      <c r="R35" s="304"/>
      <c r="S35" s="302"/>
      <c r="T35" s="303" t="s">
        <v>92</v>
      </c>
      <c r="U35" s="303" t="s">
        <v>128</v>
      </c>
      <c r="V35" s="303" t="s">
        <v>49</v>
      </c>
      <c r="W35" s="303" t="s">
        <v>239</v>
      </c>
      <c r="X35" s="303" t="s">
        <v>240</v>
      </c>
      <c r="Y35" s="303" t="s">
        <v>5</v>
      </c>
      <c r="Z35" s="634"/>
      <c r="AH35" s="16"/>
      <c r="AI35" s="16"/>
    </row>
    <row r="36" spans="1:35">
      <c r="B36" s="6" t="s">
        <v>111</v>
      </c>
      <c r="C36" s="7"/>
      <c r="D36" s="49"/>
      <c r="E36" s="207">
        <f>'הנחות עבודה'!I7</f>
        <v>4840</v>
      </c>
      <c r="F36" s="6"/>
      <c r="G36" s="7"/>
      <c r="H36" s="982"/>
      <c r="I36" s="982"/>
      <c r="J36" s="7"/>
      <c r="K36" s="7"/>
      <c r="L36" s="982"/>
      <c r="M36" s="983"/>
      <c r="R36" s="975" t="s">
        <v>242</v>
      </c>
      <c r="S36" s="117" t="s">
        <v>0</v>
      </c>
      <c r="T36" s="296">
        <f>H30</f>
        <v>484.7561983471075</v>
      </c>
      <c r="U36" s="297">
        <f>L30</f>
        <v>341.98553719008248</v>
      </c>
      <c r="V36" s="297">
        <f>AK30</f>
        <v>341.98553719008248</v>
      </c>
      <c r="W36" s="296">
        <f>P30+Q30</f>
        <v>71.910074744773937</v>
      </c>
      <c r="X36" s="297">
        <f>V30+W30</f>
        <v>68.351589450656292</v>
      </c>
      <c r="Y36" s="297">
        <f>AC30</f>
        <v>57.458677685950406</v>
      </c>
      <c r="Z36" s="30"/>
    </row>
    <row r="37" spans="1:35">
      <c r="B37" s="8" t="s">
        <v>112</v>
      </c>
      <c r="C37" s="9"/>
      <c r="D37" s="20"/>
      <c r="E37" s="28">
        <f>'הנחות עבודה'!I8</f>
        <v>3400</v>
      </c>
      <c r="F37" s="8"/>
      <c r="G37" s="9"/>
      <c r="H37" s="9"/>
      <c r="I37" s="9"/>
      <c r="J37" s="9"/>
      <c r="K37" s="9"/>
      <c r="L37" s="9"/>
      <c r="M37" s="29"/>
      <c r="R37" s="975"/>
      <c r="S37" s="117" t="s">
        <v>3</v>
      </c>
      <c r="T37" s="297">
        <f>I30</f>
        <v>1825.925712933104</v>
      </c>
      <c r="U37" s="297">
        <f>M30</f>
        <v>1968.6963740901288</v>
      </c>
      <c r="V37" s="297">
        <f>AL30</f>
        <v>1775.9913023270437</v>
      </c>
      <c r="W37" s="297">
        <f>R30+S30</f>
        <v>2238.7718365354376</v>
      </c>
      <c r="X37" s="297">
        <f>X30+Y30+Z30</f>
        <v>2242.3303218295555</v>
      </c>
      <c r="Y37" s="297">
        <f>AD30+AE30+AF30</f>
        <v>2253.2232335942613</v>
      </c>
      <c r="Z37" s="30"/>
      <c r="AE37" s="4"/>
      <c r="AF37" s="4"/>
    </row>
    <row r="38" spans="1:35">
      <c r="B38" s="8" t="s">
        <v>190</v>
      </c>
      <c r="C38" s="9"/>
      <c r="D38" s="20"/>
      <c r="E38" s="9">
        <f>29.2</f>
        <v>29.2</v>
      </c>
      <c r="F38" s="8"/>
      <c r="G38" s="9"/>
      <c r="H38" s="9"/>
      <c r="I38" s="9"/>
      <c r="J38" s="9"/>
      <c r="K38" s="9"/>
      <c r="L38" s="9"/>
      <c r="M38" s="20"/>
      <c r="R38" s="975"/>
      <c r="S38" s="117" t="s">
        <v>1</v>
      </c>
      <c r="T38" s="297">
        <f>E30</f>
        <v>431.50984239397462</v>
      </c>
      <c r="U38" s="296">
        <f>K30</f>
        <v>431.50984239397462</v>
      </c>
      <c r="V38" s="297">
        <f>AJ30</f>
        <v>624.21491415705987</v>
      </c>
      <c r="W38" s="297">
        <f>O30</f>
        <v>431.50984239397462</v>
      </c>
      <c r="X38" s="297">
        <f>U30</f>
        <v>431.50984239397462</v>
      </c>
      <c r="Y38" s="297">
        <f>AB30</f>
        <v>431.50984239397462</v>
      </c>
      <c r="Z38" s="30"/>
    </row>
    <row r="39" spans="1:35">
      <c r="B39" s="8" t="s">
        <v>113</v>
      </c>
      <c r="C39" s="9"/>
      <c r="D39" s="20"/>
      <c r="E39" s="9">
        <v>20.6</v>
      </c>
      <c r="F39" s="34"/>
      <c r="G39" s="9"/>
      <c r="H39" s="9"/>
      <c r="I39" s="9"/>
      <c r="J39" s="9"/>
      <c r="K39" s="9"/>
      <c r="L39" s="9"/>
      <c r="M39" s="20"/>
      <c r="R39" s="975"/>
      <c r="S39" s="117" t="s">
        <v>40</v>
      </c>
      <c r="T39" s="297">
        <f>SUM(T36:T38)</f>
        <v>2742.1917536741857</v>
      </c>
      <c r="U39" s="297">
        <f t="shared" ref="U39" si="46">SUM(U36:U38)</f>
        <v>2742.1917536741857</v>
      </c>
      <c r="V39" s="297">
        <f>SUM(V36:V38)</f>
        <v>2742.1917536741862</v>
      </c>
      <c r="W39" s="297">
        <f>SUM(W36:W38)</f>
        <v>2742.1917536741857</v>
      </c>
      <c r="X39" s="297">
        <f>SUM(X36:X38)</f>
        <v>2742.1917536741867</v>
      </c>
      <c r="Y39" s="297">
        <f>SUM(Y36:Y38)</f>
        <v>2742.1917536741867</v>
      </c>
      <c r="Z39" s="30"/>
    </row>
    <row r="40" spans="1:35">
      <c r="B40" s="8" t="s">
        <v>114</v>
      </c>
      <c r="C40" s="9"/>
      <c r="D40" s="20"/>
      <c r="E40" s="9">
        <f>'הנחות עבודה'!E43</f>
        <v>300</v>
      </c>
      <c r="F40" s="34" t="s">
        <v>224</v>
      </c>
      <c r="G40" s="9"/>
      <c r="H40" s="9"/>
      <c r="I40" s="9"/>
      <c r="J40" s="9"/>
      <c r="K40" s="9"/>
      <c r="L40" s="9"/>
      <c r="M40" s="20"/>
      <c r="R40" s="976" t="s">
        <v>241</v>
      </c>
      <c r="S40" s="117" t="s">
        <v>0</v>
      </c>
      <c r="T40" s="298">
        <f>T36/T$39</f>
        <v>0.1767769149249305</v>
      </c>
      <c r="U40" s="298">
        <f t="shared" ref="U40" si="47">U36/U$39</f>
        <v>0.12471248107717692</v>
      </c>
      <c r="V40" s="298">
        <f t="shared" ref="V40:Y42" si="48">V36/V$39</f>
        <v>0.1247124810771769</v>
      </c>
      <c r="W40" s="298">
        <f t="shared" si="48"/>
        <v>2.6223576322999164E-2</v>
      </c>
      <c r="X40" s="298">
        <f t="shared" si="48"/>
        <v>2.4925897089098124E-2</v>
      </c>
      <c r="Y40" s="298">
        <f t="shared" si="48"/>
        <v>2.0953559359575463E-2</v>
      </c>
      <c r="Z40" s="295"/>
    </row>
    <row r="41" spans="1:35">
      <c r="B41" s="8" t="s">
        <v>115</v>
      </c>
      <c r="C41" s="9"/>
      <c r="D41" s="20"/>
      <c r="E41" s="9">
        <f>'הנחות עבודה'!E44</f>
        <v>240</v>
      </c>
      <c r="F41" s="34" t="s">
        <v>224</v>
      </c>
      <c r="G41" s="9"/>
      <c r="H41" s="9"/>
      <c r="I41" s="9"/>
      <c r="J41" s="9"/>
      <c r="K41" s="9"/>
      <c r="L41" s="9"/>
      <c r="M41" s="20"/>
      <c r="R41" s="976"/>
      <c r="S41" s="117" t="s">
        <v>3</v>
      </c>
      <c r="T41" s="298">
        <f t="shared" ref="T41:U42" si="49">T37/T$39</f>
        <v>0.66586361456546483</v>
      </c>
      <c r="U41" s="298">
        <f t="shared" si="49"/>
        <v>0.71792804841321822</v>
      </c>
      <c r="V41" s="298">
        <f t="shared" si="48"/>
        <v>0.64765394321802716</v>
      </c>
      <c r="W41" s="298">
        <f t="shared" si="48"/>
        <v>0.81641695316739615</v>
      </c>
      <c r="X41" s="298">
        <f t="shared" si="48"/>
        <v>0.81771463240129694</v>
      </c>
      <c r="Y41" s="298">
        <f t="shared" si="48"/>
        <v>0.82168697013081959</v>
      </c>
      <c r="Z41" s="295"/>
    </row>
    <row r="42" spans="1:35">
      <c r="B42" s="8" t="s">
        <v>138</v>
      </c>
      <c r="C42" s="9"/>
      <c r="D42" s="20"/>
      <c r="E42" s="206">
        <f>0.735/3400</f>
        <v>2.1617647058823529E-4</v>
      </c>
      <c r="F42" s="8" t="s">
        <v>141</v>
      </c>
      <c r="G42" s="9"/>
      <c r="H42" s="9"/>
      <c r="I42" s="9"/>
      <c r="J42" s="9"/>
      <c r="K42" s="9"/>
      <c r="L42" s="9"/>
      <c r="M42" s="20"/>
      <c r="R42" s="976"/>
      <c r="S42" s="117" t="s">
        <v>1</v>
      </c>
      <c r="T42" s="298">
        <f t="shared" si="49"/>
        <v>0.15735947050960483</v>
      </c>
      <c r="U42" s="298">
        <f t="shared" si="49"/>
        <v>0.15735947050960483</v>
      </c>
      <c r="V42" s="298">
        <f t="shared" si="48"/>
        <v>0.22763357570479589</v>
      </c>
      <c r="W42" s="298">
        <f t="shared" si="48"/>
        <v>0.15735947050960483</v>
      </c>
      <c r="X42" s="298">
        <f t="shared" si="48"/>
        <v>0.1573594705096048</v>
      </c>
      <c r="Y42" s="298">
        <f t="shared" si="48"/>
        <v>0.1573594705096048</v>
      </c>
      <c r="Z42" s="295"/>
    </row>
    <row r="43" spans="1:35" ht="16" thickBot="1">
      <c r="B43" s="27" t="s">
        <v>139</v>
      </c>
      <c r="C43" s="32"/>
      <c r="D43" s="37"/>
      <c r="E43" s="208">
        <f>0.594/3400</f>
        <v>1.7470588235294116E-4</v>
      </c>
      <c r="F43" s="27" t="s">
        <v>142</v>
      </c>
      <c r="G43" s="32"/>
      <c r="H43" s="32"/>
      <c r="I43" s="32"/>
      <c r="J43" s="32"/>
      <c r="K43" s="32"/>
      <c r="L43" s="32"/>
      <c r="M43" s="37"/>
      <c r="R43" s="976"/>
      <c r="S43" s="117" t="s">
        <v>40</v>
      </c>
      <c r="T43" s="299">
        <f>SUM(T40:T42)</f>
        <v>1.0000000000000002</v>
      </c>
      <c r="U43" s="299">
        <f t="shared" ref="U43" si="50">SUM(U40:U42)</f>
        <v>1</v>
      </c>
      <c r="V43" s="299">
        <f>SUM(V40:V42)</f>
        <v>1</v>
      </c>
      <c r="W43" s="299">
        <f>SUM(W40:W42)</f>
        <v>1.0000000000000002</v>
      </c>
      <c r="X43" s="299">
        <f>SUM(X40:X42)</f>
        <v>0.99999999999999978</v>
      </c>
      <c r="Y43" s="299">
        <f>SUM(Y40:Y42)</f>
        <v>0.99999999999999978</v>
      </c>
      <c r="Z43" s="139"/>
    </row>
    <row r="44" spans="1:35">
      <c r="B44" s="14"/>
      <c r="C44" s="14"/>
      <c r="D44" s="14"/>
      <c r="E44" s="14"/>
      <c r="F44" s="14"/>
      <c r="G44" s="14"/>
      <c r="H44" s="14"/>
    </row>
    <row r="45" spans="1:35">
      <c r="A45" s="50"/>
      <c r="B45" s="161"/>
      <c r="C45" s="14"/>
      <c r="D45" s="14"/>
      <c r="E45" s="14"/>
      <c r="F45" s="14"/>
      <c r="G45" s="14"/>
      <c r="H45" s="14"/>
    </row>
    <row r="46" spans="1:35">
      <c r="B46" s="161"/>
      <c r="C46" s="14"/>
      <c r="D46" s="14"/>
      <c r="E46" s="14"/>
      <c r="F46" s="14"/>
      <c r="G46" s="14"/>
      <c r="H46" s="14"/>
    </row>
    <row r="47" spans="1:35">
      <c r="B47" s="14"/>
      <c r="C47" s="14"/>
      <c r="D47" s="14"/>
      <c r="E47" s="14"/>
      <c r="F47" s="14"/>
      <c r="G47" s="14"/>
      <c r="H47" s="14"/>
    </row>
    <row r="48" spans="1:35">
      <c r="B48" s="14"/>
      <c r="C48" s="14"/>
      <c r="D48" s="14"/>
      <c r="E48" s="14"/>
      <c r="F48" s="14"/>
      <c r="G48" s="14"/>
      <c r="H48" s="14"/>
    </row>
  </sheetData>
  <mergeCells count="22">
    <mergeCell ref="AH2:AL2"/>
    <mergeCell ref="AG33:AI33"/>
    <mergeCell ref="AA33:AB33"/>
    <mergeCell ref="Q33:S33"/>
    <mergeCell ref="W33:X33"/>
    <mergeCell ref="O2:S2"/>
    <mergeCell ref="U2:Z2"/>
    <mergeCell ref="AB2:AF2"/>
    <mergeCell ref="B2:E2"/>
    <mergeCell ref="H34:I34"/>
    <mergeCell ref="L34:M34"/>
    <mergeCell ref="H33:I33"/>
    <mergeCell ref="L33:M33"/>
    <mergeCell ref="G2:I2"/>
    <mergeCell ref="K2:M2"/>
    <mergeCell ref="R36:R39"/>
    <mergeCell ref="R40:R43"/>
    <mergeCell ref="R34:Y34"/>
    <mergeCell ref="H35:I35"/>
    <mergeCell ref="L35:M35"/>
    <mergeCell ref="H36:I36"/>
    <mergeCell ref="L36:M36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-0.249977111117893"/>
  </sheetPr>
  <dimension ref="A1:X67"/>
  <sheetViews>
    <sheetView rightToLeft="1" topLeftCell="C17" zoomScale="111" zoomScaleNormal="89" workbookViewId="0">
      <selection activeCell="P37" sqref="P37"/>
    </sheetView>
  </sheetViews>
  <sheetFormatPr baseColWidth="10" defaultColWidth="8.83203125" defaultRowHeight="15"/>
  <cols>
    <col min="2" max="2" width="8.83203125" customWidth="1"/>
    <col min="3" max="3" width="30.1640625" bestFit="1" customWidth="1"/>
    <col min="4" max="4" width="11.6640625" customWidth="1"/>
    <col min="5" max="5" width="13.33203125" bestFit="1" customWidth="1"/>
    <col min="6" max="6" width="12.1640625" bestFit="1" customWidth="1"/>
    <col min="7" max="7" width="10.6640625" bestFit="1" customWidth="1"/>
    <col min="10" max="11" width="10.6640625" bestFit="1" customWidth="1"/>
    <col min="14" max="14" width="10.6640625" bestFit="1" customWidth="1"/>
    <col min="15" max="16" width="10.6640625" customWidth="1"/>
    <col min="24" max="24" width="10.6640625" bestFit="1" customWidth="1"/>
    <col min="25" max="25" width="13.83203125" bestFit="1" customWidth="1"/>
  </cols>
  <sheetData>
    <row r="1" spans="1:24" s="201" customFormat="1" ht="30" thickBot="1">
      <c r="A1" s="200" t="s">
        <v>198</v>
      </c>
    </row>
    <row r="2" spans="1:24" ht="16" thickBot="1">
      <c r="B2" s="213" t="s">
        <v>6</v>
      </c>
      <c r="C2" s="1005" t="s">
        <v>92</v>
      </c>
      <c r="D2" s="1006"/>
      <c r="E2" s="1007"/>
      <c r="F2" s="1009" t="s">
        <v>128</v>
      </c>
      <c r="G2" s="1009"/>
      <c r="H2" s="1010"/>
      <c r="I2" s="1014" t="s">
        <v>4</v>
      </c>
      <c r="J2" s="1009"/>
      <c r="K2" s="1009"/>
      <c r="L2" s="1014" t="s">
        <v>8</v>
      </c>
      <c r="M2" s="1009"/>
      <c r="N2" s="1009"/>
      <c r="O2" s="1010"/>
      <c r="P2" s="1015" t="s">
        <v>5</v>
      </c>
      <c r="Q2" s="1015"/>
      <c r="R2" s="1015"/>
      <c r="S2" s="1015"/>
      <c r="T2" s="997" t="s">
        <v>49</v>
      </c>
      <c r="U2" s="998"/>
      <c r="V2" s="730"/>
      <c r="W2" s="18"/>
      <c r="X2" s="124"/>
    </row>
    <row r="3" spans="1:24" ht="50" thickTop="1" thickBot="1">
      <c r="B3" s="199" t="s">
        <v>6</v>
      </c>
      <c r="C3" s="211" t="s">
        <v>27</v>
      </c>
      <c r="D3" s="212" t="s">
        <v>7</v>
      </c>
      <c r="E3" s="39"/>
      <c r="F3" s="327" t="s">
        <v>27</v>
      </c>
      <c r="G3" s="327" t="s">
        <v>7</v>
      </c>
      <c r="H3" s="327"/>
      <c r="I3" s="328" t="s">
        <v>27</v>
      </c>
      <c r="J3" s="324" t="s">
        <v>191</v>
      </c>
      <c r="K3" s="329" t="s">
        <v>7</v>
      </c>
      <c r="L3" s="324" t="s">
        <v>27</v>
      </c>
      <c r="M3" s="324" t="s">
        <v>428</v>
      </c>
      <c r="N3" s="324" t="s">
        <v>430</v>
      </c>
      <c r="O3" s="324" t="s">
        <v>429</v>
      </c>
      <c r="P3" s="631" t="s">
        <v>27</v>
      </c>
      <c r="Q3" s="632" t="s">
        <v>7</v>
      </c>
      <c r="R3" s="633" t="str">
        <f>N3</f>
        <v>גז מחז״מים חדשים BCM</v>
      </c>
      <c r="S3" s="633" t="str">
        <f>O3</f>
        <v>גז פיקרים חדשים BCM</v>
      </c>
      <c r="T3" s="328" t="s">
        <v>27</v>
      </c>
      <c r="U3" s="329" t="s">
        <v>7</v>
      </c>
    </row>
    <row r="4" spans="1:24" ht="16" thickTop="1">
      <c r="B4" s="41">
        <v>2020</v>
      </c>
      <c r="C4" s="58">
        <f>$E$39*'תמהיל יצור'!H4</f>
        <v>8.017543972849742</v>
      </c>
      <c r="D4" s="43">
        <f>'תמהיל יצור'!I4*1000000/'צריכת פחם וגז'!$E$48</f>
        <v>9.3587130481487275</v>
      </c>
      <c r="E4" s="9"/>
      <c r="F4" s="222">
        <f>$E$39*'תמהיל יצור'!L4</f>
        <v>5.6562125287912561</v>
      </c>
      <c r="G4" s="223">
        <f>'תמהיל יצור'!M4*1000000/'צריכת פחם וגז'!$E$48</f>
        <v>10.599907150406292</v>
      </c>
      <c r="H4" s="49"/>
      <c r="I4" s="222">
        <f>$E$39*('תמהיל יצור'!Q4+'תמהיל יצור'!P4)</f>
        <v>5.6562125287912561</v>
      </c>
      <c r="J4" s="223">
        <f>'תמהיל יצור'!R4*1000000/'צריכת פחם וגז'!$E$44</f>
        <v>0</v>
      </c>
      <c r="K4" s="224">
        <f>'תמהיל יצור'!S4*1000000/'צריכת פחם וגז'!$E$48</f>
        <v>10.599907150406292</v>
      </c>
      <c r="L4" s="733">
        <f>$E$39*('תמהיל יצור'!W4+'תמהיל יצור'!V4)</f>
        <v>5.6562125287912561</v>
      </c>
      <c r="M4" s="627">
        <f>'תמהיל יצור'!X4*1000000/'צריכת פחם וגז'!$E$48</f>
        <v>10.599907150406292</v>
      </c>
      <c r="N4" s="627">
        <f>'תמהיל יצור'!Y4*10^6/'צריכת פחם וגז'!$E$51</f>
        <v>0</v>
      </c>
      <c r="O4" s="627">
        <f>'תמהיל יצור'!Z4*10^6/'צריכת פחם וגז'!$E$54</f>
        <v>0</v>
      </c>
      <c r="P4" s="626">
        <f>$E$39*'תמהיל יצור'!AC4</f>
        <v>5.6562125287912561</v>
      </c>
      <c r="Q4" s="627">
        <f>'תמהיל יצור'!AD4*1000000/'צריכת פחם וגז'!$E$48</f>
        <v>10.599907150406292</v>
      </c>
      <c r="R4" s="627">
        <f>'תמהיל יצור'!AE4*10^6/'צריכת פחם וגז'!$E$51</f>
        <v>0</v>
      </c>
      <c r="S4" s="627">
        <f>'תמהיל יצור'!AF4*10^6/'צריכת פחם וגז'!$E$54</f>
        <v>0</v>
      </c>
      <c r="T4" s="731">
        <f>$E$39*'תמהיל יצור'!AK4</f>
        <v>5.6562125287912561</v>
      </c>
      <c r="U4" s="224">
        <f>'תמהיל יצור'!AL4*1000000/'צריכת פחם וגז'!$E$48</f>
        <v>10.599907150406292</v>
      </c>
    </row>
    <row r="5" spans="1:24">
      <c r="B5" s="41">
        <f>B4+1</f>
        <v>2021</v>
      </c>
      <c r="C5" s="58">
        <f>$E$39*'תמהיל יצור'!H5</f>
        <v>8.017543972849742</v>
      </c>
      <c r="D5" s="43">
        <f>'תמהיל יצור'!I5*1000000/'צריכת פחם וגז'!$E$48</f>
        <v>9.4251291068489369</v>
      </c>
      <c r="E5" s="9"/>
      <c r="F5" s="56">
        <f>$E$39*'תמהיל יצור'!L5</f>
        <v>5.6562125287912561</v>
      </c>
      <c r="G5" s="31">
        <f>'תמהיל יצור'!M5*1000000/'צריכת פחם וגז'!$E$48</f>
        <v>10.666323209106503</v>
      </c>
      <c r="H5" s="20"/>
      <c r="I5" s="56">
        <f>$E$39*('תמהיל יצור'!Q5+'תמהיל יצור'!P5)</f>
        <v>5.6562125287912561</v>
      </c>
      <c r="J5" s="31">
        <f>'תמהיל יצור'!R5*1000000/'צריכת פחם וגז'!$E$44</f>
        <v>0</v>
      </c>
      <c r="K5" s="54">
        <f>'תמהיל יצור'!S5*1000000/'צריכת פחם וגז'!$E$48</f>
        <v>10.666323209106503</v>
      </c>
      <c r="L5" s="43">
        <f>$E$39*('תמהיל יצור'!W5+'תמהיל יצור'!V5)</f>
        <v>5.6562125287912561</v>
      </c>
      <c r="M5" s="31">
        <f>'תמהיל יצור'!X5*1000000/'צריכת פחם וגז'!$E$48</f>
        <v>10.666323209106503</v>
      </c>
      <c r="N5" s="31">
        <f>'תמהיל יצור'!Y5*10^6/'צריכת פחם וגז'!$E$51</f>
        <v>0</v>
      </c>
      <c r="O5" s="31">
        <f>'תמהיל יצור'!Z5*10^6/'צריכת פחם וגז'!$E$54</f>
        <v>0</v>
      </c>
      <c r="P5" s="628">
        <f>$E$39*'תמהיל יצור'!AC5</f>
        <v>5.6562125287912561</v>
      </c>
      <c r="Q5" s="31">
        <f>'תמהיל יצור'!AD5*1000000/'צריכת פחם וגז'!$E$48</f>
        <v>10.666323209106503</v>
      </c>
      <c r="R5" s="31">
        <f>'תמהיל יצור'!AE5*10^6/'צריכת פחם וגז'!$E$51</f>
        <v>0</v>
      </c>
      <c r="S5" s="31">
        <f>'תמהיל יצור'!AF5*10^6/'צריכת פחם וגז'!$E$54</f>
        <v>0</v>
      </c>
      <c r="T5" s="58">
        <f>$E$39*'תמהיל יצור'!AK5</f>
        <v>5.6562125287912561</v>
      </c>
      <c r="U5" s="54">
        <f>'תמהיל יצור'!AL5*1000000/'צריכת פחם וגז'!$E$48</f>
        <v>10.666323209106503</v>
      </c>
    </row>
    <row r="6" spans="1:24">
      <c r="B6" s="41">
        <f t="shared" ref="B6:B29" si="0">B5+1</f>
        <v>2022</v>
      </c>
      <c r="C6" s="58">
        <f>$E$39*'תמהיל יצור'!H6</f>
        <v>8.017543972849742</v>
      </c>
      <c r="D6" s="43">
        <f>'תמהיל יצור'!I6*1000000/'צריכת פחם וגז'!$E$48</f>
        <v>9.870554515653966</v>
      </c>
      <c r="E6" s="9"/>
      <c r="F6" s="56">
        <f>$E$39*'תמהיל יצור'!L6</f>
        <v>5.6562125287912561</v>
      </c>
      <c r="G6" s="31">
        <f>'תמהיל יצור'!M6*1000000/'צריכת פחם וגז'!$E$48</f>
        <v>11.111748617911532</v>
      </c>
      <c r="H6" s="20"/>
      <c r="I6" s="56">
        <f>$E$39*('תמהיל יצור'!Q6+'תמהיל יצור'!P6)</f>
        <v>3.840251597530925</v>
      </c>
      <c r="J6" s="31">
        <f>'תמהיל יצור'!R6*1000000/'צריכת פחם וגז'!$E$44</f>
        <v>1.0170992370824878</v>
      </c>
      <c r="K6" s="54">
        <f>'תמהיל יצור'!S6*1000000/'צריכת פחם וגז'!$E$48</f>
        <v>11.261793948118047</v>
      </c>
      <c r="L6" s="43">
        <f>$E$39*('תמהיל יצור'!W6+'תמהיל יצור'!V6)</f>
        <v>3.7430818205236251</v>
      </c>
      <c r="M6" s="31">
        <f>'תמהיל יצור'!X6*1000000/'צריכת פחם וגז'!$E$48</f>
        <v>12.117353552332933</v>
      </c>
      <c r="N6" s="31">
        <f>'תמהיל יצור'!Y6*10^6/'צריכת פחם וגז'!$E$51</f>
        <v>0</v>
      </c>
      <c r="O6" s="31">
        <f>'תמהיל יצור'!Z6*10^6/'צריכת פחם וגז'!$E$54</f>
        <v>0</v>
      </c>
      <c r="P6" s="628">
        <f>$E$39*'תמהיל יצור'!AC6</f>
        <v>3.7430818205236251</v>
      </c>
      <c r="Q6" s="31">
        <f>'תמהיל יצור'!AD6*1000000/'צריכת פחם וגז'!$E$48</f>
        <v>12.117353552332933</v>
      </c>
      <c r="R6" s="31">
        <f>'תמהיל יצור'!AE6*10^6/'צריכת פחם וגז'!$E$51</f>
        <v>0</v>
      </c>
      <c r="S6" s="31">
        <f>'תמהיל יצור'!AF6*10^6/'צריכת פחם וגז'!$E$54</f>
        <v>0</v>
      </c>
      <c r="T6" s="58">
        <f>$E$39*'תמהיל יצור'!AK6</f>
        <v>5.6562125287912561</v>
      </c>
      <c r="U6" s="54">
        <f>'תמהיל יצור'!AL6*1000000/'צריכת פחם וגז'!$E$48</f>
        <v>11.111748617911532</v>
      </c>
    </row>
    <row r="7" spans="1:24">
      <c r="B7" s="41">
        <f t="shared" si="0"/>
        <v>2023</v>
      </c>
      <c r="C7" s="56">
        <f>$E$39*'תמהיל יצור'!H7</f>
        <v>8.017543972849742</v>
      </c>
      <c r="D7" s="43">
        <f>'תמהיל יצור'!I7*1000000/'צריכת פחם וגז'!$E$48</f>
        <v>10.16700143389296</v>
      </c>
      <c r="E7" s="9"/>
      <c r="F7" s="56">
        <f>$E$39*'תמהיל יצור'!L7</f>
        <v>5.6562125287912561</v>
      </c>
      <c r="G7" s="31">
        <f>'תמהיל יצור'!M7*1000000/'צריכת פחם וגז'!$E$48</f>
        <v>11.408195536150524</v>
      </c>
      <c r="H7" s="20"/>
      <c r="I7" s="56">
        <f>$E$39*('תמהיל יצור'!Q7+'תמהיל יצור'!P7)</f>
        <v>3.840251597530925</v>
      </c>
      <c r="J7" s="31">
        <f>'תמהיל יצור'!R7*1000000/'צריכת פחם וגז'!$E$44</f>
        <v>1.0170992370824878</v>
      </c>
      <c r="K7" s="54">
        <f>'תמהיל יצור'!S7*1000000/'צריכת פחם וגז'!$E$48</f>
        <v>11.558240866357039</v>
      </c>
      <c r="L7" s="43">
        <f>$E$39*('תמהיל יצור'!W7+'תמהיל יצור'!V7)</f>
        <v>3.7430818205236251</v>
      </c>
      <c r="M7" s="31">
        <f>'תמהיל יצור'!X7*1000000/'צריכת פחם וגז'!$E$48</f>
        <v>12.413800470571928</v>
      </c>
      <c r="N7" s="31">
        <f>'תמהיל יצור'!Y7*10^6/'צריכת פחם וגז'!$E$51</f>
        <v>0</v>
      </c>
      <c r="O7" s="31">
        <f>'תמהיל יצור'!Z7*10^6/'צריכת פחם וגז'!$E$54</f>
        <v>0</v>
      </c>
      <c r="P7" s="628">
        <f>$E$39*'תמהיל יצור'!AC7</f>
        <v>3.7430818205236251</v>
      </c>
      <c r="Q7" s="31">
        <f>'תמהיל יצור'!AD7*1000000/'צריכת פחם וגז'!$E$48</f>
        <v>12.413800470571926</v>
      </c>
      <c r="R7" s="31">
        <f>'תמהיל יצור'!AE7*10^6/'צריכת פחם וגז'!$E$51</f>
        <v>0</v>
      </c>
      <c r="S7" s="31">
        <f>'תמהיל יצור'!AF7*10^6/'צריכת פחם וגז'!$E$54</f>
        <v>0</v>
      </c>
      <c r="T7" s="56">
        <f>$E$39*'תמהיל יצור'!AK7</f>
        <v>5.6562125287912561</v>
      </c>
      <c r="U7" s="54">
        <f>'תמהיל יצור'!AL7*1000000/'צריכת פחם וגז'!$E$48</f>
        <v>11.081348072838157</v>
      </c>
    </row>
    <row r="8" spans="1:24">
      <c r="B8" s="41">
        <f t="shared" si="0"/>
        <v>2024</v>
      </c>
      <c r="C8" s="56">
        <f>$E$39*'תמהיל יצור'!H8</f>
        <v>8.017543972849742</v>
      </c>
      <c r="D8" s="43">
        <f>'תמהיל יצור'!I8*1000000/'צריכת פחם וגז'!$E$48</f>
        <v>10.636711119427552</v>
      </c>
      <c r="E8" s="9"/>
      <c r="F8" s="56">
        <f>$E$39*'תמהיל יצור'!L8</f>
        <v>5.6562125287912561</v>
      </c>
      <c r="G8" s="31">
        <f>'תמהיל יצור'!M8*1000000/'צריכת פחם וגז'!$E$48</f>
        <v>11.877905221685117</v>
      </c>
      <c r="H8" s="20"/>
      <c r="I8" s="56">
        <f>$E$39*('תמהיל יצור'!Q8+'תמהיל יצור'!P8)</f>
        <v>2.024290666270594</v>
      </c>
      <c r="J8" s="31">
        <f>'תמהיל יצור'!R8*1000000/'צריכת פחם וגז'!$E$44</f>
        <v>2.0341984741649757</v>
      </c>
      <c r="K8" s="54">
        <f>'תמהיל יצור'!S8*1000000/'צריכת פחם וגז'!$E$48</f>
        <v>12.177995882098147</v>
      </c>
      <c r="L8" s="43">
        <f>$E$39*('תמהיל יצור'!W8+'תמהיל יצור'!V8)</f>
        <v>1.9084801565312817</v>
      </c>
      <c r="M8" s="31">
        <f>'תמהיל יצור'!X8*1000000/'צריכת פחם וגז'!$E$48</f>
        <v>12.657250618953125</v>
      </c>
      <c r="N8" s="31">
        <f>'תמהיל יצור'!Y8*10^6/'צריכת פחם וגז'!$E$51</f>
        <v>0.90088692841339446</v>
      </c>
      <c r="O8" s="31">
        <f>'תמהיל יצור'!Z8*10^6/'צריכת פחם וגז'!$E$54</f>
        <v>0.16167979186765766</v>
      </c>
      <c r="P8" s="628">
        <f>$E$39*'תמהיל יצור'!AC8</f>
        <v>1.8299511122559946</v>
      </c>
      <c r="Q8" s="31">
        <f>'תמהיל יצור'!AD8*1000000/'צריכת פחם וגז'!$E$48</f>
        <v>12.698528088431482</v>
      </c>
      <c r="R8" s="31">
        <f>'תמהיל יצור'!AE8*10^6/'צריכת פחם וגז'!$E$51</f>
        <v>0.90088692841339446</v>
      </c>
      <c r="S8" s="31">
        <f>'תמהיל יצור'!AF8*10^6/'צריכת פחם וגז'!$E$54</f>
        <v>0.16167979186765766</v>
      </c>
      <c r="T8" s="56">
        <f>$E$39*'תמהיל יצור'!AK8</f>
        <v>5.6562125287912561</v>
      </c>
      <c r="U8" s="54">
        <f>'תמהיל יצור'!AL8*1000000/'צריכת פחם וגז'!$E$48</f>
        <v>11.202859854808807</v>
      </c>
    </row>
    <row r="9" spans="1:24">
      <c r="B9" s="41">
        <f t="shared" si="0"/>
        <v>2025</v>
      </c>
      <c r="C9" s="56">
        <f>$E$39*'תמהיל יצור'!H9</f>
        <v>8.017543972849742</v>
      </c>
      <c r="D9" s="43">
        <f>'תמהיל יצור'!I9*1000000/'צריכת פחם וגז'!$E$48</f>
        <v>10.947336192802814</v>
      </c>
      <c r="E9" s="9"/>
      <c r="F9" s="56">
        <f>$E$39*'תמהיל יצור'!L9</f>
        <v>5.6562125287912561</v>
      </c>
      <c r="G9" s="31">
        <f>'תמהיל יצור'!M9*1000000/'צריכת פחם וגז'!$E$48</f>
        <v>12.18853029506038</v>
      </c>
      <c r="H9" s="20"/>
      <c r="I9" s="56">
        <f>$E$39*('תמהיל יצור'!Q9+'תמהיל יצור'!P9)</f>
        <v>2.024290666270594</v>
      </c>
      <c r="J9" s="31">
        <f>'תמהיל יצור'!R9*1000000/'צריכת פחם וגז'!$E$44</f>
        <v>2.0341984741649757</v>
      </c>
      <c r="K9" s="54">
        <f>'תמהיל יצור'!S9*1000000/'צריכת פחם וגז'!$E$48</f>
        <v>12.488620955473412</v>
      </c>
      <c r="L9" s="43">
        <f>$E$39*('תמהיל יצור'!W9+'תמהיל יצור'!V9)</f>
        <v>1.9084801565312817</v>
      </c>
      <c r="M9" s="31">
        <f>'תמהיל יצור'!X9*1000000/'צריכת פחם וגז'!$E$48</f>
        <v>12.967875692328388</v>
      </c>
      <c r="N9" s="31">
        <f>'תמהיל יצור'!Y9*10^6/'צריכת פחם וגז'!$E$51</f>
        <v>0.90088692841339446</v>
      </c>
      <c r="O9" s="31">
        <f>'תמהיל יצור'!Z9*10^6/'צריכת פחם וגז'!$E$54</f>
        <v>0.16167979186765766</v>
      </c>
      <c r="P9" s="628">
        <f>$E$39*'תמהיל יצור'!AC9</f>
        <v>1.8299511122559946</v>
      </c>
      <c r="Q9" s="31">
        <f>'תמהיל יצור'!AD9*1000000/'צריכת פחם וגז'!$E$48</f>
        <v>13.009153161806745</v>
      </c>
      <c r="R9" s="31">
        <f>'תמהיל יצור'!AE9*10^6/'צריכת פחם וגז'!$E$51</f>
        <v>0.90088692841339446</v>
      </c>
      <c r="S9" s="31">
        <f>'תמהיל יצור'!AF9*10^6/'צריכת פחם וגז'!$E$54</f>
        <v>0.16167979186765766</v>
      </c>
      <c r="T9" s="56">
        <f>$E$39*'תמהיל יצור'!AK9</f>
        <v>5.6562125287912561</v>
      </c>
      <c r="U9" s="54">
        <f>'תמהיל יצור'!AL9*1000000/'צריכת פחם וגז'!$E$48</f>
        <v>11.317172643068766</v>
      </c>
    </row>
    <row r="10" spans="1:24">
      <c r="B10" s="41">
        <f t="shared" si="0"/>
        <v>2026</v>
      </c>
      <c r="C10" s="56">
        <f>$E$39*'תמהיל יצור'!H10</f>
        <v>8.017543972849742</v>
      </c>
      <c r="D10" s="43">
        <f>'תמהיל יצור'!I10*1000000/'צריכת פחם וגז'!$E$48</f>
        <v>11.356700017708471</v>
      </c>
      <c r="E10" s="9"/>
      <c r="F10" s="56">
        <f>$E$39*'תמהיל יצור'!L10</f>
        <v>5.6562125287912561</v>
      </c>
      <c r="G10" s="31">
        <f>'תמהיל יצור'!M10*1000000/'צריכת פחם וגז'!$E$48</f>
        <v>12.597894119966037</v>
      </c>
      <c r="H10" s="20"/>
      <c r="I10" s="56">
        <f>$E$39*('תמהיל יצור'!Q10+'תמהיל יצור'!P10)</f>
        <v>0.2872845581085382</v>
      </c>
      <c r="J10" s="31">
        <f>'תמהיל יצור'!R10*1000000/'צריכת פחם וגז'!$E$44</f>
        <v>3.0070760052873555</v>
      </c>
      <c r="K10" s="54">
        <f>'תמהיל יצור'!S10*1000000/'צריכת פחם וגז'!$E$48</f>
        <v>13.041506400576605</v>
      </c>
      <c r="L10" s="43">
        <f>$E$39*('תמהיל יצור'!W10+'תמהיל יצור'!V10)</f>
        <v>0.15705808855057418</v>
      </c>
      <c r="M10" s="31">
        <f>'תמהיל יצור'!X10*1000000/'צריכת פחם וגז'!$E$48</f>
        <v>13.107258026410157</v>
      </c>
      <c r="N10" s="31">
        <f>'תמהיל יצור'!Y10*10^6/'צריכת פחם וגז'!$E$51</f>
        <v>1.8017738568267889</v>
      </c>
      <c r="O10" s="31">
        <f>'תמהיל יצור'!Z10*10^6/'צריכת פחם וגז'!$E$54</f>
        <v>0.32335958373531531</v>
      </c>
      <c r="P10" s="629">
        <f>$E$39*'תמהיל יצור'!AC10</f>
        <v>0</v>
      </c>
      <c r="Q10" s="31">
        <f>'תמהיל יצור'!AD10*1000000/'צריכת פחם וגז'!$E$48</f>
        <v>13.189812965366874</v>
      </c>
      <c r="R10" s="31">
        <f>'תמהיל יצור'!AE10*10^6/'צריכת פחם וגז'!$E$51</f>
        <v>1.8017738568267889</v>
      </c>
      <c r="S10" s="31">
        <f>'תמהיל יצור'!AF10*10^6/'צריכת פחם וגז'!$E$54</f>
        <v>0.32335958373531531</v>
      </c>
      <c r="T10" s="56">
        <f>$E$39*'תמהיל יצור'!AK10</f>
        <v>5.6562125287912561</v>
      </c>
      <c r="U10" s="54">
        <f>'תמהיל יצור'!AL10*1000000/'צריכת פחם וגז'!$E$48</f>
        <v>11.345056087932496</v>
      </c>
    </row>
    <row r="11" spans="1:24">
      <c r="B11" s="41">
        <f t="shared" si="0"/>
        <v>2027</v>
      </c>
      <c r="C11" s="56">
        <f>$E$39*'תמהיל יצור'!H11</f>
        <v>8.017543972849742</v>
      </c>
      <c r="D11" s="43">
        <f>'תמהיל יצור'!I11*1000000/'צריכת פחם וגז'!$E$48</f>
        <v>11.593307428901092</v>
      </c>
      <c r="E11" s="9"/>
      <c r="F11" s="56">
        <f>$E$39*'תמהיל יצור'!L11</f>
        <v>5.6562125287912561</v>
      </c>
      <c r="G11" s="31">
        <f>'תמהיל יצור'!M11*1000000/'צריכת פחם וגז'!$E$48</f>
        <v>12.834501531158658</v>
      </c>
      <c r="H11" s="20"/>
      <c r="I11" s="56">
        <f>$E$39*('תמהיל יצור'!Q11+'תמהיל יצור'!P11)</f>
        <v>0.2872845581085382</v>
      </c>
      <c r="J11" s="31">
        <f>'תמהיל יצור'!R11*1000000/'צריכת פחם וגז'!$E$44</f>
        <v>3.0070760052873555</v>
      </c>
      <c r="K11" s="54">
        <f>'תמהיל יצור'!S11*1000000/'צריכת פחם וגז'!$E$48</f>
        <v>13.278113811769224</v>
      </c>
      <c r="L11" s="43">
        <f>$E$39*('תמהיל יצור'!W11+'תמהיל יצור'!V11)</f>
        <v>0.15705808855057418</v>
      </c>
      <c r="M11" s="31">
        <f>'תמהיל יצור'!X11*1000000/'צריכת פחם וגז'!$E$48</f>
        <v>13.343865437602776</v>
      </c>
      <c r="N11" s="31">
        <f>'תמהיל יצור'!Y11*10^6/'צריכת פחם וגז'!$E$51</f>
        <v>1.8017738568267889</v>
      </c>
      <c r="O11" s="31">
        <f>'תמהיל יצור'!Z11*10^6/'צריכת פחם וגז'!$E$54</f>
        <v>0.32335958373531531</v>
      </c>
      <c r="P11" s="629">
        <f>$E$39*'תמהיל יצור'!AC11</f>
        <v>0</v>
      </c>
      <c r="Q11" s="31">
        <f>'תמהיל יצור'!AD11*1000000/'צריכת פחם וגז'!$E$48</f>
        <v>13.426420376559491</v>
      </c>
      <c r="R11" s="31">
        <f>'תמהיל יצור'!AE11*10^6/'צריכת פחם וגז'!$E$51</f>
        <v>1.8017738568267889</v>
      </c>
      <c r="S11" s="31">
        <f>'תמהיל יצור'!AF11*10^6/'צריכת פחם וגז'!$E$54</f>
        <v>0.32335958373531531</v>
      </c>
      <c r="T11" s="56">
        <f>$E$39*'תמהיל יצור'!AK11</f>
        <v>5.6562125287912561</v>
      </c>
      <c r="U11" s="54">
        <f>'תמהיל יצור'!AL11*1000000/'צריכת פחם וגז'!$E$48</f>
        <v>11.364027635274716</v>
      </c>
    </row>
    <row r="12" spans="1:24">
      <c r="B12" s="41">
        <f t="shared" si="0"/>
        <v>2028</v>
      </c>
      <c r="C12" s="56">
        <f>$E$39*'תמהיל יצור'!H12</f>
        <v>8.017543972849742</v>
      </c>
      <c r="D12" s="43">
        <f>'תמהיל יצור'!I12*1000000/'צריכת פחם וגז'!$E$48</f>
        <v>11.831340390797303</v>
      </c>
      <c r="E12" s="9"/>
      <c r="F12" s="56">
        <f>$E$39*'תמהיל יצור'!L12</f>
        <v>5.6562125287912561</v>
      </c>
      <c r="G12" s="31">
        <f>'תמהיל יצור'!M12*1000000/'צריכת פחם וגז'!$E$48</f>
        <v>13.072534493054871</v>
      </c>
      <c r="H12" s="20"/>
      <c r="I12" s="56">
        <f>$E$39*('תמהיל יצור'!Q12+'תמהיל יצור'!P12)</f>
        <v>0.2872845581085382</v>
      </c>
      <c r="J12" s="31">
        <f>'תמהיל יצור'!R12*1000000/'צריכת פחם וגז'!$E$44</f>
        <v>3.0070760052873555</v>
      </c>
      <c r="K12" s="54">
        <f>'תמהיל יצור'!S12*1000000/'צריכת פחם וגז'!$E$48</f>
        <v>13.516146773665437</v>
      </c>
      <c r="L12" s="43">
        <f>$E$39*('תמהיל יצור'!W12+'תמהיל יצור'!V12)</f>
        <v>0.23217282655302268</v>
      </c>
      <c r="M12" s="31">
        <f>'תמהיל יצור'!X12*1000000/'צריכת פחם וגז'!$E$48</f>
        <v>12.351828600510213</v>
      </c>
      <c r="N12" s="31">
        <f>'תמהיל יצור'!Y12*10^6/'צריכת פחם וגז'!$E$51</f>
        <v>2.7026607852401838</v>
      </c>
      <c r="O12" s="31">
        <f>'תמהיל יצור'!Z12*10^6/'צריכת פחם וגז'!$E$54</f>
        <v>0.48503937560297289</v>
      </c>
      <c r="P12" s="629">
        <f>$E$39*'תמהיל יצור'!AC12</f>
        <v>0</v>
      </c>
      <c r="Q12" s="31">
        <f>'תמהיל יצור'!AD12*1000000/'צריכת פחם וגז'!$E$48</f>
        <v>12.473866336359269</v>
      </c>
      <c r="R12" s="31">
        <f>'תמהיל יצור'!AE12*10^6/'צריכת פחם וגז'!$E$51</f>
        <v>2.7026607852401838</v>
      </c>
      <c r="S12" s="31">
        <f>'תמהיל יצור'!AF12*10^6/'צריכת פחם וגז'!$E$54</f>
        <v>0.48503937560297289</v>
      </c>
      <c r="T12" s="56">
        <f>$E$39*'תמהיל יצור'!AK12</f>
        <v>5.6562125287912561</v>
      </c>
      <c r="U12" s="54">
        <f>'תמהיל יצור'!AL12*1000000/'צריכת פחם וגז'!$E$48</f>
        <v>11.373585715597963</v>
      </c>
    </row>
    <row r="13" spans="1:24">
      <c r="B13" s="41">
        <f t="shared" si="0"/>
        <v>2029</v>
      </c>
      <c r="C13" s="56">
        <f>$E$39*'תמהיל יצור'!H13</f>
        <v>8.017543972849742</v>
      </c>
      <c r="D13" s="43">
        <f>'תמהיל יצור'!I13*1000000/'צריכת פחם וגז'!$E$48</f>
        <v>12.070703396332343</v>
      </c>
      <c r="E13" s="9"/>
      <c r="F13" s="56">
        <f>$E$39*'תמהיל יצור'!L13</f>
        <v>5.6562125287912561</v>
      </c>
      <c r="G13" s="31">
        <f>'תמהיל יצור'!M13*1000000/'צריכת פחם וגז'!$E$48</f>
        <v>13.311897498589907</v>
      </c>
      <c r="H13" s="20"/>
      <c r="I13" s="56">
        <f>$E$39*('תמהיל יצור'!Q13+'תמהיל יצור'!P13)</f>
        <v>0.2872845581085382</v>
      </c>
      <c r="J13" s="31">
        <f>'תמהיל יצור'!R13*1000000/'צריכת פחם וגז'!$E$44</f>
        <v>3.0070760052873555</v>
      </c>
      <c r="K13" s="54">
        <f>'תמהיל יצור'!S13*1000000/'צריכת פחם וגז'!$E$48</f>
        <v>13.755509779200475</v>
      </c>
      <c r="L13" s="43">
        <f>$E$39*('תמהיל יצור'!W13+'תמהיל יצור'!V13)</f>
        <v>0.23217282655302268</v>
      </c>
      <c r="M13" s="31">
        <f>'תמהיל יצור'!X13*1000000/'צריכת פחם וגז'!$E$48</f>
        <v>12.59119160604525</v>
      </c>
      <c r="N13" s="31">
        <f>'תמהיל יצור'!Y13*10^6/'צריכת פחם וגז'!$E$51</f>
        <v>2.7026607852401838</v>
      </c>
      <c r="O13" s="31">
        <f>'תמהיל יצור'!Z13*10^6/'צריכת פחם וגז'!$E$54</f>
        <v>0.48503937560297289</v>
      </c>
      <c r="P13" s="629">
        <f>$E$39*'תמהיל יצור'!AC13</f>
        <v>0</v>
      </c>
      <c r="Q13" s="31">
        <f>'תמהיל יצור'!AD13*1000000/'צריכת פחם וגז'!$E$48</f>
        <v>12.713229341894305</v>
      </c>
      <c r="R13" s="31">
        <f>'תמהיל יצור'!AE13*10^6/'צריכת פחם וגז'!$E$51</f>
        <v>2.7026607852401838</v>
      </c>
      <c r="S13" s="31">
        <f>'תמהיל יצור'!AF13*10^6/'צריכת פחם וגז'!$E$54</f>
        <v>0.48503937560297289</v>
      </c>
      <c r="T13" s="56">
        <f>$E$39*'תמהיל יצור'!AK13</f>
        <v>5.6562125287912561</v>
      </c>
      <c r="U13" s="54">
        <f>'תמהיל יצור'!AL13*1000000/'צריכת פחם וגז'!$E$48</f>
        <v>11.373208171425194</v>
      </c>
    </row>
    <row r="14" spans="1:24" s="15" customFormat="1">
      <c r="B14" s="41">
        <f t="shared" si="0"/>
        <v>2030</v>
      </c>
      <c r="C14" s="58">
        <f>$E$39*'תמהיל יצור'!H14</f>
        <v>8.017543972849742</v>
      </c>
      <c r="D14" s="21">
        <f>'תמהיל יצור'!I14*1000000/'צריכת פחם וגז'!$E$48</f>
        <v>12.311294741833482</v>
      </c>
      <c r="E14" s="18"/>
      <c r="F14" s="58">
        <f>$E$39*'תמהיל יצור'!L14</f>
        <v>5.6562125287912561</v>
      </c>
      <c r="G14" s="47">
        <f>'תמהיל יצור'!M14*1000000/'צריכת פחם וגז'!$E$48</f>
        <v>13.552488844091048</v>
      </c>
      <c r="H14" s="35"/>
      <c r="I14" s="56">
        <f>$E$39*('תמהיל יצור'!Q14+'תמהיל יצור'!P14)</f>
        <v>0.2872845581085382</v>
      </c>
      <c r="J14" s="47">
        <f>'תמהיל יצור'!R14*1000000/'צריכת פחם וגז'!$E$44</f>
        <v>3.0070760052873555</v>
      </c>
      <c r="K14" s="55">
        <f>'תמהיל יצור'!S14*1000000/'צריכת פחם וגז'!$E$48</f>
        <v>13.996101124701616</v>
      </c>
      <c r="L14" s="43">
        <f>$E$39*('תמהיל יצור'!W14+'תמהיל יצור'!V14)</f>
        <v>0.23217282655302268</v>
      </c>
      <c r="M14" s="47">
        <f>'תמהיל יצור'!X14*1000000/'צריכת פחם וגז'!$E$48</f>
        <v>12.831782951546392</v>
      </c>
      <c r="N14" s="31">
        <f>'תמהיל יצור'!Y14*10^6/'צריכת פחם וגז'!$E$51</f>
        <v>2.7026607852401838</v>
      </c>
      <c r="O14" s="31">
        <f>'תמהיל יצור'!Z14*10^6/'צריכת פחם וגז'!$E$54</f>
        <v>0.48503937560297289</v>
      </c>
      <c r="P14" s="629">
        <f>$E$39*'תמהיל יצור'!AC14</f>
        <v>0</v>
      </c>
      <c r="Q14" s="47">
        <f>'תמהיל יצור'!AD14*1000000/'צריכת פחם וגז'!$E$48</f>
        <v>12.953820687395448</v>
      </c>
      <c r="R14" s="31">
        <f>'תמהיל יצור'!AE14*10^6/'צריכת פחם וגז'!$E$51</f>
        <v>2.7026607852401838</v>
      </c>
      <c r="S14" s="31">
        <f>'תמהיל יצור'!AF14*10^6/'צריכת פחם וגז'!$E$54</f>
        <v>0.48503937560297289</v>
      </c>
      <c r="T14" s="58">
        <f>$E$39*'תמהיל יצור'!AK14</f>
        <v>5.6562125287912561</v>
      </c>
      <c r="U14" s="55">
        <f>'תמהיל יצור'!AL14*1000000/'צריכת פחם וגז'!$E$48</f>
        <v>11.959661692892517</v>
      </c>
    </row>
    <row r="15" spans="1:24">
      <c r="B15" s="41">
        <f t="shared" si="0"/>
        <v>2031</v>
      </c>
      <c r="C15" s="56">
        <f>$E$39*'תמהיל יצור'!H15</f>
        <v>8.017543972849742</v>
      </c>
      <c r="D15" s="43">
        <f>'תמהיל יצור'!I15*1000000/'צריכת פחם וגז'!$E$48</f>
        <v>12.757485447562971</v>
      </c>
      <c r="E15" s="9"/>
      <c r="F15" s="56">
        <f>$E$39*'תמהיל יצור'!L15</f>
        <v>5.6562125287912561</v>
      </c>
      <c r="G15" s="31">
        <f>'תמהיל יצור'!M15*1000000/'צריכת פחם וגז'!$E$48</f>
        <v>13.998679549820537</v>
      </c>
      <c r="H15" s="20"/>
      <c r="I15" s="56">
        <f>$E$39*('תמהיל יצור'!Q15+'תמהיל יצור'!P15)</f>
        <v>0.2872845581085382</v>
      </c>
      <c r="J15" s="31">
        <f>'תמהיל יצור'!R15*1000000/'צריכת פחם וגז'!$E$44</f>
        <v>3.0070760052873555</v>
      </c>
      <c r="K15" s="54">
        <f>'תמהיל יצור'!S15*1000000/'צריכת פחם וגז'!$E$48</f>
        <v>14.442291830431104</v>
      </c>
      <c r="L15" s="43">
        <f>$E$39*('תמהיל יצור'!W15+'תמהיל יצור'!V15)</f>
        <v>0.23217282655302268</v>
      </c>
      <c r="M15" s="31">
        <f>'תמהיל יצור'!X15*1000000/'צריכת פחם וגז'!$E$48</f>
        <v>13.277973657275883</v>
      </c>
      <c r="N15" s="31">
        <f>'תמהיל יצור'!Y15*10^6/'צריכת פחם וגז'!$E$51</f>
        <v>2.7026607852401838</v>
      </c>
      <c r="O15" s="31">
        <f>'תמהיל יצור'!Z15*10^6/'צריכת פחם וגז'!$E$54</f>
        <v>0.48503937560297289</v>
      </c>
      <c r="P15" s="629">
        <f>$E$39*'תמהיל יצור'!AC15</f>
        <v>0</v>
      </c>
      <c r="Q15" s="31">
        <f>'תמהיל יצור'!AD15*1000000/'צריכת פחם וגז'!$E$48</f>
        <v>13.400011393124938</v>
      </c>
      <c r="R15" s="31">
        <f>'תמהיל יצור'!AE15*10^6/'צריכת פחם וגז'!$E$51</f>
        <v>2.7026607852401838</v>
      </c>
      <c r="S15" s="31">
        <f>'תמהיל יצור'!AF15*10^6/'צריכת פחם וגז'!$E$54</f>
        <v>0.48503937560297289</v>
      </c>
      <c r="T15" s="56">
        <f>$E$39*'תמהיל יצור'!AK15</f>
        <v>5.6562125287912561</v>
      </c>
      <c r="U15" s="54">
        <f>'תמהיל יצור'!AL15*1000000/'צריכת פחם וגז'!$E$48</f>
        <v>12.362846065539646</v>
      </c>
    </row>
    <row r="16" spans="1:24">
      <c r="B16" s="41">
        <f t="shared" si="0"/>
        <v>2032</v>
      </c>
      <c r="C16" s="56">
        <f>$E$39*'תמהיל יצור'!H16</f>
        <v>8.017543972849742</v>
      </c>
      <c r="D16" s="43">
        <f>'תמהיל יצור'!I16*1000000/'צריכת פחם וגז'!$E$48</f>
        <v>13.215723302347154</v>
      </c>
      <c r="E16" s="9"/>
      <c r="F16" s="56">
        <f>$E$39*'תמהיל יצור'!L16</f>
        <v>5.6562125287912561</v>
      </c>
      <c r="G16" s="31">
        <f>'תמהיל יצור'!M16*1000000/'צריכת פחם וגז'!$E$48</f>
        <v>14.45691740460472</v>
      </c>
      <c r="H16" s="20"/>
      <c r="I16" s="56">
        <f>$E$39*('תמהיל יצור'!Q16+'תמהיל יצור'!P16)</f>
        <v>0.2872845581085382</v>
      </c>
      <c r="J16" s="31">
        <f>'תמהיל יצור'!R16*1000000/'צריכת פחם וגז'!$E$44</f>
        <v>3.0070760052873555</v>
      </c>
      <c r="K16" s="54">
        <f>'תמהיל יצור'!S16*1000000/'צריכת פחם וגז'!$E$48</f>
        <v>14.900529685215284</v>
      </c>
      <c r="L16" s="43">
        <f>$E$39*('תמהיל יצור'!W16+'תמהיל יצור'!V16)</f>
        <v>0.23217282655302268</v>
      </c>
      <c r="M16" s="31">
        <f>'תמהיל יצור'!X16*1000000/'צריכת פחם וגז'!$E$48</f>
        <v>13.736211512060065</v>
      </c>
      <c r="N16" s="31">
        <f>'תמהיל יצור'!Y16*10^6/'צריכת פחם וגז'!$E$51</f>
        <v>2.7026607852401838</v>
      </c>
      <c r="O16" s="31">
        <f>'תמהיל יצור'!Z16*10^6/'צריכת פחם וגז'!$E$54</f>
        <v>0.48503937560297289</v>
      </c>
      <c r="P16" s="629">
        <f>$E$39*'תמהיל יצור'!AC16</f>
        <v>0</v>
      </c>
      <c r="Q16" s="31">
        <f>'תמהיל יצור'!AD16*1000000/'צריכת פחם וגז'!$E$48</f>
        <v>13.85824924790912</v>
      </c>
      <c r="R16" s="31">
        <f>'תמהיל יצור'!AE16*10^6/'צריכת פחם וגז'!$E$51</f>
        <v>2.7026607852401838</v>
      </c>
      <c r="S16" s="31">
        <f>'תמהיל יצור'!AF16*10^6/'צריכת פחם וגז'!$E$54</f>
        <v>0.48503937560297289</v>
      </c>
      <c r="T16" s="56">
        <f>$E$39*'תמהיל יצור'!AK16</f>
        <v>5.6562125287912561</v>
      </c>
      <c r="U16" s="54">
        <f>'תמהיל יצור'!AL16*1000000/'צריכת פחם וגז'!$E$48</f>
        <v>12.776916416248245</v>
      </c>
    </row>
    <row r="17" spans="2:21">
      <c r="B17" s="41">
        <f t="shared" si="0"/>
        <v>2033</v>
      </c>
      <c r="C17" s="56">
        <f>$E$39*'תמהיל יצור'!H17</f>
        <v>8.017543972849742</v>
      </c>
      <c r="D17" s="43">
        <f>'תמהיל יצור'!I17*1000000/'צריכת פחם וגז'!$E$48</f>
        <v>13.686333579210508</v>
      </c>
      <c r="E17" s="9"/>
      <c r="F17" s="56">
        <f>$E$39*'תמהיל יצור'!L17</f>
        <v>5.6562125287912561</v>
      </c>
      <c r="G17" s="31">
        <f>'תמהיל יצור'!M17*1000000/'צריכת פחם וגז'!$E$48</f>
        <v>14.927527681468076</v>
      </c>
      <c r="H17" s="20"/>
      <c r="I17" s="56">
        <f>$E$39*('תמהיל יצור'!Q17+'תמהיל יצור'!P17)</f>
        <v>0.2872845581085382</v>
      </c>
      <c r="J17" s="31">
        <f>'תמהיל יצור'!R17*1000000/'צריכת פחם וגז'!$E$44</f>
        <v>3.0070760052873555</v>
      </c>
      <c r="K17" s="54">
        <f>'תמהיל יצור'!S17*1000000/'צריכת פחם וגז'!$E$48</f>
        <v>15.37113996207864</v>
      </c>
      <c r="L17" s="43">
        <f>$E$39*('תמהיל יצור'!W17+'תמהיל יצור'!V17)</f>
        <v>0.23217282655302268</v>
      </c>
      <c r="M17" s="31">
        <f>'תמהיל יצור'!X17*1000000/'צריכת פחם וגז'!$E$48</f>
        <v>14.206821788923419</v>
      </c>
      <c r="N17" s="31">
        <f>'תמהיל יצור'!Y17*10^6/'צריכת פחם וגז'!$E$51</f>
        <v>2.7026607852401838</v>
      </c>
      <c r="O17" s="31">
        <f>'תמהיל יצור'!Z17*10^6/'צריכת פחם וגז'!$E$54</f>
        <v>0.48503937560297289</v>
      </c>
      <c r="P17" s="629">
        <f>$E$39*'תמהיל יצור'!AC17</f>
        <v>0</v>
      </c>
      <c r="Q17" s="31">
        <f>'תמהיל יצור'!AD17*1000000/'צריכת פחם וגז'!$E$48</f>
        <v>14.328859524772476</v>
      </c>
      <c r="R17" s="31">
        <f>'תמהיל יצור'!AE17*10^6/'צריכת פחם וגז'!$E$51</f>
        <v>2.7026607852401838</v>
      </c>
      <c r="S17" s="31">
        <f>'תמהיל יצור'!AF17*10^6/'צריכת פחם וגז'!$E$54</f>
        <v>0.48503937560297289</v>
      </c>
      <c r="T17" s="56">
        <f>$E$39*'תמהיל יצור'!AK17</f>
        <v>5.6562125287912561</v>
      </c>
      <c r="U17" s="54">
        <f>'תמהיל יצור'!AL17*1000000/'צריכת פחם וגז'!$E$48</f>
        <v>13.202166666425974</v>
      </c>
    </row>
    <row r="18" spans="2:21">
      <c r="B18" s="41">
        <f t="shared" si="0"/>
        <v>2034</v>
      </c>
      <c r="C18" s="56">
        <f>$E$39*'תמהיל יצור'!H18</f>
        <v>8.017543972849742</v>
      </c>
      <c r="D18" s="43">
        <f>'תמהיל יצור'!I18*1000000/'צריכת פחם וגז'!$E$48</f>
        <v>14.169650333549175</v>
      </c>
      <c r="E18" s="9"/>
      <c r="F18" s="56">
        <f>$E$39*'תמהיל יצור'!L18</f>
        <v>5.6562125287912561</v>
      </c>
      <c r="G18" s="31">
        <f>'תמהיל יצור'!M18*1000000/'צריכת פחם וגז'!$E$48</f>
        <v>15.410844435806739</v>
      </c>
      <c r="H18" s="20"/>
      <c r="I18" s="56">
        <f>$E$39*('תמהיל יצור'!Q18+'תמהיל יצור'!P18)</f>
        <v>0.2872845581085382</v>
      </c>
      <c r="J18" s="31">
        <f>'תמהיל יצור'!R18*1000000/'צריכת פחם וגז'!$E$44</f>
        <v>3.0070760052873555</v>
      </c>
      <c r="K18" s="54">
        <f>'תמהיל יצור'!S18*1000000/'צריכת פחם וגז'!$E$48</f>
        <v>15.854456716417307</v>
      </c>
      <c r="L18" s="43">
        <f>$E$39*('תמהיל יצור'!W18+'תמהיל יצור'!V18)</f>
        <v>0.23217282655302268</v>
      </c>
      <c r="M18" s="31">
        <f>'תמהיל יצור'!X18*1000000/'צריכת פחם וגז'!$E$48</f>
        <v>14.690138543262085</v>
      </c>
      <c r="N18" s="31">
        <f>'תמהיל יצור'!Y18*10^6/'צריכת פחם וגז'!$E$51</f>
        <v>2.7026607852401838</v>
      </c>
      <c r="O18" s="31">
        <f>'תמהיל יצור'!Z18*10^6/'צריכת פחם וגז'!$E$54</f>
        <v>0.48503937560297289</v>
      </c>
      <c r="P18" s="629">
        <f>$E$39*'תמהיל יצור'!AC18</f>
        <v>0</v>
      </c>
      <c r="Q18" s="31">
        <f>'תמהיל יצור'!AD18*1000000/'צריכת פחם וגז'!$E$48</f>
        <v>14.812176279111142</v>
      </c>
      <c r="R18" s="31">
        <f>'תמהיל יצור'!AE18*10^6/'צריכת פחם וגז'!$E$51</f>
        <v>2.7026607852401838</v>
      </c>
      <c r="S18" s="31">
        <f>'תמהיל יצור'!AF18*10^6/'צריכת פחם וגז'!$E$54</f>
        <v>0.48503937560297289</v>
      </c>
      <c r="T18" s="56">
        <f>$E$39*'תמהיל יצור'!AK18</f>
        <v>5.6562125287912561</v>
      </c>
      <c r="U18" s="54">
        <f>'תמהיל יצור'!AL18*1000000/'צריכת פחם וגז'!$E$48</f>
        <v>13.638898673358504</v>
      </c>
    </row>
    <row r="19" spans="2:21">
      <c r="B19" s="41">
        <f t="shared" si="0"/>
        <v>2035</v>
      </c>
      <c r="C19" s="56">
        <f>$E$39*'תמהיל יצור'!H19</f>
        <v>8.017543972849742</v>
      </c>
      <c r="D19" s="43">
        <f>'תמהיל יצור'!I19*1000000/'צריכת פחם וגז'!$E$48</f>
        <v>14.666016640254986</v>
      </c>
      <c r="E19" s="9"/>
      <c r="F19" s="56">
        <f>$E$39*'תמהיל יצור'!L19</f>
        <v>5.6562125287912561</v>
      </c>
      <c r="G19" s="31">
        <f>'תמהיל יצור'!M19*1000000/'צריכת פחם וגז'!$E$48</f>
        <v>15.907210742512548</v>
      </c>
      <c r="H19" s="20"/>
      <c r="I19" s="56">
        <f>$E$39*('תמהיל יצור'!Q19+'תמהיל יצור'!P19)</f>
        <v>0.2872845581085382</v>
      </c>
      <c r="J19" s="31">
        <f>'תמהיל יצור'!R19*1000000/'צריכת פחם וגז'!$E$44</f>
        <v>3.0070760052873555</v>
      </c>
      <c r="K19" s="54">
        <f>'תמהיל יצור'!S19*1000000/'צריכת פחם וגז'!$E$48</f>
        <v>16.350823023123116</v>
      </c>
      <c r="L19" s="43">
        <f>$E$39*('תמהיל יצור'!W19+'תמהיל יצור'!V19)</f>
        <v>0.23217282655302268</v>
      </c>
      <c r="M19" s="31">
        <f>'תמהיל יצור'!X19*1000000/'צריכת פחם וגז'!$E$48</f>
        <v>15.186504849967896</v>
      </c>
      <c r="N19" s="31">
        <f>'תמהיל יצור'!Y19*10^6/'צריכת פחם וגז'!$E$51</f>
        <v>2.7026607852401838</v>
      </c>
      <c r="O19" s="31">
        <f>'תמהיל יצור'!Z19*10^6/'צריכת פחם וגז'!$E$54</f>
        <v>0.48503937560297289</v>
      </c>
      <c r="P19" s="629">
        <f>$E$39*'תמהיל יצור'!AC19</f>
        <v>0</v>
      </c>
      <c r="Q19" s="31">
        <f>'תמהיל יצור'!AD19*1000000/'צריכת פחם וגז'!$E$48</f>
        <v>15.308542585816951</v>
      </c>
      <c r="R19" s="31">
        <f>'תמהיל יצור'!AE19*10^6/'צריכת פחם וגז'!$E$51</f>
        <v>2.7026607852401838</v>
      </c>
      <c r="S19" s="31">
        <f>'תמהיל יצור'!AF19*10^6/'צריכת פחם וגז'!$E$54</f>
        <v>0.48503937560297289</v>
      </c>
      <c r="T19" s="56">
        <f>$E$39*'תמהיל יצור'!AK19</f>
        <v>5.6562125287912561</v>
      </c>
      <c r="U19" s="54">
        <f>'תמהיל יצור'!AL19*1000000/'צריכת פחם וגז'!$E$48</f>
        <v>14.087422444478213</v>
      </c>
    </row>
    <row r="20" spans="2:21">
      <c r="B20" s="41">
        <f t="shared" si="0"/>
        <v>2036</v>
      </c>
      <c r="C20" s="56">
        <f>$E$39*'תמהיל יצור'!H20</f>
        <v>8.017543972849742</v>
      </c>
      <c r="D20" s="43">
        <f>'תמהיל יצור'!I20*1000000/'צריכת פחם וגז'!$E$48</f>
        <v>15.175784837241853</v>
      </c>
      <c r="E20" s="9"/>
      <c r="F20" s="56">
        <f>$E$39*'תמהיל יצור'!L20</f>
        <v>5.6562125287912561</v>
      </c>
      <c r="G20" s="31">
        <f>'תמהיל יצור'!M20*1000000/'צריכת פחם וגז'!$E$48</f>
        <v>16.416978939499419</v>
      </c>
      <c r="H20" s="20"/>
      <c r="I20" s="56">
        <f>$E$39*('תמהיל יצור'!Q20+'תמהיל יצור'!P20)</f>
        <v>0.2872845581085382</v>
      </c>
      <c r="J20" s="31">
        <f>'תמהיל יצור'!R20*1000000/'צריכת פחם וגז'!$E$44</f>
        <v>3.0070760052873555</v>
      </c>
      <c r="K20" s="54">
        <f>'תמהיל יצור'!S20*1000000/'צריכת פחם וגז'!$E$48</f>
        <v>16.860591220109985</v>
      </c>
      <c r="L20" s="43">
        <f>$E$39*('תמהיל יצור'!W20+'תמהיל יצור'!V20)</f>
        <v>0.23217282655302268</v>
      </c>
      <c r="M20" s="31">
        <f>'תמהיל יצור'!X20*1000000/'צריכת פחם וגז'!$E$48</f>
        <v>15.696273046954763</v>
      </c>
      <c r="N20" s="31">
        <f>'תמהיל יצור'!Y20*10^6/'צריכת פחם וגז'!$E$51</f>
        <v>2.7026607852401838</v>
      </c>
      <c r="O20" s="31">
        <f>'תמהיל יצור'!Z20*10^6/'צריכת פחם וגז'!$E$54</f>
        <v>0.48503937560297289</v>
      </c>
      <c r="P20" s="629">
        <f>$E$39*'תמהיל יצור'!AC20</f>
        <v>0</v>
      </c>
      <c r="Q20" s="31">
        <f>'תמהיל יצור'!AD20*1000000/'צריכת פחם וגז'!$E$48</f>
        <v>15.81831078280382</v>
      </c>
      <c r="R20" s="31">
        <f>'תמהיל יצור'!AE20*10^6/'צריכת פחם וגז'!$E$51</f>
        <v>2.7026607852401838</v>
      </c>
      <c r="S20" s="31">
        <f>'תמהיל יצור'!AF20*10^6/'צריכת פחם וגז'!$E$54</f>
        <v>0.48503937560297289</v>
      </c>
      <c r="T20" s="56">
        <f>$E$39*'תמהיל יצור'!AK20</f>
        <v>5.6562125287912561</v>
      </c>
      <c r="U20" s="54">
        <f>'תמהיל יצור'!AL20*1000000/'צריכת פחם וגז'!$E$48</f>
        <v>14.548056357418155</v>
      </c>
    </row>
    <row r="21" spans="2:21">
      <c r="B21" s="41">
        <f t="shared" si="0"/>
        <v>2037</v>
      </c>
      <c r="C21" s="56">
        <f>$E$39*'תמהיל יצור'!H21</f>
        <v>8.017543972849742</v>
      </c>
      <c r="D21" s="43">
        <f>'תמהיל יצור'!I21*1000000/'צריכת פחם וגז'!$E$48</f>
        <v>15.699316775547365</v>
      </c>
      <c r="E21" s="9"/>
      <c r="F21" s="56">
        <f>$E$39*'תמהיל יצור'!L21</f>
        <v>5.6562125287912561</v>
      </c>
      <c r="G21" s="31">
        <f>'תמהיל יצור'!M21*1000000/'צריכת פחם וגז'!$E$48</f>
        <v>16.940510877804932</v>
      </c>
      <c r="H21" s="20"/>
      <c r="I21" s="56">
        <f>$E$39*('תמהיל יצור'!Q21+'תמהיל יצור'!P21)</f>
        <v>0.2872845581085382</v>
      </c>
      <c r="J21" s="31">
        <f>'תמהיל יצור'!R21*1000000/'צריכת פחם וגז'!$E$44</f>
        <v>3.0070760052873555</v>
      </c>
      <c r="K21" s="54">
        <f>'תמהיל יצור'!S21*1000000/'צריכת פחם וגז'!$E$48</f>
        <v>17.384123158415498</v>
      </c>
      <c r="L21" s="43">
        <f>$E$39*('תמהיל יצור'!W21+'תמהיל יצור'!V21)</f>
        <v>0.23217282655302268</v>
      </c>
      <c r="M21" s="31">
        <f>'תמהיל יצור'!X21*1000000/'צריכת פחם וגז'!$E$48</f>
        <v>16.219804985260279</v>
      </c>
      <c r="N21" s="31">
        <f>'תמהיל יצור'!Y21*10^6/'צריכת פחם וגז'!$E$51</f>
        <v>2.7026607852401838</v>
      </c>
      <c r="O21" s="31">
        <f>'תמהיל יצור'!Z21*10^6/'צריכת פחם וגז'!$E$54</f>
        <v>0.48503937560297289</v>
      </c>
      <c r="P21" s="629">
        <f>$E$39*'תמהיל יצור'!AC21</f>
        <v>0</v>
      </c>
      <c r="Q21" s="31">
        <f>'תמהיל יצור'!AD21*1000000/'צריכת פחם וגז'!$E$48</f>
        <v>16.34184272110933</v>
      </c>
      <c r="R21" s="31">
        <f>'תמהיל יצור'!AE21*10^6/'צריכת פחם וגז'!$E$51</f>
        <v>2.7026607852401838</v>
      </c>
      <c r="S21" s="31">
        <f>'תמהיל יצור'!AF21*10^6/'צריכת פחם וגז'!$E$54</f>
        <v>0.48503937560297289</v>
      </c>
      <c r="T21" s="56">
        <f>$E$39*'תמהיל יצור'!AK21</f>
        <v>5.6562125287912561</v>
      </c>
      <c r="U21" s="54">
        <f>'תמהיל יצור'!AL21*1000000/'צריכת פחם וגז'!$E$48</f>
        <v>15.021127386007471</v>
      </c>
    </row>
    <row r="22" spans="2:21">
      <c r="B22" s="41">
        <f t="shared" si="0"/>
        <v>2038</v>
      </c>
      <c r="C22" s="56">
        <f>$E$39*'תמהיל יצור'!H22</f>
        <v>8.017543972849742</v>
      </c>
      <c r="D22" s="43">
        <f>'תמהיל יצור'!I22*1000000/'צריכת פחם וגז'!$E$48</f>
        <v>16.236984076187131</v>
      </c>
      <c r="E22" s="9"/>
      <c r="F22" s="56">
        <f>$E$39*'תמהיל יצור'!L22</f>
        <v>5.6562125287912561</v>
      </c>
      <c r="G22" s="31">
        <f>'תמהיל יצור'!M22*1000000/'צריכת פחם וגז'!$E$48</f>
        <v>17.478178178444693</v>
      </c>
      <c r="H22" s="20"/>
      <c r="I22" s="56">
        <f>$E$39*('תמהיל יצור'!Q22+'תמהיל יצור'!P22)</f>
        <v>0.2872845581085382</v>
      </c>
      <c r="J22" s="31">
        <f>'תמהיל יצור'!R22*1000000/'צריכת פחם וגז'!$E$44</f>
        <v>3.0070760052873555</v>
      </c>
      <c r="K22" s="54">
        <f>'תמהיל יצור'!S22*1000000/'צריכת פחם וגז'!$E$48</f>
        <v>17.921790459055263</v>
      </c>
      <c r="L22" s="43">
        <f>$E$39*('תמהיל יצור'!W22+'תמהיל יצור'!V22)</f>
        <v>0.23217282655302268</v>
      </c>
      <c r="M22" s="31">
        <f>'תמהיל יצור'!X22*1000000/'צריכת פחם וגז'!$E$48</f>
        <v>16.75747228590004</v>
      </c>
      <c r="N22" s="31">
        <f>'תמהיל יצור'!Y22*10^6/'צריכת פחם וגז'!$E$51</f>
        <v>2.7026607852401838</v>
      </c>
      <c r="O22" s="31">
        <f>'תמהיל יצור'!Z22*10^6/'צריכת פחם וגז'!$E$54</f>
        <v>0.48503937560297289</v>
      </c>
      <c r="P22" s="629">
        <f>$E$39*'תמהיל יצור'!AC22</f>
        <v>0</v>
      </c>
      <c r="Q22" s="31">
        <f>'תמהיל יצור'!AD22*1000000/'צריכת פחם וגז'!$E$48</f>
        <v>16.879510021749098</v>
      </c>
      <c r="R22" s="31">
        <f>'תמהיל יצור'!AE22*10^6/'צריכת פחם וגז'!$E$51</f>
        <v>2.7026607852401838</v>
      </c>
      <c r="S22" s="31">
        <f>'תמהיל יצור'!AF22*10^6/'צריכת פחם וגז'!$E$54</f>
        <v>0.48503937560297289</v>
      </c>
      <c r="T22" s="56">
        <f>$E$39*'תמהיל יצור'!AK22</f>
        <v>5.6562125287912561</v>
      </c>
      <c r="U22" s="54">
        <f>'תמהיל יצור'!AL22*1000000/'צריכת פחם וגז'!$E$48</f>
        <v>15.506971332368707</v>
      </c>
    </row>
    <row r="23" spans="2:21">
      <c r="B23" s="41">
        <f t="shared" si="0"/>
        <v>2039</v>
      </c>
      <c r="C23" s="56">
        <f>$E$39*'תמהיל יצור'!H23</f>
        <v>8.017543972849742</v>
      </c>
      <c r="D23" s="43">
        <f>'תמהיל יצור'!I23*1000000/'צריכת פחם וגז'!$E$48</f>
        <v>16.789168393944166</v>
      </c>
      <c r="E23" s="9"/>
      <c r="F23" s="56">
        <f>$E$39*'תמהיל יצור'!L23</f>
        <v>5.6562125287912561</v>
      </c>
      <c r="G23" s="31">
        <f>'תמהיל יצור'!M23*1000000/'צריכת פחם וגז'!$E$48</f>
        <v>18.030362496201729</v>
      </c>
      <c r="H23" s="20"/>
      <c r="I23" s="56">
        <f>$E$39*('תמהיל יצור'!Q23+'תמהיל יצור'!P23)</f>
        <v>0.2872845581085382</v>
      </c>
      <c r="J23" s="31">
        <f>'תמהיל יצור'!R23*1000000/'צריכת פחם וגז'!$E$44</f>
        <v>3.0070760052873555</v>
      </c>
      <c r="K23" s="54">
        <f>'תמהיל יצור'!S23*1000000/'צריכת פחם וגז'!$E$48</f>
        <v>18.473974776812295</v>
      </c>
      <c r="L23" s="43">
        <f>$E$39*('תמהיל יצור'!W23+'תמהיל יצור'!V23)</f>
        <v>0.23217282655302268</v>
      </c>
      <c r="M23" s="31">
        <f>'תמהיל יצור'!X23*1000000/'צריכת פחם וגז'!$E$48</f>
        <v>17.309656603657075</v>
      </c>
      <c r="N23" s="31">
        <f>'תמהיל יצור'!Y23*10^6/'צריכת פחם וגז'!$E$51</f>
        <v>2.7026607852401838</v>
      </c>
      <c r="O23" s="31">
        <f>'תמהיל יצור'!Z23*10^6/'צריכת פחם וגז'!$E$54</f>
        <v>0.48503937560297289</v>
      </c>
      <c r="P23" s="629">
        <f>$E$39*'תמהיל יצור'!AC23</f>
        <v>0</v>
      </c>
      <c r="Q23" s="31">
        <f>'תמהיל יצור'!AD23*1000000/'צריכת פחם וגז'!$E$48</f>
        <v>17.43169433950613</v>
      </c>
      <c r="R23" s="31">
        <f>'תמהיל יצור'!AE23*10^6/'צריכת פחם וגז'!$E$51</f>
        <v>2.7026607852401838</v>
      </c>
      <c r="S23" s="31">
        <f>'תמהיל יצור'!AF23*10^6/'צריכת פחם וגז'!$E$54</f>
        <v>0.48503937560297289</v>
      </c>
      <c r="T23" s="56">
        <f>$E$39*'תמהיל יצור'!AK23</f>
        <v>5.6562125287912561</v>
      </c>
      <c r="U23" s="54">
        <f>'תמהיל יצור'!AL23*1000000/'צריכת פחם וגז'!$E$48</f>
        <v>16.005933065281692</v>
      </c>
    </row>
    <row r="24" spans="2:21">
      <c r="B24" s="41">
        <f t="shared" si="0"/>
        <v>2040</v>
      </c>
      <c r="C24" s="56">
        <f>$E$39*'תמהיל יצור'!H24</f>
        <v>5.3057276290917406</v>
      </c>
      <c r="D24" s="43">
        <f>'תמהיל יצור'!I24*1000000/'צריכת פחם וגז'!$E$48</f>
        <v>18.78168227493622</v>
      </c>
      <c r="E24" s="9"/>
      <c r="F24" s="56">
        <f>$E$39*'תמהיל יצור'!L24</f>
        <v>3.7430818205236251</v>
      </c>
      <c r="G24" s="31">
        <f>'תמהיל יצור'!M24*1000000/'צריכת פחם וגז'!$E$48</f>
        <v>19.603060724959608</v>
      </c>
      <c r="H24" s="20"/>
      <c r="I24" s="56">
        <f>$E$39*('תמהיל יצור'!Q24+'תמהיל יצור'!P24)</f>
        <v>0.1901147811012385</v>
      </c>
      <c r="J24" s="31">
        <f>'תמהיל יצור'!R24*1000000/'צריכת פחם וגז'!$E$44</f>
        <v>1.3168963907238094</v>
      </c>
      <c r="K24" s="54">
        <f>'תמהיל יצור'!S24*1000000/'צריכת פחם וגז'!$E$48</f>
        <v>20.429006758292633</v>
      </c>
      <c r="L24" s="43">
        <f>$E$39*('תמהיל יצור'!W24+'תמהיל יצור'!V24)</f>
        <v>0.23217282655302268</v>
      </c>
      <c r="M24" s="31">
        <f>'תמהיל יצור'!X24*1000000/'צריכת פחם וגז'!$E$48</f>
        <v>17.876749897993552</v>
      </c>
      <c r="N24" s="31">
        <f>'תמהיל יצור'!Y24*10^6/'צריכת פחם וגז'!$E$51</f>
        <v>2.7026607852401838</v>
      </c>
      <c r="O24" s="31">
        <f>'תמהיל יצור'!Z24*10^6/'צריכת פחם וגז'!$E$54</f>
        <v>0.48503937560297289</v>
      </c>
      <c r="P24" s="629">
        <f>$E$39*'תמהיל יצור'!AC24</f>
        <v>0</v>
      </c>
      <c r="Q24" s="31">
        <f>'תמהיל יצור'!AD24*1000000/'צריכת פחם וגז'!$E$48</f>
        <v>17.998787633842607</v>
      </c>
      <c r="R24" s="31">
        <f>'תמהיל יצור'!AE24*10^6/'צריכת פחם וגז'!$E$51</f>
        <v>2.7026607852401838</v>
      </c>
      <c r="S24" s="31">
        <f>'תמהיל יצור'!AF24*10^6/'צריכת פחם וגז'!$E$54</f>
        <v>0.48503937560297289</v>
      </c>
      <c r="T24" s="56">
        <f>$E$39*'תמהיל יצור'!AK24</f>
        <v>3.7430818205236251</v>
      </c>
      <c r="U24" s="54">
        <f>'תמהיל יצור'!AL24*1000000/'צריכת פחם וגז'!$E$48</f>
        <v>17.523971699404722</v>
      </c>
    </row>
    <row r="25" spans="2:21">
      <c r="B25" s="41">
        <f t="shared" si="0"/>
        <v>2041</v>
      </c>
      <c r="C25" s="56">
        <f>$E$39*'תמהיל יצור'!H25</f>
        <v>5.3057276290917406</v>
      </c>
      <c r="D25" s="43">
        <f>'תמהיל יצור'!I25*1000000/'צריכת פחם וגז'!$E$48</f>
        <v>19.364087088219776</v>
      </c>
      <c r="E25" s="9"/>
      <c r="F25" s="56">
        <f>$E$39*'תמהיל יצור'!L25</f>
        <v>3.7430818205236251</v>
      </c>
      <c r="G25" s="31">
        <f>'תמהיל יצור'!M25*1000000/'צריכת פחם וגז'!$E$48</f>
        <v>20.185465538243164</v>
      </c>
      <c r="H25" s="20"/>
      <c r="I25" s="56">
        <f>$E$39*('תמהיל יצור'!Q25+'תמהיל יצור'!P25)</f>
        <v>0.1901147811012385</v>
      </c>
      <c r="J25" s="31">
        <f>'תמהיל יצור'!R25*1000000/'צריכת פחם וגז'!$E$44</f>
        <v>1.3168963907238094</v>
      </c>
      <c r="K25" s="54">
        <f>'תמהיל יצור'!S25*1000000/'צריכת פחם וגז'!$E$48</f>
        <v>21.011411571576193</v>
      </c>
      <c r="L25" s="43">
        <f>$E$39*('תמהיל יצור'!W25+'תמהיל יצור'!V25)</f>
        <v>0.15364378227773559</v>
      </c>
      <c r="M25" s="31">
        <f>'תמהיל יצור'!X25*1000000/'צריכת פחם וגז'!$E$48</f>
        <v>18.500432180755464</v>
      </c>
      <c r="N25" s="31">
        <f>'תמהיל יצור'!Y25*10^6/'צריכת פחם וגז'!$E$51</f>
        <v>2.7026607852401838</v>
      </c>
      <c r="O25" s="31">
        <f>'תמהיל יצור'!Z25*10^6/'צריכת פחם וגז'!$E$54</f>
        <v>0.48503937560297289</v>
      </c>
      <c r="P25" s="629">
        <f>$E$39*'תמהיל יצור'!AC25</f>
        <v>0</v>
      </c>
      <c r="Q25" s="31">
        <f>'תמהיל יצור'!AD25*1000000/'צריכת פחם וגז'!$E$48</f>
        <v>18.581192447126167</v>
      </c>
      <c r="R25" s="31">
        <f>'תמהיל יצור'!AE25*10^6/'צריכת פחם וגז'!$E$51</f>
        <v>2.7026607852401838</v>
      </c>
      <c r="S25" s="31">
        <f>'תמהיל יצור'!AF25*10^6/'צריכת פחם וגז'!$E$54</f>
        <v>0.48503937560297289</v>
      </c>
      <c r="T25" s="56">
        <f>$E$39*'תמהיל יצור'!AK25</f>
        <v>3.7430818205236251</v>
      </c>
      <c r="U25" s="54">
        <f>'תמהיל יצור'!AL25*1000000/'צריכת פחם וגז'!$E$48</f>
        <v>18.0502411089983</v>
      </c>
    </row>
    <row r="26" spans="2:21">
      <c r="B26" s="41">
        <f t="shared" si="0"/>
        <v>2042</v>
      </c>
      <c r="C26" s="56">
        <f>$E$39*'תמהיל יצור'!H26</f>
        <v>5.3057276290917406</v>
      </c>
      <c r="D26" s="43">
        <f>'תמהיל יצור'!I26*1000000/'צריכת פחם וגז'!$E$48</f>
        <v>19.962216831461987</v>
      </c>
      <c r="E26" s="9"/>
      <c r="F26" s="56">
        <f>$E$39*'תמהיל יצור'!L26</f>
        <v>3.7430818205236251</v>
      </c>
      <c r="G26" s="31">
        <f>'תמהיל יצור'!M26*1000000/'צריכת פחם וגז'!$E$48</f>
        <v>20.783595281485379</v>
      </c>
      <c r="H26" s="20"/>
      <c r="I26" s="56">
        <f>$E$39*('תמהיל יצור'!Q26+'תמהיל יצור'!P26)</f>
        <v>0.1901147811012385</v>
      </c>
      <c r="J26" s="31">
        <f>'תמהיל יצור'!R26*1000000/'צריכת פחם וגז'!$E$44</f>
        <v>1.3168963907238094</v>
      </c>
      <c r="K26" s="54">
        <f>'תמהיל יצור'!S26*1000000/'צריכת פחם וגז'!$E$48</f>
        <v>21.609541314818408</v>
      </c>
      <c r="L26" s="43">
        <f>$E$39*('תמהיל יצור'!W26+'תמהיל יצור'!V26)</f>
        <v>0.15364378227773559</v>
      </c>
      <c r="M26" s="31">
        <f>'תמהיל יצור'!X26*1000000/'צריכת פחם וגז'!$E$48</f>
        <v>19.098561923997675</v>
      </c>
      <c r="N26" s="31">
        <f>'תמהיל יצור'!Y26*10^6/'צריכת פחם וגז'!$E$51</f>
        <v>2.7026607852401838</v>
      </c>
      <c r="O26" s="31">
        <f>'תמהיל יצור'!Z26*10^6/'צריכת פחם וגז'!$E$54</f>
        <v>0.48503937560297289</v>
      </c>
      <c r="P26" s="629">
        <f>$E$39*'תמהיל יצור'!AC26</f>
        <v>0</v>
      </c>
      <c r="Q26" s="31">
        <f>'תמהיל יצור'!AD26*1000000/'צריכת פחם וגז'!$E$48</f>
        <v>19.179322190368378</v>
      </c>
      <c r="R26" s="31">
        <f>'תמהיל יצור'!AE26*10^6/'צריכת פחם וגז'!$E$51</f>
        <v>2.7026607852401838</v>
      </c>
      <c r="S26" s="31">
        <f>'תמהיל יצור'!AF26*10^6/'צריכת פחם וגז'!$E$54</f>
        <v>0.48503937560297289</v>
      </c>
      <c r="T26" s="56">
        <f>$E$39*'תמהיל יצור'!AK26</f>
        <v>3.7430818205236251</v>
      </c>
      <c r="U26" s="54">
        <f>'תמהיל יצור'!AL26*1000000/'צריכת פחם וגז'!$E$48</f>
        <v>18.590719792650905</v>
      </c>
    </row>
    <row r="27" spans="2:21">
      <c r="B27" s="41">
        <f t="shared" si="0"/>
        <v>2043</v>
      </c>
      <c r="C27" s="56">
        <f>$E$39*'תמהיל יצור'!H27</f>
        <v>5.3057276290917406</v>
      </c>
      <c r="D27" s="43">
        <f>'תמהיל יצור'!I27*1000000/'צריכת פחם וגז'!$E$48</f>
        <v>20.576496077771743</v>
      </c>
      <c r="E27" s="9"/>
      <c r="F27" s="56">
        <f>$E$39*'תמהיל יצור'!L27</f>
        <v>3.7430818205236251</v>
      </c>
      <c r="G27" s="31">
        <f>'תמהיל יצור'!M27*1000000/'צריכת פחם וגז'!$E$48</f>
        <v>21.397874527795132</v>
      </c>
      <c r="H27" s="20"/>
      <c r="I27" s="56">
        <f>$E$39*('תמהיל יצור'!Q27+'תמהיל יצור'!P27)</f>
        <v>0.1901147811012385</v>
      </c>
      <c r="J27" s="31">
        <f>'תמהיל יצור'!R27*1000000/'צריכת פחם וגז'!$E$44</f>
        <v>1.3168963907238094</v>
      </c>
      <c r="K27" s="54">
        <f>'תמהיל יצור'!S27*1000000/'צריכת פחם וגז'!$E$48</f>
        <v>22.223820561128161</v>
      </c>
      <c r="L27" s="43">
        <f>$E$39*('תמהיל יצור'!W27+'תמהיל יצור'!V27)</f>
        <v>0.15364378227773559</v>
      </c>
      <c r="M27" s="31">
        <f>'תמהיל יצור'!X27*1000000/'צריכת פחם וגז'!$E$48</f>
        <v>19.712841170307431</v>
      </c>
      <c r="N27" s="31">
        <f>'תמהיל יצור'!Y27*10^6/'צריכת פחם וגז'!$E$51</f>
        <v>2.7026607852401838</v>
      </c>
      <c r="O27" s="31">
        <f>'תמהיל יצור'!Z27*10^6/'צריכת פחם וגז'!$E$54</f>
        <v>0.48503937560297289</v>
      </c>
      <c r="P27" s="629">
        <f>$E$39*'תמהיל יצור'!AC27</f>
        <v>0</v>
      </c>
      <c r="Q27" s="31">
        <f>'תמהיל יצור'!AD27*1000000/'צריכת פחם וגז'!$E$48</f>
        <v>19.793601436678134</v>
      </c>
      <c r="R27" s="31">
        <f>'תמהיל יצור'!AE27*10^6/'צריכת פחם וגז'!$E$51</f>
        <v>2.7026607852401838</v>
      </c>
      <c r="S27" s="31">
        <f>'תמהיל יצור'!AF27*10^6/'צריכת פחם וגז'!$E$54</f>
        <v>0.48503937560297289</v>
      </c>
      <c r="T27" s="56">
        <f>$E$39*'תמהיל יצור'!AK27</f>
        <v>3.7430818205236251</v>
      </c>
      <c r="U27" s="54">
        <f>'תמהיל יצור'!AL27*1000000/'צריכת פחם וגז'!$E$48</f>
        <v>19.145791400762125</v>
      </c>
    </row>
    <row r="28" spans="2:21">
      <c r="B28" s="41">
        <f t="shared" si="0"/>
        <v>2044</v>
      </c>
      <c r="C28" s="56">
        <f>$E$39*'תמהיל יצור'!H28</f>
        <v>5.3057276290917406</v>
      </c>
      <c r="D28" s="43">
        <f>'תמהיל יצור'!I28*1000000/'צריכת פחם וגז'!$E$48</f>
        <v>21.207360863731857</v>
      </c>
      <c r="E28" s="9"/>
      <c r="F28" s="56">
        <f>$E$39*'תמהיל יצור'!L28</f>
        <v>3.7430818205236251</v>
      </c>
      <c r="G28" s="31">
        <f>'תמהיל יצור'!M28*1000000/'צריכת פחם וגז'!$E$48</f>
        <v>22.028739313755253</v>
      </c>
      <c r="H28" s="20"/>
      <c r="I28" s="56">
        <f>$E$39*('תמהיל יצור'!Q28+'תמהיל יצור'!P28)</f>
        <v>0.1901147811012385</v>
      </c>
      <c r="J28" s="31">
        <f>'תמהיל יצור'!R28*1000000/'צריכת פחם וגז'!$E$44</f>
        <v>1.3168963907238094</v>
      </c>
      <c r="K28" s="54">
        <f>'תמהיל יצור'!S28*1000000/'צריכת פחם וגז'!$E$48</f>
        <v>22.854685347088278</v>
      </c>
      <c r="L28" s="43">
        <f>$E$39*('תמהיל יצור'!W28+'תמהיל יצור'!V28)</f>
        <v>0.15364378227773559</v>
      </c>
      <c r="M28" s="31">
        <f>'תמהיל יצור'!X28*1000000/'צריכת פחם וגז'!$E$48</f>
        <v>20.343705956267549</v>
      </c>
      <c r="N28" s="31">
        <f>'תמהיל יצור'!Y28*10^6/'צריכת פחם וגז'!$E$51</f>
        <v>2.7026607852401838</v>
      </c>
      <c r="O28" s="31">
        <f>'תמהיל יצור'!Z28*10^6/'צריכת פחם וגז'!$E$54</f>
        <v>0.48503937560297289</v>
      </c>
      <c r="P28" s="629">
        <f>$E$39*'תמהיל יצור'!AC28</f>
        <v>0</v>
      </c>
      <c r="Q28" s="31">
        <f>'תמהיל יצור'!AD28*1000000/'צריכת פחם וגז'!$E$48</f>
        <v>20.424466222638248</v>
      </c>
      <c r="R28" s="31">
        <f>'תמהיל יצור'!AE28*10^6/'צריכת פחם וגז'!$E$51</f>
        <v>2.7026607852401838</v>
      </c>
      <c r="S28" s="31">
        <f>'תמהיל יצור'!AF28*10^6/'צריכת פחם וגז'!$E$54</f>
        <v>0.48503937560297289</v>
      </c>
      <c r="T28" s="56">
        <f>$E$39*'תמהיל יצור'!AK28</f>
        <v>3.7430818205236251</v>
      </c>
      <c r="U28" s="54">
        <f>'תמהיל יצור'!AL28*1000000/'צריכת פחם וגז'!$E$48</f>
        <v>19.715849942292351</v>
      </c>
    </row>
    <row r="29" spans="2:21">
      <c r="B29" s="41">
        <f t="shared" si="0"/>
        <v>2045</v>
      </c>
      <c r="C29" s="56">
        <f>$E$39*'תמהיל יצור'!H29</f>
        <v>2.5939112853337396</v>
      </c>
      <c r="D29" s="43">
        <f>'תמהיל יצור'!I29*1000000/'צריכת פחם וגז'!$E$48</f>
        <v>23.280679585568485</v>
      </c>
      <c r="E29" s="9"/>
      <c r="F29" s="56">
        <f>$E$39*'תמהיל יצור'!L29</f>
        <v>1.8299511122559946</v>
      </c>
      <c r="G29" s="31">
        <f>'תמהיל יצור'!M29*1000000/'צריכת פחם וגז'!$E$48</f>
        <v>23.682242383357693</v>
      </c>
      <c r="H29" s="20"/>
      <c r="I29" s="56">
        <f>$E$39*('תמהיל יצור'!Q29+'תמהיל יצור'!P29)</f>
        <v>9.2945004093938827E-2</v>
      </c>
      <c r="J29" s="31">
        <f>'תמהיל יצור'!R29*1000000/'צריכת פחם וגז'!$E$44</f>
        <v>0.31475449536312283</v>
      </c>
      <c r="K29" s="54">
        <f>'תמהיל יצור'!S29*1000000/'צריכת פחם וגז'!$E$48</f>
        <v>24.346312440196897</v>
      </c>
      <c r="L29" s="43">
        <f>$E$39*('תמהיל יצור'!W29+'תמהיל יצור'!V29)</f>
        <v>0.15364378227773559</v>
      </c>
      <c r="M29" s="31">
        <f>'תמהיל יצור'!X29*1000000/'צריכת פחם וגז'!$E$48</f>
        <v>20.991604091448593</v>
      </c>
      <c r="N29" s="31">
        <f>'תמהיל יצור'!Y29*10^6/'צריכת פחם וגז'!$E$51</f>
        <v>2.7026607852401838</v>
      </c>
      <c r="O29" s="31">
        <f>'תמהיל יצור'!Z29*10^6/'צריכת פחם וגז'!$E$54</f>
        <v>0.48503937560297289</v>
      </c>
      <c r="P29" s="629">
        <f>$E$39*'תמהיל יצור'!AC29</f>
        <v>0</v>
      </c>
      <c r="Q29" s="31">
        <f>'תמהיל יצור'!AD29*1000000/'צריכת פחם וגז'!$E$48</f>
        <v>21.072364357819296</v>
      </c>
      <c r="R29" s="31">
        <f>'תמהיל יצור'!AE29*10^6/'צריכת פחם וגז'!$E$51</f>
        <v>2.7026607852401838</v>
      </c>
      <c r="S29" s="31">
        <f>'תמהיל יצור'!AF29*10^6/'צריכת פחם וגז'!$E$54</f>
        <v>0.48503937560297289</v>
      </c>
      <c r="T29" s="56">
        <f>$E$39*'תמהיל יצור'!AK29</f>
        <v>1.8299511122559946</v>
      </c>
      <c r="U29" s="54">
        <f>'תמהיל יצור'!AL29*1000000/'צריכת פחם וגז'!$E$48</f>
        <v>21.306904998865299</v>
      </c>
    </row>
    <row r="30" spans="2:21" ht="16" thickBot="1">
      <c r="B30" s="8"/>
      <c r="C30" s="8"/>
      <c r="D30" s="9"/>
      <c r="E30" s="9"/>
      <c r="F30" s="56"/>
      <c r="G30" s="31"/>
      <c r="H30" s="20"/>
      <c r="I30" s="8"/>
      <c r="J30" s="9"/>
      <c r="K30" s="20"/>
      <c r="L30" s="9"/>
      <c r="M30" s="9"/>
      <c r="N30" s="9"/>
      <c r="O30" s="9"/>
      <c r="P30" s="629"/>
      <c r="Q30" s="9"/>
      <c r="R30" s="9"/>
      <c r="S30" s="9"/>
      <c r="T30" s="8"/>
      <c r="U30" s="20"/>
    </row>
    <row r="31" spans="2:21" ht="16" thickBot="1">
      <c r="B31" s="1011" t="s">
        <v>17</v>
      </c>
      <c r="C31" s="27"/>
      <c r="D31" s="32"/>
      <c r="E31" s="32"/>
      <c r="F31" s="27"/>
      <c r="G31" s="32"/>
      <c r="H31" s="37"/>
      <c r="I31" s="27"/>
      <c r="J31" s="64"/>
      <c r="K31" s="61"/>
      <c r="L31" s="630"/>
      <c r="M31" s="630"/>
      <c r="N31" s="630"/>
      <c r="O31" s="630"/>
      <c r="P31" s="629"/>
      <c r="Q31" s="9"/>
      <c r="R31" s="9"/>
      <c r="S31" s="9"/>
      <c r="T31" s="8"/>
      <c r="U31" s="20"/>
    </row>
    <row r="32" spans="2:21" s="17" customFormat="1" ht="16" thickBot="1">
      <c r="B32" s="1012"/>
      <c r="C32" s="331">
        <f>SUM(C4:C29)</f>
        <v>189.47342888778726</v>
      </c>
      <c r="D32" s="330">
        <f>SUM(D4:D29)</f>
        <v>375.13777749988304</v>
      </c>
      <c r="E32" s="333"/>
      <c r="F32" s="64">
        <f>SUM(F4:F29)</f>
        <v>133.66961079069927</v>
      </c>
      <c r="G32" s="64">
        <f>SUM(G4:G29)</f>
        <v>404.47011459294049</v>
      </c>
      <c r="H32" s="64"/>
      <c r="I32" s="89">
        <f>SUM(I4:I29)</f>
        <v>28.107012308305229</v>
      </c>
      <c r="J32" s="1013">
        <f>SUM(J4:K29)</f>
        <v>471.47565467173183</v>
      </c>
      <c r="K32" s="1013"/>
      <c r="L32" s="64">
        <f>SUM(L4:L29)</f>
        <v>26.716130845371442</v>
      </c>
      <c r="M32" s="64">
        <f>SUM(M4:O29)</f>
        <v>453.00719302670916</v>
      </c>
      <c r="N32" s="64"/>
      <c r="O32" s="64"/>
      <c r="P32" s="454">
        <f>SUM(P4:P31)</f>
        <v>22.458490923141749</v>
      </c>
      <c r="Q32" s="330">
        <f>SUM(Q4:S29)</f>
        <v>455.24514974147058</v>
      </c>
      <c r="R32" s="330"/>
      <c r="S32" s="455"/>
      <c r="T32" s="734">
        <f>SUM(T4:T29)</f>
        <v>133.66961079069927</v>
      </c>
      <c r="U32" s="732">
        <f>SUM(U4:U29)</f>
        <v>364.87871620136332</v>
      </c>
    </row>
    <row r="33" spans="2:24" ht="16" thickBot="1">
      <c r="B33" s="288"/>
      <c r="C33" s="25"/>
      <c r="D33" s="25"/>
      <c r="E33" s="48"/>
      <c r="F33" s="25"/>
      <c r="G33" s="25"/>
      <c r="H33" s="25"/>
      <c r="I33" s="25"/>
      <c r="J33" s="300"/>
      <c r="K33" s="300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</row>
    <row r="34" spans="2:24" ht="16" thickBot="1">
      <c r="J34" s="9"/>
      <c r="K34" s="1002" t="s">
        <v>245</v>
      </c>
      <c r="L34" s="1003"/>
      <c r="M34" s="1003"/>
      <c r="N34" s="1003"/>
      <c r="O34" s="1003"/>
      <c r="P34" s="1003"/>
      <c r="Q34" s="1004"/>
      <c r="R34" s="546"/>
      <c r="S34" s="546"/>
      <c r="T34" s="546"/>
      <c r="U34" s="546"/>
      <c r="V34" s="546"/>
    </row>
    <row r="35" spans="2:24" ht="65" thickBot="1">
      <c r="C35" s="960" t="s">
        <v>439</v>
      </c>
      <c r="D35" s="1008"/>
      <c r="E35" s="961"/>
      <c r="J35" s="301"/>
      <c r="K35" s="306" t="s">
        <v>327</v>
      </c>
      <c r="L35" s="303" t="s">
        <v>92</v>
      </c>
      <c r="M35" s="303" t="s">
        <v>128</v>
      </c>
      <c r="N35" s="303" t="s">
        <v>49</v>
      </c>
      <c r="O35" s="303" t="s">
        <v>239</v>
      </c>
      <c r="P35" s="303" t="s">
        <v>240</v>
      </c>
      <c r="Q35" s="303" t="s">
        <v>5</v>
      </c>
      <c r="R35" s="634"/>
      <c r="S35" s="634"/>
      <c r="T35" s="634"/>
    </row>
    <row r="36" spans="2:24" ht="15" customHeight="1">
      <c r="C36" s="960" t="s">
        <v>0</v>
      </c>
      <c r="D36" s="1008"/>
      <c r="E36" s="961"/>
      <c r="J36" s="301"/>
      <c r="K36" s="117" t="s">
        <v>243</v>
      </c>
      <c r="L36" s="296">
        <f>C32</f>
        <v>189.47342888778726</v>
      </c>
      <c r="M36" s="297">
        <f>F32</f>
        <v>133.66961079069927</v>
      </c>
      <c r="N36" s="297">
        <f>T32</f>
        <v>133.66961079069927</v>
      </c>
      <c r="O36" s="296">
        <f>I32</f>
        <v>28.107012308305229</v>
      </c>
      <c r="P36" s="297">
        <f>L32</f>
        <v>26.716130845371442</v>
      </c>
      <c r="Q36" s="297">
        <f>P32</f>
        <v>22.458490923141749</v>
      </c>
      <c r="R36" s="30"/>
      <c r="S36" s="30"/>
      <c r="T36" s="30"/>
    </row>
    <row r="37" spans="2:24">
      <c r="C37" s="68" t="s">
        <v>66</v>
      </c>
      <c r="D37" s="75"/>
      <c r="E37" s="737">
        <f>'הנחות עבודה'!B41/'הנחות עבודה'!E37</f>
        <v>9.3025475958955219</v>
      </c>
      <c r="J37" s="301"/>
      <c r="K37" s="117" t="s">
        <v>244</v>
      </c>
      <c r="L37" s="297">
        <f>D32</f>
        <v>375.13777749988304</v>
      </c>
      <c r="M37" s="297">
        <f>G32</f>
        <v>404.47011459294049</v>
      </c>
      <c r="N37" s="297">
        <f>U32</f>
        <v>364.87871620136332</v>
      </c>
      <c r="O37" s="297">
        <f>J32</f>
        <v>471.47565467173183</v>
      </c>
      <c r="P37" s="297">
        <f>M32</f>
        <v>453.00719302670916</v>
      </c>
      <c r="Q37" s="297">
        <f>Q32</f>
        <v>455.24514974147058</v>
      </c>
      <c r="R37" s="30"/>
      <c r="S37" s="30"/>
      <c r="T37" s="30"/>
    </row>
    <row r="38" spans="2:24">
      <c r="B38" s="67"/>
      <c r="C38" s="34" t="s">
        <v>60</v>
      </c>
      <c r="D38" s="18"/>
      <c r="E38" s="53">
        <f>'הנחות עבודה'!B42</f>
        <v>23.8</v>
      </c>
      <c r="I38" s="2"/>
      <c r="J38" s="301"/>
    </row>
    <row r="39" spans="2:24">
      <c r="C39" s="68" t="s">
        <v>129</v>
      </c>
      <c r="D39" s="75"/>
      <c r="E39" s="737">
        <f>E37/E38</f>
        <v>0.39086334436535808</v>
      </c>
      <c r="I39" s="3"/>
      <c r="J39" s="301"/>
    </row>
    <row r="40" spans="2:24">
      <c r="C40" s="68"/>
      <c r="D40" s="75"/>
      <c r="E40" s="69"/>
    </row>
    <row r="41" spans="2:24">
      <c r="C41" s="999" t="s">
        <v>67</v>
      </c>
      <c r="D41" s="1000"/>
      <c r="E41" s="1001"/>
      <c r="L41" s="5"/>
      <c r="N41" s="111"/>
      <c r="O41" s="111"/>
      <c r="P41" s="111"/>
    </row>
    <row r="42" spans="2:24">
      <c r="C42" s="68" t="s">
        <v>68</v>
      </c>
      <c r="D42" s="75"/>
      <c r="E42" s="738">
        <f>'הנחות עבודה'!E40</f>
        <v>9.3434840070774037</v>
      </c>
      <c r="I42" s="2"/>
      <c r="L42" s="5"/>
      <c r="N42" s="111"/>
      <c r="O42" s="111"/>
      <c r="P42" s="111"/>
    </row>
    <row r="43" spans="2:24">
      <c r="C43" s="68" t="s">
        <v>9</v>
      </c>
      <c r="D43" s="75"/>
      <c r="E43" s="70">
        <f>'הנחות עבודה'!B43</f>
        <v>35971223.02158273</v>
      </c>
    </row>
    <row r="44" spans="2:24">
      <c r="C44" s="68" t="s">
        <v>69</v>
      </c>
      <c r="D44" s="75"/>
      <c r="E44" s="70">
        <f>E43/E42</f>
        <v>3849872.5950978915</v>
      </c>
    </row>
    <row r="45" spans="2:24">
      <c r="C45" s="68"/>
      <c r="D45" s="75"/>
      <c r="E45" s="69"/>
    </row>
    <row r="46" spans="2:24">
      <c r="C46" s="999" t="s">
        <v>425</v>
      </c>
      <c r="D46" s="1000"/>
      <c r="E46" s="1001"/>
      <c r="F46" s="15"/>
      <c r="G46" s="15"/>
      <c r="H46" s="15"/>
    </row>
    <row r="47" spans="2:24">
      <c r="C47" s="68" t="s">
        <v>424</v>
      </c>
      <c r="D47" s="75"/>
      <c r="E47" s="738">
        <f>'הנחות עבודה'!B41/'הנחות עבודה'!E41</f>
        <v>7.3903141637633283</v>
      </c>
      <c r="F47" s="15"/>
      <c r="G47" s="15"/>
      <c r="H47" s="15"/>
    </row>
    <row r="48" spans="2:24">
      <c r="C48" s="71" t="s">
        <v>69</v>
      </c>
      <c r="D48" s="77"/>
      <c r="E48" s="73">
        <f>E56/E47</f>
        <v>4867346.9387755105</v>
      </c>
      <c r="F48" s="15"/>
      <c r="G48" s="15"/>
      <c r="H48" s="15"/>
    </row>
    <row r="49" spans="3:8">
      <c r="C49" s="999" t="s">
        <v>427</v>
      </c>
      <c r="D49" s="1000"/>
      <c r="E49" s="1001"/>
      <c r="F49" s="15"/>
      <c r="G49" s="15"/>
      <c r="H49" s="15"/>
    </row>
    <row r="50" spans="3:8">
      <c r="C50" s="68" t="s">
        <v>424</v>
      </c>
      <c r="D50" s="77"/>
      <c r="E50" s="763">
        <f>'הנחות עבודה'!B41/'הנחות עבודה'!E30</f>
        <v>6.2869346433576192</v>
      </c>
      <c r="F50" s="15"/>
      <c r="G50" s="15"/>
      <c r="H50" s="15"/>
    </row>
    <row r="51" spans="3:8">
      <c r="C51" s="71" t="s">
        <v>69</v>
      </c>
      <c r="D51" s="77"/>
      <c r="E51" s="73">
        <f>E56/E50</f>
        <v>5721583.7386806095</v>
      </c>
      <c r="F51" s="15"/>
      <c r="G51" s="15"/>
      <c r="H51" s="15"/>
    </row>
    <row r="52" spans="3:8">
      <c r="C52" s="999" t="s">
        <v>426</v>
      </c>
      <c r="D52" s="1000"/>
      <c r="E52" s="1001"/>
    </row>
    <row r="53" spans="3:8">
      <c r="C53" s="68" t="s">
        <v>424</v>
      </c>
      <c r="D53" s="9"/>
      <c r="E53" s="86">
        <f>'הנחות עבודה'!B41/'הנחות עבודה'!E33</f>
        <v>9.080124670342844</v>
      </c>
    </row>
    <row r="54" spans="3:8">
      <c r="C54" s="71" t="s">
        <v>69</v>
      </c>
      <c r="D54" s="9"/>
      <c r="E54" s="739">
        <f>E56/E53</f>
        <v>3961534.0457902043</v>
      </c>
    </row>
    <row r="55" spans="3:8" ht="16" thickBot="1">
      <c r="C55" s="74"/>
      <c r="D55" s="32"/>
      <c r="E55" s="740"/>
    </row>
    <row r="56" spans="3:8" ht="16" thickBot="1">
      <c r="C56" s="156" t="s">
        <v>9</v>
      </c>
      <c r="D56" s="735"/>
      <c r="E56" s="736">
        <f>E43</f>
        <v>35971223.02158273</v>
      </c>
    </row>
    <row r="62" spans="3:8">
      <c r="C62" s="15"/>
      <c r="D62" s="15"/>
      <c r="E62" s="23"/>
    </row>
    <row r="63" spans="3:8">
      <c r="C63" s="15"/>
      <c r="D63" s="15"/>
      <c r="E63" s="23"/>
    </row>
    <row r="64" spans="3:8">
      <c r="C64" s="15"/>
      <c r="D64" s="15"/>
      <c r="E64" s="15"/>
    </row>
    <row r="65" spans="3:5">
      <c r="C65" s="15"/>
      <c r="D65" s="15"/>
      <c r="E65" s="15"/>
    </row>
    <row r="66" spans="3:5">
      <c r="C66" s="15"/>
      <c r="D66" s="15"/>
      <c r="E66" s="15"/>
    </row>
    <row r="67" spans="3:5">
      <c r="C67" s="15"/>
      <c r="D67" s="15"/>
      <c r="E67" s="23"/>
    </row>
  </sheetData>
  <mergeCells count="15">
    <mergeCell ref="B31:B32"/>
    <mergeCell ref="J32:K32"/>
    <mergeCell ref="I2:K2"/>
    <mergeCell ref="L2:O2"/>
    <mergeCell ref="P2:S2"/>
    <mergeCell ref="T2:U2"/>
    <mergeCell ref="C49:E49"/>
    <mergeCell ref="C52:E52"/>
    <mergeCell ref="K34:Q34"/>
    <mergeCell ref="C2:E2"/>
    <mergeCell ref="C36:E36"/>
    <mergeCell ref="C41:E41"/>
    <mergeCell ref="C46:E46"/>
    <mergeCell ref="C35:E35"/>
    <mergeCell ref="F2:H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AP67"/>
  <sheetViews>
    <sheetView rightToLeft="1" topLeftCell="B1" zoomScale="94" zoomScaleNormal="70" workbookViewId="0">
      <selection activeCell="R38" sqref="R38"/>
    </sheetView>
  </sheetViews>
  <sheetFormatPr baseColWidth="10" defaultColWidth="8.83203125" defaultRowHeight="15"/>
  <cols>
    <col min="1" max="1" width="40.33203125" customWidth="1"/>
    <col min="2" max="3" width="17.1640625" customWidth="1"/>
    <col min="4" max="4" width="11" bestFit="1" customWidth="1"/>
    <col min="5" max="5" width="8.1640625" customWidth="1"/>
    <col min="22" max="24" width="30.83203125" customWidth="1"/>
    <col min="25" max="25" width="26.33203125" customWidth="1"/>
    <col min="26" max="26" width="16.6640625" customWidth="1"/>
    <col min="27" max="27" width="21.1640625" customWidth="1"/>
    <col min="28" max="28" width="13.1640625" bestFit="1" customWidth="1"/>
  </cols>
  <sheetData>
    <row r="1" spans="1:42" ht="30" thickBot="1">
      <c r="A1" s="225" t="s">
        <v>199</v>
      </c>
      <c r="B1" s="225" t="s">
        <v>354</v>
      </c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  <c r="AK1" s="226"/>
      <c r="AL1" s="226"/>
      <c r="AM1" s="226"/>
      <c r="AN1" s="226"/>
      <c r="AO1" s="226"/>
      <c r="AP1" s="226"/>
    </row>
    <row r="2" spans="1:42" ht="16" thickBot="1">
      <c r="A2" s="1037" t="s">
        <v>35</v>
      </c>
      <c r="B2" s="1038"/>
      <c r="C2" s="1038"/>
      <c r="D2" s="1038"/>
      <c r="E2" s="1038"/>
      <c r="F2" s="1008"/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961"/>
      <c r="S2" s="853" t="s">
        <v>12</v>
      </c>
      <c r="T2" s="549"/>
    </row>
    <row r="3" spans="1:42" ht="16" thickBot="1">
      <c r="A3" s="66"/>
      <c r="B3" s="1043" t="s">
        <v>135</v>
      </c>
      <c r="C3" s="1043"/>
      <c r="D3" s="1043" t="s">
        <v>136</v>
      </c>
      <c r="E3" s="1051"/>
      <c r="F3" s="1040" t="s">
        <v>4</v>
      </c>
      <c r="G3" s="1041"/>
      <c r="H3" s="1042"/>
      <c r="I3" s="1040" t="s">
        <v>29</v>
      </c>
      <c r="J3" s="1041"/>
      <c r="K3" s="1041"/>
      <c r="L3" s="1042"/>
      <c r="M3" s="1057" t="s">
        <v>30</v>
      </c>
      <c r="N3" s="1058"/>
      <c r="O3" s="1058"/>
      <c r="P3" s="1059"/>
      <c r="Q3" s="1055">
        <v>0.25</v>
      </c>
      <c r="R3" s="1056"/>
      <c r="S3" s="854">
        <f>'הנחות עבודה'!B37</f>
        <v>0.04</v>
      </c>
      <c r="T3" s="852"/>
      <c r="V3" s="1037" t="s">
        <v>58</v>
      </c>
      <c r="W3" s="1038"/>
      <c r="X3" s="1038"/>
      <c r="Y3" s="1038"/>
      <c r="Z3" s="1038"/>
      <c r="AA3" s="1038"/>
      <c r="AB3" s="1038"/>
      <c r="AC3" s="1038"/>
      <c r="AD3" s="1038"/>
      <c r="AE3" s="1039"/>
    </row>
    <row r="4" spans="1:42" ht="33" thickBot="1">
      <c r="A4" s="66" t="s">
        <v>6</v>
      </c>
      <c r="B4" s="66" t="s">
        <v>0</v>
      </c>
      <c r="C4" s="335" t="str">
        <f>E4</f>
        <v>מתקני גז קיימים</v>
      </c>
      <c r="D4" s="66" t="s">
        <v>0</v>
      </c>
      <c r="E4" s="649" t="str">
        <f>H4</f>
        <v>מתקני גז קיימים</v>
      </c>
      <c r="F4" s="650" t="s">
        <v>0</v>
      </c>
      <c r="G4" s="284" t="s">
        <v>16</v>
      </c>
      <c r="H4" s="462" t="str">
        <f>J4</f>
        <v>מתקני גז קיימים</v>
      </c>
      <c r="I4" s="642" t="s">
        <v>0</v>
      </c>
      <c r="J4" s="643" t="s">
        <v>433</v>
      </c>
      <c r="K4" s="643" t="s">
        <v>434</v>
      </c>
      <c r="L4" s="643" t="s">
        <v>435</v>
      </c>
      <c r="M4" s="644" t="s">
        <v>0</v>
      </c>
      <c r="N4" s="645" t="str">
        <f>J4</f>
        <v>מתקני גז קיימים</v>
      </c>
      <c r="O4" s="645" t="s">
        <v>434</v>
      </c>
      <c r="P4" s="646" t="s">
        <v>435</v>
      </c>
      <c r="Q4" s="336" t="s">
        <v>0</v>
      </c>
      <c r="R4" s="649" t="str">
        <f>C4</f>
        <v>מתקני גז קיימים</v>
      </c>
      <c r="S4" s="515" t="s">
        <v>384</v>
      </c>
      <c r="T4" s="18"/>
      <c r="V4" s="8"/>
      <c r="W4" s="40">
        <v>2015</v>
      </c>
      <c r="X4" s="101">
        <v>2018</v>
      </c>
      <c r="Y4" s="101"/>
      <c r="Z4" s="101" t="s">
        <v>92</v>
      </c>
      <c r="AA4" s="101" t="s">
        <v>128</v>
      </c>
      <c r="AB4" s="102" t="str">
        <f>Q40</f>
        <v xml:space="preserve">25% מתחדשות </v>
      </c>
      <c r="AC4" s="101" t="str">
        <f>F40</f>
        <v>הסבה</v>
      </c>
      <c r="AD4" s="101" t="str">
        <f>I40</f>
        <v>שימור</v>
      </c>
      <c r="AE4" s="101" t="str">
        <f>M40</f>
        <v>גריטה</v>
      </c>
    </row>
    <row r="5" spans="1:42" ht="16" thickBot="1">
      <c r="A5" s="8">
        <v>2020</v>
      </c>
      <c r="B5" s="60">
        <f>$B$58*'תמהיל יצור'!H4/10^3</f>
        <v>18.050909090909087</v>
      </c>
      <c r="C5" s="26">
        <f>$B$60*'תמהיל יצור'!I4/10^3</f>
        <v>17.218695049586778</v>
      </c>
      <c r="D5" s="60">
        <f>$B$58*'תמהיל יצור'!L4/10^3</f>
        <v>12.734545454545454</v>
      </c>
      <c r="E5" s="26">
        <f>$B$60*'תמהיל יצור'!M4/10^3</f>
        <v>19.502314884297515</v>
      </c>
      <c r="F5" s="60">
        <f>$B$58*('תמהיל יצור'!P4+'תמהיל יצור'!Q4)/10^3</f>
        <v>12.734545454545454</v>
      </c>
      <c r="G5" s="25">
        <f>$B$59*'תמהיל יצור'!R4/10^3</f>
        <v>0</v>
      </c>
      <c r="H5" s="26">
        <f>$B$60*'תמהיל יצור'!S4/10^3</f>
        <v>19.502314884297515</v>
      </c>
      <c r="I5" s="60">
        <f>$B$58*('תמהיל יצור'!V4+'תמהיל יצור'!W4)/10^3</f>
        <v>12.734545454545454</v>
      </c>
      <c r="J5" s="25">
        <f>$B$60*'תמהיל יצור'!X4/10^3</f>
        <v>19.502314884297519</v>
      </c>
      <c r="K5" s="25">
        <f>$B$61*'תמהיל יצור'!Y4/10^3</f>
        <v>0</v>
      </c>
      <c r="L5" s="25">
        <f>$B$62*'תמהיל יצור'!Z4/10^3</f>
        <v>0</v>
      </c>
      <c r="M5" s="647">
        <f>$B$58*'תמהיל יצור'!AC4/10^3</f>
        <v>12.734545454545454</v>
      </c>
      <c r="N5" s="25">
        <f>$B$60*'תמהיל יצור'!AD4/10^3</f>
        <v>19.502314884297515</v>
      </c>
      <c r="O5" s="25">
        <f>$B$61*'תמהיל יצור'!AE4/10^3</f>
        <v>0</v>
      </c>
      <c r="P5" s="648">
        <f>$B$62*'תמהיל יצור'!AF4/10^3</f>
        <v>0</v>
      </c>
      <c r="Q5" s="25">
        <f>$B$58*'תמהיל יצור'!AK4/10^3</f>
        <v>12.734545454545454</v>
      </c>
      <c r="R5" s="26">
        <f>$B$60*'תמהיל יצור'!AL4/10^3</f>
        <v>19.502314884297519</v>
      </c>
      <c r="S5" s="509">
        <f t="shared" ref="S5:S24" si="0">1/((1+$S$3)^($A5-2019))</f>
        <v>0.96153846153846145</v>
      </c>
      <c r="V5" s="63" t="str">
        <f>A42</f>
        <v>פליטות לקוט"ש  לתקופה(גר'/קוטש)</v>
      </c>
      <c r="W5" s="18">
        <f>B66</f>
        <v>634</v>
      </c>
      <c r="X5" s="18">
        <f>B67</f>
        <v>526</v>
      </c>
      <c r="Y5" s="28"/>
      <c r="Z5" s="28">
        <f>B42</f>
        <v>407.26013143968441</v>
      </c>
      <c r="AA5" s="28">
        <f>D42</f>
        <v>381.12378564811229</v>
      </c>
      <c r="AB5" s="28">
        <f>Q42</f>
        <v>354.56017388433003</v>
      </c>
      <c r="AC5" s="28">
        <f>F42</f>
        <v>339.10875705514616</v>
      </c>
      <c r="AD5" s="28">
        <f>I42</f>
        <v>327.42606748103844</v>
      </c>
      <c r="AE5" s="29">
        <f>M42</f>
        <v>325.431953940818</v>
      </c>
    </row>
    <row r="6" spans="1:42" ht="16" thickBot="1">
      <c r="A6" s="8">
        <v>2021</v>
      </c>
      <c r="B6" s="60">
        <f>$B$58*'תמהיל יצור'!H5/10^3</f>
        <v>18.050909090909087</v>
      </c>
      <c r="C6" s="26">
        <f>$B$60*'תמהיל יצור'!I5/10^3</f>
        <v>17.340891109586781</v>
      </c>
      <c r="D6" s="60">
        <f>$B$58*'תמהיל יצור'!L5/10^3</f>
        <v>12.734545454545454</v>
      </c>
      <c r="E6" s="26">
        <f>$B$60*'תמהיל יצור'!M5/10^3</f>
        <v>19.624510944297523</v>
      </c>
      <c r="F6" s="60">
        <f>$B$58*('תמהיל יצור'!P5+'תמהיל יצור'!Q5)/10^3</f>
        <v>12.734545454545454</v>
      </c>
      <c r="G6" s="25">
        <f>$B$59*'תמהיל יצור'!R5/10^3</f>
        <v>0</v>
      </c>
      <c r="H6" s="26">
        <f>$B$60*'תמהיל יצור'!S5/10^3</f>
        <v>19.624510944297523</v>
      </c>
      <c r="I6" s="60">
        <f>$B$58*('תמהיל יצור'!V5+'תמהיל יצור'!W5)/10^3</f>
        <v>12.734545454545454</v>
      </c>
      <c r="J6" s="25">
        <f>$B$60*'תמהיל יצור'!X5/10^3</f>
        <v>19.624510944297523</v>
      </c>
      <c r="K6" s="25">
        <f>$B$61*'תמהיל יצור'!Y5/10^3</f>
        <v>0</v>
      </c>
      <c r="L6" s="25">
        <f>$B$62*'תמהיל יצור'!Z5/10^3</f>
        <v>0</v>
      </c>
      <c r="M6" s="647">
        <f>$B$58*'תמהיל יצור'!AC5/10^3</f>
        <v>12.734545454545454</v>
      </c>
      <c r="N6" s="25">
        <f>$B$60*'תמהיל יצור'!AD5/10^3</f>
        <v>19.624510944297523</v>
      </c>
      <c r="O6" s="25">
        <f>$B$61*'תמהיל יצור'!AE5/10^3</f>
        <v>0</v>
      </c>
      <c r="P6" s="648">
        <f>$B$62*'תמהיל יצור'!AF5/10^3</f>
        <v>0</v>
      </c>
      <c r="Q6" s="25">
        <f>$B$58*'תמהיל יצור'!AK5/10^3</f>
        <v>12.734545454545454</v>
      </c>
      <c r="R6" s="26">
        <f>$B$60*'תמהיל יצור'!AL5/10^3</f>
        <v>19.624510944297523</v>
      </c>
      <c r="S6" s="509">
        <f t="shared" si="0"/>
        <v>0.92455621301775137</v>
      </c>
      <c r="T6" s="25"/>
      <c r="V6" s="101" t="str">
        <f>A48</f>
        <v>פליטות לנפש 2030</v>
      </c>
      <c r="W6" s="105">
        <v>4.95</v>
      </c>
      <c r="X6" s="105">
        <v>4.21</v>
      </c>
      <c r="Y6" s="103"/>
      <c r="Z6" s="103">
        <f>B48</f>
        <v>3.6668407801343252</v>
      </c>
      <c r="AA6" s="103">
        <f>D48</f>
        <v>3.3936206178232533</v>
      </c>
      <c r="AB6" s="103">
        <f>Q48</f>
        <v>3.1296049050782613</v>
      </c>
      <c r="AC6" s="103">
        <f>F48</f>
        <v>2.8725277505758413</v>
      </c>
      <c r="AD6" s="103">
        <f>I48</f>
        <v>2.7214988837667775</v>
      </c>
      <c r="AE6" s="104">
        <f>M48</f>
        <v>2.6946350999829933</v>
      </c>
    </row>
    <row r="7" spans="1:42" ht="16" thickBot="1">
      <c r="A7" s="8">
        <v>2022</v>
      </c>
      <c r="B7" s="60">
        <f>$B$58*'תמהיל יצור'!H6/10^3</f>
        <v>18.050909090909087</v>
      </c>
      <c r="C7" s="26">
        <f>$B$60*'תמהיל יצור'!I6/10^3</f>
        <v>18.160410229586777</v>
      </c>
      <c r="D7" s="60">
        <f>$B$58*'תמהיל יצור'!L6/10^3</f>
        <v>12.734545454545454</v>
      </c>
      <c r="E7" s="26">
        <f>$B$60*'תמהיל יצור'!M6/10^3</f>
        <v>20.444030064297515</v>
      </c>
      <c r="F7" s="60">
        <f>$B$58*('תמהיל יצור'!P6+'תמהיל יצור'!Q6)/10^3</f>
        <v>8.6460433155080203</v>
      </c>
      <c r="G7" s="25">
        <f>$B$59*'תמהיל יצור'!R6/10^3</f>
        <v>1.8560429752066119</v>
      </c>
      <c r="H7" s="26">
        <f>$B$60*'תמהיל יצור'!S6/10^3</f>
        <v>20.720092036830334</v>
      </c>
      <c r="I7" s="60">
        <f>$B$58*('תמהיל יצור'!V6+'תמהיל יצור'!W6)/10^3</f>
        <v>8.4272727272727277</v>
      </c>
      <c r="J7" s="25">
        <f>$B$60*'תמהיל יצור'!X6/10^3</f>
        <v>22.294199485785125</v>
      </c>
      <c r="K7" s="25">
        <f>$B$61*'תמהיל יצור'!Y6/10^3</f>
        <v>0</v>
      </c>
      <c r="L7" s="25">
        <f>$B$62*'תמהיל יצור'!Z6/10^3</f>
        <v>0</v>
      </c>
      <c r="M7" s="647">
        <f>$B$58*'תמהיל יצור'!AC6/10^3</f>
        <v>8.4272727272727277</v>
      </c>
      <c r="N7" s="25">
        <f>$B$60*'תמהיל יצור'!AD6/10^3</f>
        <v>22.294199485785125</v>
      </c>
      <c r="O7" s="25">
        <f>$B$61*'תמהיל יצור'!AE6/10^3</f>
        <v>0</v>
      </c>
      <c r="P7" s="648">
        <f>$B$62*'תמהיל יצור'!AF6/10^3</f>
        <v>0</v>
      </c>
      <c r="Q7" s="25">
        <f>$B$58*'תמהיל יצור'!AK6/10^3</f>
        <v>12.734545454545454</v>
      </c>
      <c r="R7" s="26">
        <f>$B$60*'תמהיל יצור'!AL6/10^3</f>
        <v>20.444030064297515</v>
      </c>
      <c r="S7" s="509">
        <f t="shared" si="0"/>
        <v>0.88899635867091487</v>
      </c>
      <c r="T7" s="25"/>
      <c r="V7" s="101" t="s">
        <v>100</v>
      </c>
      <c r="W7" s="103">
        <v>3.85</v>
      </c>
      <c r="X7" s="103">
        <v>3.85</v>
      </c>
      <c r="Y7" s="103">
        <v>3.85</v>
      </c>
      <c r="Z7" s="103">
        <v>3.85</v>
      </c>
      <c r="AA7" s="103">
        <v>3.85</v>
      </c>
      <c r="AB7" s="103">
        <v>3.85</v>
      </c>
      <c r="AC7" s="103">
        <v>3.85</v>
      </c>
      <c r="AD7" s="103">
        <v>3.85</v>
      </c>
      <c r="AE7" s="104">
        <v>3.85</v>
      </c>
    </row>
    <row r="8" spans="1:42">
      <c r="A8" s="8">
        <v>2023</v>
      </c>
      <c r="B8" s="60">
        <f>$B$58*'תמהיל יצור'!H7/10^3</f>
        <v>18.050909090909087</v>
      </c>
      <c r="C8" s="26">
        <f>$B$60*'תמהיל יצור'!I7/10^3</f>
        <v>18.705830209586775</v>
      </c>
      <c r="D8" s="60">
        <f>$B$58*'תמהיל יצור'!L7/10^3</f>
        <v>12.734545454545454</v>
      </c>
      <c r="E8" s="26">
        <f>$B$60*'תמהיל יצור'!M7/10^3</f>
        <v>20.98945004429752</v>
      </c>
      <c r="F8" s="60">
        <f>$B$58*('תמהיל יצור'!P7+'תמהיל יצור'!Q7)/10^3</f>
        <v>8.6460433155080203</v>
      </c>
      <c r="G8" s="25">
        <f>$B$59*'תמהיל יצור'!R7/10^3</f>
        <v>1.8560429752066119</v>
      </c>
      <c r="H8" s="26">
        <f>$B$60*'תמהיל יצור'!S7/10^3</f>
        <v>21.265512016830332</v>
      </c>
      <c r="I8" s="60">
        <f>$B$58*('תמהיל יצור'!V7+'תמהיל יצור'!W7)/10^3</f>
        <v>8.4272727272727277</v>
      </c>
      <c r="J8" s="25">
        <f>$B$60*'תמהיל יצור'!X7/10^3</f>
        <v>22.839619465785127</v>
      </c>
      <c r="K8" s="25">
        <f>$B$61*'תמהיל יצור'!Y7/10^3</f>
        <v>0</v>
      </c>
      <c r="L8" s="25">
        <f>$B$62*'תמהיל יצור'!Z7/10^3</f>
        <v>0</v>
      </c>
      <c r="M8" s="647">
        <f>$B$58*'תמהיל יצור'!AC7/10^3</f>
        <v>8.4272727272727277</v>
      </c>
      <c r="N8" s="25">
        <f>$B$60*'תמהיל יצור'!AD7/10^3</f>
        <v>22.839619465785123</v>
      </c>
      <c r="O8" s="25">
        <f>$B$61*'תמהיל יצור'!AE7/10^3</f>
        <v>0</v>
      </c>
      <c r="P8" s="648">
        <f>$B$62*'תמהיל יצור'!AF7/10^3</f>
        <v>0</v>
      </c>
      <c r="Q8" s="25">
        <f>$B$58*'תמהיל יצור'!AK7/10^3</f>
        <v>12.734545454545454</v>
      </c>
      <c r="R8" s="26">
        <f>$B$60*'תמהיל יצור'!AL7/10^3</f>
        <v>20.388097404297522</v>
      </c>
      <c r="S8" s="509">
        <f t="shared" si="0"/>
        <v>0.85480419102972571</v>
      </c>
      <c r="T8" s="25"/>
    </row>
    <row r="9" spans="1:42">
      <c r="A9" s="8">
        <v>2024</v>
      </c>
      <c r="B9" s="60">
        <f>$B$58*'תמהיל יצור'!H8/10^3</f>
        <v>18.050909090909087</v>
      </c>
      <c r="C9" s="26">
        <f>$B$60*'תמהיל יצור'!I8/10^3</f>
        <v>19.570028929586776</v>
      </c>
      <c r="D9" s="60">
        <f>$B$58*'תמהיל יצור'!L8/10^3</f>
        <v>12.734545454545454</v>
      </c>
      <c r="E9" s="26">
        <f>$B$60*'תמהיל יצור'!M8/10^3</f>
        <v>21.853648764297517</v>
      </c>
      <c r="F9" s="60">
        <f>$B$58*('תמהיל יצור'!P8+'תמהיל יצור'!Q8)/10^3</f>
        <v>4.557541176470588</v>
      </c>
      <c r="G9" s="25">
        <f>$B$59*'תמהיל יצור'!R8/10^3</f>
        <v>3.7120859504132238</v>
      </c>
      <c r="H9" s="26">
        <f>$B$60*'תמהיל יצור'!S8/10^3</f>
        <v>22.405772709363148</v>
      </c>
      <c r="I9" s="60">
        <f>$B$58*('תמהיל יצור'!V8+'תמהיל יצור'!W8)/10^3</f>
        <v>4.2968023529411763</v>
      </c>
      <c r="J9" s="25">
        <f>$B$60*'תמהיל יצור'!X8/10^3</f>
        <v>23.287532960213902</v>
      </c>
      <c r="K9" s="25">
        <f>$B$61*'תמהיל יצור'!Y8/10^3</f>
        <v>1.7175182448169026</v>
      </c>
      <c r="L9" s="25">
        <f>$B$62*'תמהיל יצור'!Z8/10^3</f>
        <v>0.30823845212179335</v>
      </c>
      <c r="M9" s="647">
        <f>$B$58*'תמהיל יצור'!AC8/10^3</f>
        <v>4.12</v>
      </c>
      <c r="N9" s="25">
        <f>$B$60*'תמהיל יצור'!AD8/10^3</f>
        <v>23.363477607272724</v>
      </c>
      <c r="O9" s="25">
        <f>$B$61*'תמהיל יצור'!AE8/10^3</f>
        <v>1.7175182448169026</v>
      </c>
      <c r="P9" s="648">
        <f>$B$62*'תמהיל יצור'!AF8/10^3</f>
        <v>0.30823845212179335</v>
      </c>
      <c r="Q9" s="25">
        <f>$B$58*'תמהיל יצור'!AK8/10^3</f>
        <v>12.734545454545454</v>
      </c>
      <c r="R9" s="26">
        <f>$B$60*'תמהיל יצור'!AL8/10^3</f>
        <v>20.61166172429752</v>
      </c>
      <c r="S9" s="509">
        <f t="shared" si="0"/>
        <v>0.82192710675935154</v>
      </c>
      <c r="T9" s="25"/>
    </row>
    <row r="10" spans="1:42">
      <c r="A10" s="8">
        <v>2025</v>
      </c>
      <c r="B10" s="60">
        <f>$B$58*'תמהיל יצור'!H9/10^3</f>
        <v>18.050909090909087</v>
      </c>
      <c r="C10" s="26">
        <f>$B$60*'תמהיל יצור'!I9/10^3</f>
        <v>20.141534689586781</v>
      </c>
      <c r="D10" s="60">
        <f>$B$58*'תמהיל יצור'!L9/10^3</f>
        <v>12.734545454545454</v>
      </c>
      <c r="E10" s="26">
        <f>$B$60*'תמהיל יצור'!M9/10^3</f>
        <v>22.425154524297518</v>
      </c>
      <c r="F10" s="60">
        <f>$B$58*('תמהיל יצור'!P9+'תמהיל יצור'!Q9)/10^3</f>
        <v>4.557541176470588</v>
      </c>
      <c r="G10" s="25">
        <f>$B$59*'תמהיל יצור'!R9/10^3</f>
        <v>3.7120859504132238</v>
      </c>
      <c r="H10" s="26">
        <f>$B$60*'תמהיל יצור'!S9/10^3</f>
        <v>22.977278469363149</v>
      </c>
      <c r="I10" s="60">
        <f>$B$58*('תמהיל יצור'!V9+'תמהיל יצור'!W9)/10^3</f>
        <v>4.2968023529411763</v>
      </c>
      <c r="J10" s="25">
        <f>$B$60*'תמהיל יצור'!X9/10^3</f>
        <v>23.859038720213903</v>
      </c>
      <c r="K10" s="25">
        <f>$B$61*'תמהיל יצור'!Y9/10^3</f>
        <v>1.7175182448169026</v>
      </c>
      <c r="L10" s="25">
        <f>$B$62*'תמהיל יצור'!Z9/10^3</f>
        <v>0.30823845212179335</v>
      </c>
      <c r="M10" s="647">
        <f>$B$58*'תמהיל יצור'!AC9/10^3</f>
        <v>4.12</v>
      </c>
      <c r="N10" s="25">
        <f>$B$60*'תמהיל יצור'!AD9/10^3</f>
        <v>23.934983367272725</v>
      </c>
      <c r="O10" s="25">
        <f>$B$61*'תמהיל יצור'!AE9/10^3</f>
        <v>1.7175182448169026</v>
      </c>
      <c r="P10" s="648">
        <f>$B$62*'תמהיל יצור'!AF9/10^3</f>
        <v>0.30823845212179335</v>
      </c>
      <c r="Q10" s="25">
        <f>$B$58*'תמהיל יצור'!AK9/10^3</f>
        <v>12.734545454545454</v>
      </c>
      <c r="R10" s="26">
        <f>$B$60*'תמהיל יצור'!AL9/10^3</f>
        <v>20.82198092429752</v>
      </c>
      <c r="S10" s="509">
        <f t="shared" si="0"/>
        <v>0.79031452573014571</v>
      </c>
      <c r="T10" s="25"/>
    </row>
    <row r="11" spans="1:42">
      <c r="A11" s="8">
        <v>2026</v>
      </c>
      <c r="B11" s="60">
        <f>$B$58*'תמהיל יצור'!H10/10^3</f>
        <v>18.050909090909087</v>
      </c>
      <c r="C11" s="26">
        <f>$B$60*'תמהיל יצור'!I10/10^3</f>
        <v>20.894705646866775</v>
      </c>
      <c r="D11" s="60">
        <f>$B$58*'תמהיל יצור'!L10/10^3</f>
        <v>12.734545454545454</v>
      </c>
      <c r="E11" s="26">
        <f>$B$60*'תמהיל יצור'!M10/10^3</f>
        <v>23.178325481577517</v>
      </c>
      <c r="F11" s="60">
        <f>$B$58*('תמהיל יצור'!P10+'תמהיל יצור'!Q10)/10^3</f>
        <v>0.64679999999999993</v>
      </c>
      <c r="G11" s="25">
        <f>$B$59*'תמהיל יצור'!R10/10^3</f>
        <v>5.4874314049586781</v>
      </c>
      <c r="H11" s="26">
        <f>$B$60*'תמהיל יצור'!S10/10^3</f>
        <v>23.994508704718012</v>
      </c>
      <c r="I11" s="60">
        <f>$B$58*('תמהיל יצור'!V10+'תמהיל יצור'!W10)/10^3</f>
        <v>0.35360470588235288</v>
      </c>
      <c r="J11" s="25">
        <f>$B$60*'תמהיל יצור'!X10/10^3</f>
        <v>24.115482303162349</v>
      </c>
      <c r="K11" s="25">
        <f>$B$61*'תמהיל יצור'!Y10/10^3</f>
        <v>3.4350364896338053</v>
      </c>
      <c r="L11" s="25">
        <f>$B$62*'תמהיל יצור'!Z10/10^3</f>
        <v>0.6164769042435867</v>
      </c>
      <c r="M11" s="647">
        <f>$B$58*'תמהיל יצור'!AC10/10^3</f>
        <v>0</v>
      </c>
      <c r="N11" s="25">
        <f>$B$60*'תמהיל יצור'!AD10/10^3</f>
        <v>24.267371597279993</v>
      </c>
      <c r="O11" s="25">
        <f>$B$61*'תמהיל יצור'!AE10/10^3</f>
        <v>3.4350364896338053</v>
      </c>
      <c r="P11" s="648">
        <f>$B$62*'תמהיל יצור'!AF10/10^3</f>
        <v>0.6164769042435867</v>
      </c>
      <c r="Q11" s="25">
        <f>$B$58*'תמהיל יצור'!AK10/10^3</f>
        <v>12.734545454545454</v>
      </c>
      <c r="R11" s="26">
        <f>$B$60*'תמהיל יצור'!AL10/10^3</f>
        <v>20.873282479497519</v>
      </c>
      <c r="S11" s="509">
        <f t="shared" si="0"/>
        <v>0.75991781320206331</v>
      </c>
      <c r="T11" s="25"/>
    </row>
    <row r="12" spans="1:42">
      <c r="A12" s="8">
        <v>2027</v>
      </c>
      <c r="B12" s="60">
        <f>$B$58*'תמהיל יצור'!H11/10^3</f>
        <v>18.050909090909087</v>
      </c>
      <c r="C12" s="26">
        <f>$B$60*'תמהיל יצור'!I11/10^3</f>
        <v>21.330029482402452</v>
      </c>
      <c r="D12" s="60">
        <f>$B$58*'תמהיל יצור'!L11/10^3</f>
        <v>12.734545454545454</v>
      </c>
      <c r="E12" s="26">
        <f>$B$60*'תמהיל יצור'!M11/10^3</f>
        <v>23.613649317113193</v>
      </c>
      <c r="F12" s="60">
        <f>$B$58*('תמהיל יצור'!P11+'תמהיל יצור'!Q11)/10^3</f>
        <v>0.64679999999999993</v>
      </c>
      <c r="G12" s="25">
        <f>$B$59*'תמהיל יצור'!R11/10^3</f>
        <v>5.4874314049586781</v>
      </c>
      <c r="H12" s="26">
        <f>$B$60*'תמהיל יצור'!S11/10^3</f>
        <v>24.429832540253692</v>
      </c>
      <c r="I12" s="60">
        <f>$B$58*('תמהיל יצור'!V11+'תמהיל יצור'!W11)/10^3</f>
        <v>0.35360470588235288</v>
      </c>
      <c r="J12" s="25">
        <f>$B$60*'תמהיל יצור'!X11/10^3</f>
        <v>24.550806138698022</v>
      </c>
      <c r="K12" s="25">
        <f>$B$61*'תמהיל יצור'!Y11/10^3</f>
        <v>3.4350364896338053</v>
      </c>
      <c r="L12" s="25">
        <f>$B$62*'תמהיל יצור'!Z11/10^3</f>
        <v>0.6164769042435867</v>
      </c>
      <c r="M12" s="647">
        <f>$B$58*'תמהיל יצור'!AC11/10^3</f>
        <v>0</v>
      </c>
      <c r="N12" s="25">
        <f>$B$60*'תמהיל יצור'!AD11/10^3</f>
        <v>24.702695432815673</v>
      </c>
      <c r="O12" s="25">
        <f>$B$61*'תמהיל יצור'!AE11/10^3</f>
        <v>3.4350364896338053</v>
      </c>
      <c r="P12" s="648">
        <f>$B$62*'תמהיל יצור'!AF11/10^3</f>
        <v>0.6164769042435867</v>
      </c>
      <c r="Q12" s="25">
        <f>$B$58*'תמהיל יצור'!AK11/10^3</f>
        <v>12.734545454545454</v>
      </c>
      <c r="R12" s="26">
        <f>$B$60*'תמהיל יצור'!AL11/10^3</f>
        <v>20.908187416386159</v>
      </c>
      <c r="S12" s="509">
        <f t="shared" si="0"/>
        <v>0.73069020500198378</v>
      </c>
      <c r="T12" s="25"/>
    </row>
    <row r="13" spans="1:42">
      <c r="A13" s="8">
        <v>2028</v>
      </c>
      <c r="B13" s="60">
        <f>$B$58*'תמהיל יצור'!H12/10^3</f>
        <v>18.050909090909087</v>
      </c>
      <c r="C13" s="26">
        <f>$B$60*'תמהיל יצור'!I12/10^3</f>
        <v>21.767976127582642</v>
      </c>
      <c r="D13" s="60">
        <f>$B$58*'תמהיל יצור'!L12/10^3</f>
        <v>12.734545454545454</v>
      </c>
      <c r="E13" s="26">
        <f>$B$60*'תמהיל יצור'!M12/10^3</f>
        <v>24.051595962293383</v>
      </c>
      <c r="F13" s="60">
        <f>$B$58*('תמהיל יצור'!P12+'תמהיל יצור'!Q12)/10^3</f>
        <v>0.64679999999999993</v>
      </c>
      <c r="G13" s="25">
        <f>$B$59*'תמהיל יצור'!R12/10^3</f>
        <v>5.4874314049586781</v>
      </c>
      <c r="H13" s="26">
        <f>$B$60*'תמהיל יצור'!S12/10^3</f>
        <v>24.867779185433879</v>
      </c>
      <c r="I13" s="60">
        <f>$B$58*('תמהיל יצור'!V12+'תמהיל יצור'!W12)/10^3</f>
        <v>0.52272000000000007</v>
      </c>
      <c r="J13" s="25">
        <f>$B$60*'תמהיל יצור'!X12/10^3</f>
        <v>22.725600077995864</v>
      </c>
      <c r="K13" s="25">
        <f>$B$61*'תמהיל יצור'!Y12/10^3</f>
        <v>5.1525547344507086</v>
      </c>
      <c r="L13" s="25">
        <f>$B$62*'תמהיל יצור'!Z12/10^3</f>
        <v>0.92471535636537994</v>
      </c>
      <c r="M13" s="647">
        <f>$B$58*'תמהיל יצור'!AC12/10^3</f>
        <v>0</v>
      </c>
      <c r="N13" s="25">
        <f>$B$60*'תמהיל יצור'!AD12/10^3</f>
        <v>22.950132077995864</v>
      </c>
      <c r="O13" s="25">
        <f>$B$61*'תמהיל יצור'!AE12/10^3</f>
        <v>5.1525547344507086</v>
      </c>
      <c r="P13" s="648">
        <f>$B$62*'תמהיל יצור'!AF12/10^3</f>
        <v>0.92471535636537994</v>
      </c>
      <c r="Q13" s="25">
        <f>$B$58*'תמהיל יצור'!AK12/10^3</f>
        <v>12.734545454545454</v>
      </c>
      <c r="R13" s="26">
        <f>$B$60*'תמהיל יצור'!AL12/10^3</f>
        <v>20.925772918740883</v>
      </c>
      <c r="S13" s="509">
        <f t="shared" si="0"/>
        <v>0.70258673557883045</v>
      </c>
      <c r="T13" s="25"/>
    </row>
    <row r="14" spans="1:42">
      <c r="A14" s="8">
        <v>2029</v>
      </c>
      <c r="B14" s="60">
        <f>$B$58*'תמהיל יצור'!H13/10^3</f>
        <v>18.050909090909087</v>
      </c>
      <c r="C14" s="26">
        <f>$B$60*'תמהיל יצור'!I13/10^3</f>
        <v>22.208369863052038</v>
      </c>
      <c r="D14" s="60">
        <f>$B$58*'תמהיל יצור'!L13/10^3</f>
        <v>12.734545454545454</v>
      </c>
      <c r="E14" s="26">
        <f>$B$60*'תמהיל יצור'!M13/10^3</f>
        <v>24.491989697762776</v>
      </c>
      <c r="F14" s="60">
        <f>$B$58*('תמהיל יצור'!P13+'תמהיל יצור'!Q13)/10^3</f>
        <v>0.64679999999999993</v>
      </c>
      <c r="G14" s="25">
        <f>$B$59*'תמהיל יצור'!R13/10^3</f>
        <v>5.4874314049586781</v>
      </c>
      <c r="H14" s="26">
        <f>$B$60*'תמהיל יצור'!S13/10^3</f>
        <v>25.308172920903274</v>
      </c>
      <c r="I14" s="60">
        <f>$B$58*('תמהיל יצור'!V13+'תמהיל יצור'!W13)/10^3</f>
        <v>0.52272000000000007</v>
      </c>
      <c r="J14" s="25">
        <f>$B$60*'תמהיל יצור'!X13/10^3</f>
        <v>23.165993813465256</v>
      </c>
      <c r="K14" s="25">
        <f>$B$61*'תמהיל יצור'!Y13/10^3</f>
        <v>5.1525547344507086</v>
      </c>
      <c r="L14" s="25">
        <f>$B$62*'תמהיל יצור'!Z13/10^3</f>
        <v>0.92471535636537994</v>
      </c>
      <c r="M14" s="647">
        <f>$B$58*'תמהיל יצור'!AC13/10^3</f>
        <v>0</v>
      </c>
      <c r="N14" s="25">
        <f>$B$60*'תמהיל יצור'!AD13/10^3</f>
        <v>23.390525813465253</v>
      </c>
      <c r="O14" s="25">
        <f>$B$61*'תמהיל יצור'!AE13/10^3</f>
        <v>5.1525547344507086</v>
      </c>
      <c r="P14" s="648">
        <f>$B$62*'תמהיל יצור'!AF13/10^3</f>
        <v>0.92471535636537994</v>
      </c>
      <c r="Q14" s="25">
        <f>$B$58*'תמהיל יצור'!AK13/10^3</f>
        <v>12.734545454545454</v>
      </c>
      <c r="R14" s="26">
        <f>$B$60*'תמהיל יצור'!AL13/10^3</f>
        <v>20.92507829139787</v>
      </c>
      <c r="S14" s="509">
        <f t="shared" si="0"/>
        <v>0.67556416882579851</v>
      </c>
      <c r="T14" s="25"/>
    </row>
    <row r="15" spans="1:42">
      <c r="A15" s="8">
        <v>2030</v>
      </c>
      <c r="B15" s="60">
        <f>$B$58*'תמהיל יצור'!H14/10^3</f>
        <v>18.050909090909087</v>
      </c>
      <c r="C15" s="26">
        <f>$B$60*'תמהיל יצור'!I14/10^3</f>
        <v>22.651023568581916</v>
      </c>
      <c r="D15" s="60">
        <f>$B$58*'תמהיל יצור'!L14/10^3</f>
        <v>12.734545454545454</v>
      </c>
      <c r="E15" s="26">
        <f>$B$60*'תמהיל יצור'!M14/10^3</f>
        <v>24.934643403292657</v>
      </c>
      <c r="F15" s="60">
        <f>$B$58*('תמהיל יצור'!P14+'תמהיל יצור'!Q14)/10^3</f>
        <v>0.64679999999999993</v>
      </c>
      <c r="G15" s="25">
        <f>$B$59*'תמהיל יצור'!R14/10^3</f>
        <v>5.4874314049586781</v>
      </c>
      <c r="H15" s="26">
        <f>$B$60*'תמהיל יצור'!S14/10^3</f>
        <v>25.75082662643316</v>
      </c>
      <c r="I15" s="60">
        <f>$B$58*('תמהיל יצור'!V14+'תמהיל יצור'!W14)/10^3</f>
        <v>0.52272000000000007</v>
      </c>
      <c r="J15" s="25">
        <f>$B$60*'תמהיל יצור'!X14/10^3</f>
        <v>23.608647518995141</v>
      </c>
      <c r="K15" s="25">
        <f>$B$61*'תמהיל יצור'!Y14/10^3</f>
        <v>5.1525547344507086</v>
      </c>
      <c r="L15" s="25">
        <f>$B$62*'תמהיל יצור'!Z14/10^3</f>
        <v>0.92471535636537994</v>
      </c>
      <c r="M15" s="647">
        <f>$B$58*'תמהיל יצור'!AC14/10^3</f>
        <v>0</v>
      </c>
      <c r="N15" s="25">
        <f>$B$60*'תמהיל יצור'!AD14/10^3</f>
        <v>23.833179518995141</v>
      </c>
      <c r="O15" s="25">
        <f>$B$61*'תמהיל יצור'!AE14/10^3</f>
        <v>5.1525547344507086</v>
      </c>
      <c r="P15" s="648">
        <f>$B$62*'תמהיל יצור'!AF14/10^3</f>
        <v>0.92471535636537994</v>
      </c>
      <c r="Q15" s="25">
        <f>$B$58*'תמהיל יצור'!AK14/10^3</f>
        <v>12.734545454545454</v>
      </c>
      <c r="R15" s="26">
        <f>$B$60*'תמהיל יצור'!AL14/10^3</f>
        <v>22.004068991823249</v>
      </c>
      <c r="S15" s="509">
        <f t="shared" si="0"/>
        <v>0.6495809315632679</v>
      </c>
      <c r="T15" s="25"/>
    </row>
    <row r="16" spans="1:42">
      <c r="A16" s="8">
        <v>2031</v>
      </c>
      <c r="B16" s="60">
        <f>$B$58*'תמהיל יצור'!H15/10^3</f>
        <v>18.050909090909087</v>
      </c>
      <c r="C16" s="26">
        <f>$B$60*'תמהיל יצור'!I15/10^3</f>
        <v>23.471950725594787</v>
      </c>
      <c r="D16" s="60">
        <f>$B$58*'תמהיל יצור'!L15/10^3</f>
        <v>12.734545454545454</v>
      </c>
      <c r="E16" s="26">
        <f>$B$60*'תמהיל יצור'!M15/10^3</f>
        <v>25.755570560305529</v>
      </c>
      <c r="F16" s="60">
        <f>$B$58*('תמהיל יצור'!P15+'תמהיל יצור'!Q15)/10^3</f>
        <v>0.64679999999999993</v>
      </c>
      <c r="G16" s="25">
        <f>$B$59*'תמהיל יצור'!R15/10^3</f>
        <v>5.4874314049586781</v>
      </c>
      <c r="H16" s="26">
        <f>$B$60*'תמהיל יצור'!S15/10^3</f>
        <v>26.571753783446024</v>
      </c>
      <c r="I16" s="60">
        <f>$B$58*('תמהיל יצור'!V15+'תמהיל יצור'!W15)/10^3</f>
        <v>0.52272000000000007</v>
      </c>
      <c r="J16" s="25">
        <f>$B$60*'תמהיל יצור'!X15/10^3</f>
        <v>24.429574676008016</v>
      </c>
      <c r="K16" s="25">
        <f>$B$61*'תמהיל יצור'!Y15/10^3</f>
        <v>5.1525547344507086</v>
      </c>
      <c r="L16" s="25">
        <f>$B$62*'תמהיל יצור'!Z15/10^3</f>
        <v>0.92471535636537994</v>
      </c>
      <c r="M16" s="647">
        <f>$B$58*'תמהיל יצור'!AC15/10^3</f>
        <v>0</v>
      </c>
      <c r="N16" s="25">
        <f>$B$60*'תמהיל יצור'!AD15/10^3</f>
        <v>24.654106676008009</v>
      </c>
      <c r="O16" s="25">
        <f>$B$61*'תמהיל יצור'!AE15/10^3</f>
        <v>5.1525547344507086</v>
      </c>
      <c r="P16" s="648">
        <f>$B$62*'תמהיל יצור'!AF15/10^3</f>
        <v>0.92471535636537994</v>
      </c>
      <c r="Q16" s="25">
        <f>$B$58*'תמהיל יצור'!AK15/10^3</f>
        <v>12.734545454545454</v>
      </c>
      <c r="R16" s="26">
        <f>$B$60*'תמהיל יצור'!AL15/10^3</f>
        <v>22.745870639726444</v>
      </c>
      <c r="S16" s="509">
        <f t="shared" si="0"/>
        <v>0.62459704958006512</v>
      </c>
      <c r="T16" s="25"/>
    </row>
    <row r="17" spans="1:20">
      <c r="A17" s="8">
        <v>2032</v>
      </c>
      <c r="B17" s="60">
        <f>$B$58*'תמהיל יצור'!H16/10^3</f>
        <v>18.050909090909087</v>
      </c>
      <c r="C17" s="26">
        <f>$B$60*'תמהיל יצור'!I16/10^3</f>
        <v>24.315042915846998</v>
      </c>
      <c r="D17" s="60">
        <f>$B$58*'תמהיל יצור'!L16/10^3</f>
        <v>12.734545454545454</v>
      </c>
      <c r="E17" s="26">
        <f>$B$60*'תמהיל יצור'!M16/10^3</f>
        <v>26.598662750557743</v>
      </c>
      <c r="F17" s="60">
        <f>$B$58*('תמהיל יצור'!P16+'תמהיל יצור'!Q16)/10^3</f>
        <v>0.64679999999999993</v>
      </c>
      <c r="G17" s="25">
        <f>$B$59*'תמהיל יצור'!R16/10^3</f>
        <v>5.4874314049586781</v>
      </c>
      <c r="H17" s="26">
        <f>$B$60*'תמהיל יצור'!S16/10^3</f>
        <v>27.414845973698242</v>
      </c>
      <c r="I17" s="60">
        <f>$B$58*('תמהיל יצור'!V16+'תמהיל יצור'!W16)/10^3</f>
        <v>0.52272000000000007</v>
      </c>
      <c r="J17" s="25">
        <f>$B$60*'תמהיל יצור'!X16/10^3</f>
        <v>25.272666866260227</v>
      </c>
      <c r="K17" s="25">
        <f>$B$61*'תמהיל יצור'!Y16/10^3</f>
        <v>5.1525547344507086</v>
      </c>
      <c r="L17" s="25">
        <f>$B$62*'תמהיל יצור'!Z16/10^3</f>
        <v>0.92471535636537994</v>
      </c>
      <c r="M17" s="647">
        <f>$B$58*'תמהיל יצור'!AC16/10^3</f>
        <v>0</v>
      </c>
      <c r="N17" s="25">
        <f>$B$60*'תמהיל יצור'!AD16/10^3</f>
        <v>25.497198866260227</v>
      </c>
      <c r="O17" s="25">
        <f>$B$61*'תמהיל יצור'!AE16/10^3</f>
        <v>5.1525547344507086</v>
      </c>
      <c r="P17" s="648">
        <f>$B$62*'תמהיל יצור'!AF16/10^3</f>
        <v>0.92471535636537994</v>
      </c>
      <c r="Q17" s="25">
        <f>$B$58*'תמהיל יצור'!AK16/10^3</f>
        <v>12.734545454545454</v>
      </c>
      <c r="R17" s="26">
        <f>$B$60*'תמהיל יצור'!AL16/10^3</f>
        <v>23.507700932123019</v>
      </c>
      <c r="S17" s="509">
        <f t="shared" si="0"/>
        <v>0.600574086134678</v>
      </c>
      <c r="T17" s="25"/>
    </row>
    <row r="18" spans="1:20">
      <c r="A18" s="8">
        <v>2033</v>
      </c>
      <c r="B18" s="60">
        <f>$B$58*'תמהיל יצור'!H17/10^3</f>
        <v>18.050909090909087</v>
      </c>
      <c r="C18" s="26">
        <f>$B$60*'תמהיל יצור'!I17/10^3</f>
        <v>25.180898595236023</v>
      </c>
      <c r="D18" s="60">
        <f>$B$58*'תמהיל יצור'!L17/10^3</f>
        <v>12.734545454545454</v>
      </c>
      <c r="E18" s="26">
        <f>$B$60*'תמהיל יצור'!M17/10^3</f>
        <v>27.464518429946761</v>
      </c>
      <c r="F18" s="60">
        <f>$B$58*('תמהיל יצור'!P17+'תמהיל יצור'!Q17)/10^3</f>
        <v>0.64679999999999993</v>
      </c>
      <c r="G18" s="25">
        <f>$B$59*'תמהיל יצור'!R17/10^3</f>
        <v>5.4874314049586781</v>
      </c>
      <c r="H18" s="26">
        <f>$B$60*'תמהיל יצור'!S17/10^3</f>
        <v>28.280701653087259</v>
      </c>
      <c r="I18" s="60">
        <f>$B$58*('תמהיל יצור'!V17+'תמהיל יצור'!W17)/10^3</f>
        <v>0.52272000000000007</v>
      </c>
      <c r="J18" s="25">
        <f>$B$60*'תמהיל יצור'!X17/10^3</f>
        <v>26.138522545649248</v>
      </c>
      <c r="K18" s="25">
        <f>$B$61*'תמהיל יצור'!Y17/10^3</f>
        <v>5.1525547344507086</v>
      </c>
      <c r="L18" s="25">
        <f>$B$62*'תמהיל יצור'!Z17/10^3</f>
        <v>0.92471535636537994</v>
      </c>
      <c r="M18" s="647">
        <f>$B$58*'תמהיל יצור'!AC17/10^3</f>
        <v>0</v>
      </c>
      <c r="N18" s="25">
        <f>$B$60*'תמהיל יצור'!AD17/10^3</f>
        <v>26.363054545649248</v>
      </c>
      <c r="O18" s="25">
        <f>$B$61*'תמהיל יצור'!AE17/10^3</f>
        <v>5.1525547344507086</v>
      </c>
      <c r="P18" s="648">
        <f>$B$62*'תמהיל יצור'!AF17/10^3</f>
        <v>0.92471535636537994</v>
      </c>
      <c r="Q18" s="25">
        <f>$B$58*'תמהיל יצור'!AK17/10^3</f>
        <v>12.734545454545454</v>
      </c>
      <c r="R18" s="26">
        <f>$B$60*'תמהיל יצור'!AL17/10^3</f>
        <v>24.290100642414306</v>
      </c>
      <c r="S18" s="509">
        <f t="shared" si="0"/>
        <v>0.57747508282180582</v>
      </c>
      <c r="T18" s="25"/>
    </row>
    <row r="19" spans="1:20">
      <c r="A19" s="8">
        <v>2034</v>
      </c>
      <c r="B19" s="60">
        <f>$B$58*'תמהיל יצור'!H18/10^3</f>
        <v>18.050909090909087</v>
      </c>
      <c r="C19" s="26">
        <f>$B$60*'תמהיל יצור'!I18/10^3</f>
        <v>26.070132377968548</v>
      </c>
      <c r="D19" s="60">
        <f>$B$58*'תמהיל יצור'!L18/10^3</f>
        <v>12.734545454545454</v>
      </c>
      <c r="E19" s="26">
        <f>$B$60*'תמהיל יצור'!M18/10^3</f>
        <v>28.353752212679289</v>
      </c>
      <c r="F19" s="60">
        <f>$B$58*('תמהיל יצור'!P18+'תמהיל יצור'!Q18)/10^3</f>
        <v>0.64679999999999993</v>
      </c>
      <c r="G19" s="25">
        <f>$B$59*'תמהיל יצור'!R18/10^3</f>
        <v>5.4874314049586781</v>
      </c>
      <c r="H19" s="26">
        <f>$B$60*'תמהיל יצור'!S18/10^3</f>
        <v>29.169935435819784</v>
      </c>
      <c r="I19" s="60">
        <f>$B$58*('תמהיל יצור'!V18+'תמהיל יצור'!W18)/10^3</f>
        <v>0.52272000000000007</v>
      </c>
      <c r="J19" s="25">
        <f>$B$60*'תמהיל יצור'!X18/10^3</f>
        <v>27.027756328381777</v>
      </c>
      <c r="K19" s="25">
        <f>$B$61*'תמהיל יצור'!Y18/10^3</f>
        <v>5.1525547344507086</v>
      </c>
      <c r="L19" s="25">
        <f>$B$62*'תמהיל יצור'!Z18/10^3</f>
        <v>0.92471535636537994</v>
      </c>
      <c r="M19" s="647">
        <f>$B$58*'תמהיל יצור'!AC18/10^3</f>
        <v>0</v>
      </c>
      <c r="N19" s="25">
        <f>$B$60*'תמהיל יצור'!AD18/10^3</f>
        <v>27.252288328381773</v>
      </c>
      <c r="O19" s="25">
        <f>$B$61*'תמהיל יצור'!AE18/10^3</f>
        <v>5.1525547344507086</v>
      </c>
      <c r="P19" s="648">
        <f>$B$62*'תמהיל יצור'!AF18/10^3</f>
        <v>0.92471535636537994</v>
      </c>
      <c r="Q19" s="25">
        <f>$B$58*'תמהיל יצור'!AK18/10^3</f>
        <v>12.734545454545454</v>
      </c>
      <c r="R19" s="26">
        <f>$B$60*'תמהיל יצור'!AL18/10^3</f>
        <v>25.093625144883454</v>
      </c>
      <c r="S19" s="509">
        <f t="shared" si="0"/>
        <v>0.55526450271327477</v>
      </c>
      <c r="T19" s="25"/>
    </row>
    <row r="20" spans="1:20">
      <c r="A20" s="8">
        <v>2035</v>
      </c>
      <c r="B20" s="60">
        <f>$B$58*'תמהיל יצור'!H19/10^3</f>
        <v>18.050909090909087</v>
      </c>
      <c r="C20" s="26">
        <f>$B$60*'תמהיל יצור'!I19/10^3</f>
        <v>26.983375472834851</v>
      </c>
      <c r="D20" s="60">
        <f>$B$58*'תמהיל יצור'!L19/10^3</f>
        <v>12.734545454545454</v>
      </c>
      <c r="E20" s="26">
        <f>$B$60*'תמהיל יצור'!M19/10^3</f>
        <v>29.266995307545592</v>
      </c>
      <c r="F20" s="60">
        <f>$B$58*('תמהיל יצור'!P19+'תמהיל יצור'!Q19)/10^3</f>
        <v>0.64679999999999993</v>
      </c>
      <c r="G20" s="25">
        <f>$B$59*'תמהיל יצור'!R19/10^3</f>
        <v>5.4874314049586781</v>
      </c>
      <c r="H20" s="26">
        <f>$B$60*'תמהיל יצור'!S19/10^3</f>
        <v>30.083178530686087</v>
      </c>
      <c r="I20" s="60">
        <f>$B$58*('תמהיל יצור'!V19+'תמהיל יצור'!W19)/10^3</f>
        <v>0.52272000000000007</v>
      </c>
      <c r="J20" s="25">
        <f>$B$60*'תמהיל יצור'!X19/10^3</f>
        <v>27.94099942324808</v>
      </c>
      <c r="K20" s="25">
        <f>$B$61*'תמהיל יצור'!Y19/10^3</f>
        <v>5.1525547344507086</v>
      </c>
      <c r="L20" s="25">
        <f>$B$62*'תמהיל יצור'!Z19/10^3</f>
        <v>0.92471535636537994</v>
      </c>
      <c r="M20" s="647">
        <f>$B$58*'תמהיל יצור'!AC19/10^3</f>
        <v>0</v>
      </c>
      <c r="N20" s="25">
        <f>$B$60*'תמהיל יצור'!AD19/10^3</f>
        <v>28.165531423248073</v>
      </c>
      <c r="O20" s="25">
        <f>$B$61*'תמהיל יצור'!AE19/10^3</f>
        <v>5.1525547344507086</v>
      </c>
      <c r="P20" s="648">
        <f>$B$62*'תמהיל יצור'!AF19/10^3</f>
        <v>0.92471535636537994</v>
      </c>
      <c r="Q20" s="25">
        <f>$B$58*'תמהיל יצור'!AK19/10^3</f>
        <v>12.734545454545454</v>
      </c>
      <c r="R20" s="26">
        <f>$B$60*'תמהיל יצור'!AL19/10^3</f>
        <v>25.918844808919271</v>
      </c>
      <c r="S20" s="509">
        <f t="shared" si="0"/>
        <v>0.53390817568584104</v>
      </c>
      <c r="T20" s="25"/>
    </row>
    <row r="21" spans="1:20">
      <c r="A21" s="8">
        <v>2036</v>
      </c>
      <c r="B21" s="60">
        <f>$B$58*'תמהיל יצור'!H20/10^3</f>
        <v>18.050909090909087</v>
      </c>
      <c r="C21" s="26">
        <f>$B$60*'תמהיל יצור'!I20/10^3</f>
        <v>27.921276131262548</v>
      </c>
      <c r="D21" s="60">
        <f>$B$58*'תמהיל יצור'!L20/10^3</f>
        <v>12.734545454545454</v>
      </c>
      <c r="E21" s="26">
        <f>$B$60*'תמהיל יצור'!M20/10^3</f>
        <v>30.204895965973289</v>
      </c>
      <c r="F21" s="60">
        <f>$B$58*('תמהיל יצור'!P20+'תמהיל יצור'!Q20)/10^3</f>
        <v>0.64679999999999993</v>
      </c>
      <c r="G21" s="25">
        <f>$B$59*'תמהיל יצור'!R20/10^3</f>
        <v>5.4874314049586781</v>
      </c>
      <c r="H21" s="26">
        <f>$B$60*'תמהיל יצור'!S20/10^3</f>
        <v>31.021079189113784</v>
      </c>
      <c r="I21" s="60">
        <f>$B$58*('תמהיל יצור'!V20+'תמהיל יצור'!W20)/10^3</f>
        <v>0.52272000000000007</v>
      </c>
      <c r="J21" s="25">
        <f>$B$60*'תמהיל יצור'!X20/10^3</f>
        <v>28.878900081675773</v>
      </c>
      <c r="K21" s="25">
        <f>$B$61*'תמהיל יצור'!Y20/10^3</f>
        <v>5.1525547344507086</v>
      </c>
      <c r="L21" s="25">
        <f>$B$62*'תמהיל יצור'!Z20/10^3</f>
        <v>0.92471535636537994</v>
      </c>
      <c r="M21" s="647">
        <f>$B$58*'תמהיל יצור'!AC20/10^3</f>
        <v>0</v>
      </c>
      <c r="N21" s="25">
        <f>$B$60*'תמהיל יצור'!AD20/10^3</f>
        <v>29.103432081675773</v>
      </c>
      <c r="O21" s="25">
        <f>$B$61*'תמהיל יצור'!AE20/10^3</f>
        <v>5.1525547344507086</v>
      </c>
      <c r="P21" s="648">
        <f>$B$62*'תמהיל יצור'!AF20/10^3</f>
        <v>0.92471535636537994</v>
      </c>
      <c r="Q21" s="25">
        <f>$B$58*'תמהיל יצור'!AK20/10^3</f>
        <v>12.734545454545454</v>
      </c>
      <c r="R21" s="26">
        <f>$B$60*'תמהיל יצור'!AL20/10^3</f>
        <v>26.766345403884056</v>
      </c>
      <c r="S21" s="509">
        <f t="shared" si="0"/>
        <v>0.51337324585177024</v>
      </c>
      <c r="T21" s="25"/>
    </row>
    <row r="22" spans="1:20">
      <c r="A22" s="8">
        <v>2037</v>
      </c>
      <c r="B22" s="60">
        <f>$B$58*'תמהיל יצור'!H21/10^3</f>
        <v>18.050909090909087</v>
      </c>
      <c r="C22" s="26">
        <f>$B$60*'תמהיל יצור'!I21/10^3</f>
        <v>28.88450010746779</v>
      </c>
      <c r="D22" s="60">
        <f>$B$58*'תמהיל יצור'!L21/10^3</f>
        <v>12.734545454545454</v>
      </c>
      <c r="E22" s="26">
        <f>$B$60*'תמהיל יצור'!M21/10^3</f>
        <v>31.168119942178532</v>
      </c>
      <c r="F22" s="60">
        <f>$B$58*('תמהיל יצור'!P21+'תמהיל יצור'!Q21)/10^3</f>
        <v>0.64679999999999993</v>
      </c>
      <c r="G22" s="25">
        <f>$B$59*'תמהיל יצור'!R21/10^3</f>
        <v>5.4874314049586781</v>
      </c>
      <c r="H22" s="26">
        <f>$B$60*'תמהיל יצור'!S21/10^3</f>
        <v>31.98430316531903</v>
      </c>
      <c r="I22" s="60">
        <f>$B$58*('תמהיל יצור'!V21+'תמהיל יצור'!W21)/10^3</f>
        <v>0.52272000000000007</v>
      </c>
      <c r="J22" s="25">
        <f>$B$60*'תמהיל יצור'!X21/10^3</f>
        <v>29.842124057881019</v>
      </c>
      <c r="K22" s="25">
        <f>$B$61*'תמהיל יצור'!Y21/10^3</f>
        <v>5.1525547344507086</v>
      </c>
      <c r="L22" s="25">
        <f>$B$62*'תמהיל יצור'!Z21/10^3</f>
        <v>0.92471535636537994</v>
      </c>
      <c r="M22" s="647">
        <f>$B$58*'תמהיל יצור'!AC21/10^3</f>
        <v>0</v>
      </c>
      <c r="N22" s="25">
        <f>$B$60*'תמהיל יצור'!AD21/10^3</f>
        <v>30.066656057881016</v>
      </c>
      <c r="O22" s="25">
        <f>$B$61*'תמהיל יצור'!AE21/10^3</f>
        <v>5.1525547344507086</v>
      </c>
      <c r="P22" s="648">
        <f>$B$62*'תמהיל יצור'!AF21/10^3</f>
        <v>0.92471535636537994</v>
      </c>
      <c r="Q22" s="25">
        <f>$B$58*'תמהיל יצור'!AK21/10^3</f>
        <v>12.734545454545454</v>
      </c>
      <c r="R22" s="26">
        <f>$B$60*'תמהיל יצור'!AL21/10^3</f>
        <v>27.636728514912893</v>
      </c>
      <c r="S22" s="509">
        <f t="shared" si="0"/>
        <v>0.49362812101131748</v>
      </c>
      <c r="T22" s="25"/>
    </row>
    <row r="23" spans="1:20">
      <c r="A23" s="8">
        <v>2038</v>
      </c>
      <c r="B23" s="60">
        <f>$B$58*'תמהיל יצור'!H22/10^3</f>
        <v>18.050909090909087</v>
      </c>
      <c r="C23" s="26">
        <f>$B$60*'תמהיל יצור'!I22/10^3</f>
        <v>29.873731131030578</v>
      </c>
      <c r="D23" s="60">
        <f>$B$58*'תמהיל יצור'!L22/10^3</f>
        <v>12.734545454545454</v>
      </c>
      <c r="E23" s="26">
        <f>$B$60*'תמהיל יצור'!M22/10^3</f>
        <v>32.157350965741323</v>
      </c>
      <c r="F23" s="60">
        <f>$B$58*('תמהיל יצור'!P22+'תמהיל יצור'!Q22)/10^3</f>
        <v>0.64679999999999993</v>
      </c>
      <c r="G23" s="25">
        <f>$B$59*'תמהיל יצור'!R22/10^3</f>
        <v>5.4874314049586781</v>
      </c>
      <c r="H23" s="26">
        <f>$B$60*'תמהיל יצור'!S22/10^3</f>
        <v>32.973534188881814</v>
      </c>
      <c r="I23" s="60">
        <f>$B$58*('תמהיל יצור'!V22+'תמהיל יצור'!W22)/10^3</f>
        <v>0.52272000000000007</v>
      </c>
      <c r="J23" s="25">
        <f>$B$60*'תמהיל יצור'!X22/10^3</f>
        <v>30.831355081443807</v>
      </c>
      <c r="K23" s="25">
        <f>$B$61*'תמהיל יצור'!Y22/10^3</f>
        <v>5.1525547344507086</v>
      </c>
      <c r="L23" s="25">
        <f>$B$62*'תמהיל יצור'!Z22/10^3</f>
        <v>0.92471535636537994</v>
      </c>
      <c r="M23" s="647">
        <f>$B$58*'תמהיל יצור'!AC22/10^3</f>
        <v>0</v>
      </c>
      <c r="N23" s="25">
        <f>$B$60*'תמהיל יצור'!AD22/10^3</f>
        <v>31.055887081443803</v>
      </c>
      <c r="O23" s="25">
        <f>$B$61*'תמהיל יצור'!AE22/10^3</f>
        <v>5.1525547344507086</v>
      </c>
      <c r="P23" s="648">
        <f>$B$62*'תמהיל יצור'!AF22/10^3</f>
        <v>0.92471535636537994</v>
      </c>
      <c r="Q23" s="25">
        <f>$B$58*'תמהיל יצור'!AK22/10^3</f>
        <v>12.734545454545454</v>
      </c>
      <c r="R23" s="26">
        <f>$B$60*'תמהיל יצור'!AL22/10^3</f>
        <v>28.53061196993951</v>
      </c>
      <c r="S23" s="509">
        <f t="shared" si="0"/>
        <v>0.47464242404934376</v>
      </c>
      <c r="T23" s="25"/>
    </row>
    <row r="24" spans="1:20">
      <c r="A24" s="8">
        <v>2039</v>
      </c>
      <c r="B24" s="60">
        <f>$B$58*'תמהיל יצור'!H23/10^3</f>
        <v>18.050909090909087</v>
      </c>
      <c r="C24" s="26">
        <f>$B$60*'תמהיל יצור'!I23/10^3</f>
        <v>30.889671392229555</v>
      </c>
      <c r="D24" s="60">
        <f>$B$58*'תמהיל יצור'!L23/10^3</f>
        <v>12.734545454545454</v>
      </c>
      <c r="E24" s="26">
        <f>$B$60*'תמהיל יצור'!M23/10^3</f>
        <v>33.1732912269403</v>
      </c>
      <c r="F24" s="60">
        <f>$B$58*('תמהיל יצור'!P23+'תמהיל יצור'!Q23)/10^3</f>
        <v>0.64679999999999993</v>
      </c>
      <c r="G24" s="25">
        <f>$B$59*'תמהיל יצור'!R23/10^3</f>
        <v>5.4874314049586781</v>
      </c>
      <c r="H24" s="26">
        <f>$B$60*'תמהיל יצור'!S23/10^3</f>
        <v>33.989474450080792</v>
      </c>
      <c r="I24" s="60">
        <f>$B$58*('תמהיל יצור'!V23+'תמהיל יצור'!W23)/10^3</f>
        <v>0.52272000000000007</v>
      </c>
      <c r="J24" s="25">
        <f>$B$60*'תמהיל יצור'!X23/10^3</f>
        <v>31.847295342642784</v>
      </c>
      <c r="K24" s="25">
        <f>$B$61*'תמהיל יצור'!Y23/10^3</f>
        <v>5.1525547344507086</v>
      </c>
      <c r="L24" s="25">
        <f>$B$62*'תמהיל יצור'!Z23/10^3</f>
        <v>0.92471535636537994</v>
      </c>
      <c r="M24" s="647">
        <f>$B$58*'תמהיל יצור'!AC23/10^3</f>
        <v>0</v>
      </c>
      <c r="N24" s="25">
        <f>$B$60*'תמהיל יצור'!AD23/10^3</f>
        <v>32.071827342642784</v>
      </c>
      <c r="O24" s="25">
        <f>$B$61*'תמהיל יצור'!AE23/10^3</f>
        <v>5.1525547344507086</v>
      </c>
      <c r="P24" s="648">
        <f>$B$62*'תמהיל יצור'!AF23/10^3</f>
        <v>0.92471535636537994</v>
      </c>
      <c r="Q24" s="25">
        <f>$B$58*'תמהיל יצור'!AK23/10^3</f>
        <v>12.734545454545454</v>
      </c>
      <c r="R24" s="26">
        <f>$B$60*'תמהיל יצור'!AL23/10^3</f>
        <v>29.448630278251844</v>
      </c>
      <c r="S24" s="509">
        <f t="shared" si="0"/>
        <v>0.45638694620129205</v>
      </c>
      <c r="T24" s="25"/>
    </row>
    <row r="25" spans="1:20">
      <c r="A25" s="8">
        <f>A24+1</f>
        <v>2040</v>
      </c>
      <c r="B25" s="60">
        <f>$B$58*'תמהיל יצור'!H24/10^3</f>
        <v>11.945454545454544</v>
      </c>
      <c r="C25" s="26">
        <f>$B$60*'תמהיל יצור'!I24/10^3</f>
        <v>34.555612288414792</v>
      </c>
      <c r="D25" s="60">
        <f>$B$58*'תמהיל יצור'!L24/10^3</f>
        <v>8.4272727272727277</v>
      </c>
      <c r="E25" s="26">
        <f>$B$60*'תמהיל יצור'!M24/10^3</f>
        <v>36.066831296679261</v>
      </c>
      <c r="F25" s="60">
        <f>$B$58*('תמהיל יצור'!P24+'תמהיל יצור'!Q24)/10^3</f>
        <v>0.42802941176470588</v>
      </c>
      <c r="G25" s="25">
        <f>$B$59*'תמהיל יצור'!R24/10^3</f>
        <v>2.403124696159455</v>
      </c>
      <c r="H25" s="26">
        <f>$B$60*'תמהיל יצור'!S24/10^3</f>
        <v>37.586454005721549</v>
      </c>
      <c r="I25" s="60">
        <f>$B$58*('תמהיל יצור'!V24+'תמהיל יצור'!W24)/10^3</f>
        <v>0.52272000000000007</v>
      </c>
      <c r="J25" s="25">
        <f>$B$60*'תמהיל יצור'!X24/10^3</f>
        <v>32.890665990894135</v>
      </c>
      <c r="K25" s="25">
        <f>$B$61*'תמהיל יצור'!Y24/10^3</f>
        <v>5.1525547344507086</v>
      </c>
      <c r="L25" s="25">
        <f>$B$62*'תמהיל יצור'!Z24/10^3</f>
        <v>0.92471535636537994</v>
      </c>
      <c r="M25" s="647">
        <f>$B$58*'תמהיל יצור'!AC24/10^3</f>
        <v>0</v>
      </c>
      <c r="N25" s="25">
        <f>$B$60*'תמהיל יצור'!AD24/10^3</f>
        <v>33.115197990894139</v>
      </c>
      <c r="O25" s="25">
        <f>$B$61*'תמהיל יצור'!AE24/10^3</f>
        <v>5.1525547344507086</v>
      </c>
      <c r="P25" s="648">
        <f>$B$62*'תמהיל יצור'!AF24/10^3</f>
        <v>0.92471535636537994</v>
      </c>
      <c r="Q25" s="25">
        <f>$B$58*'תמהיל יצור'!AK24/10^3</f>
        <v>8.4272727272727277</v>
      </c>
      <c r="R25" s="26">
        <f>$B$60*'תמהיל יצור'!AL24/10^3</f>
        <v>32.241604502376212</v>
      </c>
      <c r="S25" s="509">
        <f t="shared" ref="S25:S29" si="1">1/((1+$S$3)^($A25-2019))</f>
        <v>0.43883360211662686</v>
      </c>
      <c r="T25" s="25"/>
    </row>
    <row r="26" spans="1:20">
      <c r="A26" s="8">
        <f t="shared" ref="A26:A30" si="2">A25+1</f>
        <v>2041</v>
      </c>
      <c r="B26" s="60">
        <f>$B$58*'תמהיל יצור'!H25/10^3</f>
        <v>11.945454545454544</v>
      </c>
      <c r="C26" s="26">
        <f>$B$60*'תמהיל יצור'!I25/10^3</f>
        <v>35.627153944168931</v>
      </c>
      <c r="D26" s="60">
        <f>$B$58*'תמהיל יצור'!L25/10^3</f>
        <v>8.4272727272727277</v>
      </c>
      <c r="E26" s="26">
        <f>$B$60*'תמהיל יצור'!M25/10^3</f>
        <v>37.138372952433393</v>
      </c>
      <c r="F26" s="60">
        <f>$B$58*('תמהיל יצור'!P25+'תמהיל יצור'!Q25)/10^3</f>
        <v>0.42802941176470588</v>
      </c>
      <c r="G26" s="25">
        <f>$B$59*'תמהיל יצור'!R25/10^3</f>
        <v>2.403124696159455</v>
      </c>
      <c r="H26" s="26">
        <f>$B$60*'תמהיל יצור'!S25/10^3</f>
        <v>38.657995661475688</v>
      </c>
      <c r="I26" s="60">
        <f>$B$58*('תמהיל יצור'!V25+'תמהיל יצור'!W25)/10^3</f>
        <v>0.3459176470588235</v>
      </c>
      <c r="J26" s="25">
        <f>$B$60*'תמהיל יצור'!X25/10^3</f>
        <v>34.038152293707093</v>
      </c>
      <c r="K26" s="25">
        <f>$B$61*'תמהיל יצור'!Y25/10^3</f>
        <v>5.1525547344507086</v>
      </c>
      <c r="L26" s="25">
        <f>$B$62*'תמהיל יצור'!Z25/10^3</f>
        <v>0.92471535636537994</v>
      </c>
      <c r="M26" s="647">
        <f>$B$58*'תמהיל יצור'!AC25/10^3</f>
        <v>0</v>
      </c>
      <c r="N26" s="25">
        <f>$B$60*'תמהיל יצור'!AD25/10^3</f>
        <v>34.18673964664827</v>
      </c>
      <c r="O26" s="25">
        <f>$B$61*'תמהיל יצור'!AE25/10^3</f>
        <v>5.1525547344507086</v>
      </c>
      <c r="P26" s="648">
        <f>$B$62*'תמהיל יצור'!AF25/10^3</f>
        <v>0.92471535636537994</v>
      </c>
      <c r="Q26" s="25">
        <f>$B$58*'תמהיל יצור'!AK25/10^3</f>
        <v>8.4272727272727277</v>
      </c>
      <c r="R26" s="26">
        <f>$B$60*'תמהיל יצור'!AL25/10^3</f>
        <v>33.209865034684164</v>
      </c>
      <c r="S26" s="509">
        <f t="shared" si="1"/>
        <v>0.42195538665060278</v>
      </c>
      <c r="T26" s="25"/>
    </row>
    <row r="27" spans="1:20">
      <c r="A27" s="8">
        <f t="shared" si="2"/>
        <v>2042</v>
      </c>
      <c r="B27" s="60">
        <f>$B$58*'תמהיל יצור'!H26/10^3</f>
        <v>11.945454545454544</v>
      </c>
      <c r="C27" s="26">
        <f>$B$60*'תמהיל יצור'!I26/10^3</f>
        <v>36.727627224628421</v>
      </c>
      <c r="D27" s="60">
        <f>$B$58*'תמהיל יצור'!L26/10^3</f>
        <v>8.4272727272727277</v>
      </c>
      <c r="E27" s="26">
        <f>$B$60*'תמהיל יצור'!M26/10^3</f>
        <v>38.23884623289289</v>
      </c>
      <c r="F27" s="60">
        <f>$B$58*('תמהיל יצור'!P26+'תמהיל יצור'!Q26)/10^3</f>
        <v>0.42802941176470588</v>
      </c>
      <c r="G27" s="25">
        <f>$B$59*'תמהיל יצור'!R26/10^3</f>
        <v>2.403124696159455</v>
      </c>
      <c r="H27" s="26">
        <f>$B$60*'תמהיל יצור'!S26/10^3</f>
        <v>39.758468941935178</v>
      </c>
      <c r="I27" s="60">
        <f>$B$58*('תמהיל יצור'!V26+'תמהיל יצור'!W26)/10^3</f>
        <v>0.3459176470588235</v>
      </c>
      <c r="J27" s="25">
        <f>$B$60*'תמהיל יצור'!X26/10^3</f>
        <v>35.138625574166582</v>
      </c>
      <c r="K27" s="25">
        <f>$B$61*'תמהיל יצור'!Y26/10^3</f>
        <v>5.1525547344507086</v>
      </c>
      <c r="L27" s="25">
        <f>$B$62*'תמהיל יצור'!Z26/10^3</f>
        <v>0.92471535636537994</v>
      </c>
      <c r="M27" s="647">
        <f>$B$58*'תמהיל יצור'!AC26/10^3</f>
        <v>0</v>
      </c>
      <c r="N27" s="25">
        <f>$B$60*'תמהיל יצור'!AD26/10^3</f>
        <v>35.287212927107767</v>
      </c>
      <c r="O27" s="25">
        <f>$B$61*'תמהיל יצור'!AE26/10^3</f>
        <v>5.1525547344507086</v>
      </c>
      <c r="P27" s="648">
        <f>$B$62*'תמהיל יצור'!AF26/10^3</f>
        <v>0.92471535636537994</v>
      </c>
      <c r="Q27" s="25">
        <f>$B$58*'תמהיל יצור'!AK26/10^3</f>
        <v>8.4272727272727277</v>
      </c>
      <c r="R27" s="26">
        <f>$B$60*'תמהיל יצור'!AL26/10^3</f>
        <v>34.204268601364433</v>
      </c>
      <c r="S27" s="509">
        <f t="shared" si="1"/>
        <v>0.40572633331788732</v>
      </c>
      <c r="T27" s="25"/>
    </row>
    <row r="28" spans="1:20">
      <c r="A28" s="8">
        <f t="shared" si="2"/>
        <v>2043</v>
      </c>
      <c r="B28" s="60">
        <f>$B$58*'תמהיל יצור'!H27/10^3</f>
        <v>11.945454545454544</v>
      </c>
      <c r="C28" s="26">
        <f>$B$60*'תמהיל יצור'!I27/10^3</f>
        <v>37.857813283660327</v>
      </c>
      <c r="D28" s="60">
        <f>$B$58*'תמהיל יצור'!L27/10^3</f>
        <v>8.4272727272727277</v>
      </c>
      <c r="E28" s="26">
        <f>$B$60*'תמהיל יצור'!M27/10^3</f>
        <v>39.369032291924789</v>
      </c>
      <c r="F28" s="60">
        <f>$B$58*('תמהיל יצור'!P27+'תמהיל יצור'!Q27)/10^3</f>
        <v>0.42802941176470588</v>
      </c>
      <c r="G28" s="25">
        <f>$B$59*'תמהיל יצור'!R27/10^3</f>
        <v>2.403124696159455</v>
      </c>
      <c r="H28" s="26">
        <f>$B$60*'תמהיל יצור'!S27/10^3</f>
        <v>40.888655000967084</v>
      </c>
      <c r="I28" s="60">
        <f>$B$58*('תמהיל יצור'!V27+'תמהיל יצור'!W27)/10^3</f>
        <v>0.3459176470588235</v>
      </c>
      <c r="J28" s="25">
        <f>$B$60*'תמהיל יצור'!X27/10^3</f>
        <v>36.268811633198496</v>
      </c>
      <c r="K28" s="25">
        <f>$B$61*'תמהיל יצור'!Y27/10^3</f>
        <v>5.1525547344507086</v>
      </c>
      <c r="L28" s="25">
        <f>$B$62*'תמהיל יצור'!Z27/10^3</f>
        <v>0.92471535636537994</v>
      </c>
      <c r="M28" s="647">
        <f>$B$58*'תמהיל יצור'!AC27/10^3</f>
        <v>0</v>
      </c>
      <c r="N28" s="25">
        <f>$B$60*'תמהיל יצור'!AD27/10^3</f>
        <v>36.417398986139666</v>
      </c>
      <c r="O28" s="25">
        <f>$B$61*'תמהיל יצור'!AE27/10^3</f>
        <v>5.1525547344507086</v>
      </c>
      <c r="P28" s="648">
        <f>$B$62*'תמהיל יצור'!AF27/10^3</f>
        <v>0.92471535636537994</v>
      </c>
      <c r="Q28" s="25">
        <f>$B$58*'תמהיל יצור'!AK27/10^3</f>
        <v>8.4272727272727277</v>
      </c>
      <c r="R28" s="26">
        <f>$B$60*'תמהיל יצור'!AL27/10^3</f>
        <v>35.22552106434506</v>
      </c>
      <c r="S28" s="509">
        <f t="shared" si="1"/>
        <v>0.39012147434412242</v>
      </c>
      <c r="T28" s="25"/>
    </row>
    <row r="29" spans="1:20">
      <c r="A29" s="8">
        <f t="shared" si="2"/>
        <v>2044</v>
      </c>
      <c r="B29" s="60">
        <f>$B$58*'תמהיל יצור'!H28/10^3</f>
        <v>11.945454545454544</v>
      </c>
      <c r="C29" s="26">
        <f>$B$60*'תמהיל יצור'!I28/10^3</f>
        <v>39.018514366286091</v>
      </c>
      <c r="D29" s="60">
        <f>$B$58*'תמהיל יצור'!L28/10^3</f>
        <v>8.4272727272727277</v>
      </c>
      <c r="E29" s="26">
        <f>$B$60*'תמהיל יצור'!M28/10^3</f>
        <v>40.529733374550553</v>
      </c>
      <c r="F29" s="60">
        <f>$B$58*('תמהיל יצור'!P28+'תמהיל יצור'!Q28)/10^3</f>
        <v>0.42802941176470588</v>
      </c>
      <c r="G29" s="25">
        <f>$B$59*'תמהיל יצור'!R28/10^3</f>
        <v>2.403124696159455</v>
      </c>
      <c r="H29" s="26">
        <f>$B$60*'תמהיל יצור'!S28/10^3</f>
        <v>42.049356083592848</v>
      </c>
      <c r="I29" s="60">
        <f>$B$58*('תמהיל יצור'!V28+'תמהיל יצור'!W28)/10^3</f>
        <v>0.3459176470588235</v>
      </c>
      <c r="J29" s="25">
        <f>$B$60*'תמהיל יצור'!X28/10^3</f>
        <v>37.429512715824252</v>
      </c>
      <c r="K29" s="25">
        <f>$B$61*'תמהיל יצור'!Y28/10^3</f>
        <v>5.1525547344507086</v>
      </c>
      <c r="L29" s="25">
        <f>$B$62*'תמהיל יצור'!Z28/10^3</f>
        <v>0.92471535636537994</v>
      </c>
      <c r="M29" s="647">
        <f>$B$58*'תמהיל יצור'!AC28/10^3</f>
        <v>0</v>
      </c>
      <c r="N29" s="25">
        <f>$B$60*'תמהיל יצור'!AD28/10^3</f>
        <v>37.57810006876543</v>
      </c>
      <c r="O29" s="25">
        <f>$B$61*'תמהיל יצור'!AE28/10^3</f>
        <v>5.1525547344507086</v>
      </c>
      <c r="P29" s="648">
        <f>$B$62*'תמהיל יצור'!AF28/10^3</f>
        <v>0.92471535636537994</v>
      </c>
      <c r="Q29" s="25">
        <f>$B$58*'תמהיל יצור'!AK28/10^3</f>
        <v>8.4272727272727277</v>
      </c>
      <c r="R29" s="26">
        <f>$B$60*'תמהיל יצור'!AL28/10^3</f>
        <v>36.274347343826172</v>
      </c>
      <c r="S29" s="509">
        <f t="shared" si="1"/>
        <v>0.37511680225396377</v>
      </c>
      <c r="T29" s="25"/>
    </row>
    <row r="30" spans="1:20" ht="16" thickBot="1">
      <c r="A30" s="8">
        <f t="shared" si="2"/>
        <v>2045</v>
      </c>
      <c r="B30" s="60">
        <f>$B$58*'תמהיל יצור'!H29/10^3</f>
        <v>5.839999999999999</v>
      </c>
      <c r="C30" s="26">
        <f>$B$60*'תמהיל יצור'!I29/10^3</f>
        <v>42.833124626076646</v>
      </c>
      <c r="D30" s="60">
        <f>$B$58*'תמהיל יצור'!L29/10^3</f>
        <v>4.12</v>
      </c>
      <c r="E30" s="26">
        <f>$B$60*'תמהיל יצור'!M29/10^3</f>
        <v>43.571942807894828</v>
      </c>
      <c r="F30" s="60">
        <f>$B$58*('תמהיל יצור'!P29+'תמהיל יצור'!Q29)/10^3</f>
        <v>0.20925882352941175</v>
      </c>
      <c r="G30" s="25">
        <f>$B$59*'תמהיל יצור'!R29/10^3</f>
        <v>0.57437647058823538</v>
      </c>
      <c r="H30" s="26">
        <f>$B$60*'תמהיל יצור'!S29/10^3</f>
        <v>44.793736845327977</v>
      </c>
      <c r="I30" s="60">
        <f>$B$58*('תמהיל יצור'!V29+'תמהיל יצור'!W29)/10^3</f>
        <v>0.3459176470588235</v>
      </c>
      <c r="J30" s="25">
        <f>$B$60*'תמהיל יצור'!X29/10^3</f>
        <v>38.621552727680921</v>
      </c>
      <c r="K30" s="25">
        <f>$B$61*'תמהיל יצור'!Y29/10^3</f>
        <v>5.1525547344507086</v>
      </c>
      <c r="L30" s="25">
        <f>$B$62*'תמהיל יצור'!Z29/10^3</f>
        <v>0.92471535636537994</v>
      </c>
      <c r="M30" s="647">
        <f>$B$58*'תמהיל יצור'!AC29/10^3</f>
        <v>0</v>
      </c>
      <c r="N30" s="25">
        <f>$B$60*'תמהיל יצור'!AD29/10^3</f>
        <v>38.770140080622099</v>
      </c>
      <c r="O30" s="25">
        <f>$B$61*'תמהיל יצור'!AE29/10^3</f>
        <v>5.1525547344507086</v>
      </c>
      <c r="P30" s="648">
        <f>$B$62*'תמהיל יצור'!AF29/10^3</f>
        <v>0.92471535636537994</v>
      </c>
      <c r="Q30" s="25">
        <f>$B$58*'תמהיל יצור'!AK29/10^3</f>
        <v>4.12</v>
      </c>
      <c r="R30" s="26">
        <f>$B$60*'תמהיל יצור'!AL29/10^3</f>
        <v>39.201661354340892</v>
      </c>
      <c r="S30" s="509">
        <f>1/((1+$S$3)^($A30-2019))</f>
        <v>0.36068923293650368</v>
      </c>
      <c r="T30" s="25"/>
    </row>
    <row r="31" spans="1:20" ht="16" thickBot="1">
      <c r="A31" s="8" t="s">
        <v>389</v>
      </c>
      <c r="B31" s="96">
        <f t="shared" ref="B31:R31" si="3">SUM(B5:B30)</f>
        <v>426.58545454545458</v>
      </c>
      <c r="C31" s="96">
        <f t="shared" si="3"/>
        <v>690.19991948871348</v>
      </c>
      <c r="D31" s="96">
        <f t="shared" si="3"/>
        <v>300.94727272727289</v>
      </c>
      <c r="E31" s="96">
        <f t="shared" si="3"/>
        <v>744.16722940606883</v>
      </c>
      <c r="F31" s="96">
        <f t="shared" si="3"/>
        <v>63.280865775401047</v>
      </c>
      <c r="G31" s="96">
        <f t="shared" si="3"/>
        <v>100.55029747204668</v>
      </c>
      <c r="H31" s="96">
        <f t="shared" si="3"/>
        <v>766.07007394787718</v>
      </c>
      <c r="I31" s="96">
        <f>SUM(I5:I30)</f>
        <v>60.149398716577558</v>
      </c>
      <c r="J31" s="96">
        <f t="shared" si="3"/>
        <v>716.17026165157199</v>
      </c>
      <c r="K31" s="96">
        <f t="shared" si="3"/>
        <v>103.05109468901415</v>
      </c>
      <c r="L31" s="96">
        <f t="shared" si="3"/>
        <v>18.494307127307604</v>
      </c>
      <c r="M31" s="96">
        <f t="shared" si="3"/>
        <v>50.563636363636363</v>
      </c>
      <c r="N31" s="96">
        <f t="shared" si="3"/>
        <v>720.28778229863076</v>
      </c>
      <c r="O31" s="96">
        <f t="shared" si="3"/>
        <v>103.05109468901415</v>
      </c>
      <c r="P31" s="96">
        <f t="shared" si="3"/>
        <v>18.494307127307604</v>
      </c>
      <c r="Q31" s="96">
        <f t="shared" si="3"/>
        <v>300.94727272727289</v>
      </c>
      <c r="R31" s="96">
        <f t="shared" si="3"/>
        <v>671.32471227962264</v>
      </c>
      <c r="S31" s="25"/>
      <c r="T31" s="25"/>
    </row>
    <row r="32" spans="1:20" ht="16" thickBot="1">
      <c r="A32" s="8" t="s">
        <v>390</v>
      </c>
      <c r="B32" s="510">
        <f t="shared" ref="B32:R32" si="4">SUMPRODUCT($S5:$S30,B5:B30)</f>
        <v>271.69439074978146</v>
      </c>
      <c r="C32" s="510">
        <f t="shared" si="4"/>
        <v>392.7115711588159</v>
      </c>
      <c r="D32" s="512">
        <f t="shared" si="4"/>
        <v>191.67480991251711</v>
      </c>
      <c r="E32" s="512">
        <f t="shared" si="4"/>
        <v>427.08361838209532</v>
      </c>
      <c r="F32" s="512">
        <f t="shared" si="4"/>
        <v>52.788127740742475</v>
      </c>
      <c r="G32" s="512">
        <f t="shared" si="4"/>
        <v>60.121194103380191</v>
      </c>
      <c r="H32" s="512">
        <f t="shared" si="4"/>
        <v>438.79701167786828</v>
      </c>
      <c r="I32" s="788">
        <f t="shared" si="4"/>
        <v>50.658380823309052</v>
      </c>
      <c r="J32" s="508">
        <f t="shared" si="4"/>
        <v>416.80775735636274</v>
      </c>
      <c r="K32" s="512">
        <f t="shared" si="4"/>
        <v>55.550603862309529</v>
      </c>
      <c r="L32" s="512">
        <f t="shared" si="4"/>
        <v>9.9695198002246492</v>
      </c>
      <c r="M32" s="512">
        <f t="shared" si="4"/>
        <v>45.356476704864328</v>
      </c>
      <c r="N32" s="512">
        <f t="shared" si="4"/>
        <v>419.08516617087639</v>
      </c>
      <c r="O32" s="512">
        <f t="shared" si="4"/>
        <v>55.550603862309529</v>
      </c>
      <c r="P32" s="512">
        <f t="shared" si="4"/>
        <v>9.9695198002246492</v>
      </c>
      <c r="Q32" s="788">
        <f t="shared" si="4"/>
        <v>191.67480991251711</v>
      </c>
      <c r="R32" s="788">
        <f t="shared" si="4"/>
        <v>388.18455158464133</v>
      </c>
      <c r="S32" s="25"/>
      <c r="T32" s="25"/>
    </row>
    <row r="33" spans="1:20" ht="14.25" customHeight="1" thickBot="1">
      <c r="A33" s="537" t="s">
        <v>381</v>
      </c>
      <c r="B33" s="495">
        <f>SUM(B31:C31)</f>
        <v>1116.7853740341679</v>
      </c>
      <c r="C33" s="495"/>
      <c r="D33" s="787">
        <f>SUM(D31:E31)</f>
        <v>1045.1145021333418</v>
      </c>
      <c r="E33" s="786"/>
      <c r="F33" s="495">
        <f>SUM(F31:H31)</f>
        <v>929.90123719532494</v>
      </c>
      <c r="G33" s="495"/>
      <c r="H33" s="786"/>
      <c r="I33" s="789">
        <f>SUM(I31:L31)</f>
        <v>897.8650621844713</v>
      </c>
      <c r="J33" s="495"/>
      <c r="K33" s="495"/>
      <c r="L33" s="786"/>
      <c r="M33" s="495">
        <f>SUM(M31:P31)</f>
        <v>892.39682047858889</v>
      </c>
      <c r="N33" s="332"/>
      <c r="O33" s="332"/>
      <c r="P33" s="332"/>
      <c r="Q33" s="787">
        <f>SUM(Q31:R31)</f>
        <v>972.27198500689553</v>
      </c>
      <c r="R33" s="786"/>
      <c r="S33" s="508"/>
      <c r="T33" s="508"/>
    </row>
    <row r="34" spans="1:20" ht="14.25" customHeight="1" thickBot="1">
      <c r="A34" s="538" t="s">
        <v>488</v>
      </c>
      <c r="B34" s="495">
        <f>SUM(B32:C32)</f>
        <v>664.40596190859742</v>
      </c>
      <c r="C34" s="496"/>
      <c r="D34" s="787">
        <f>SUM(D32:E32)</f>
        <v>618.75842829461249</v>
      </c>
      <c r="E34" s="786"/>
      <c r="F34" s="495">
        <f>SUM(F32:H32)</f>
        <v>551.70633352199093</v>
      </c>
      <c r="G34" s="495"/>
      <c r="H34" s="786"/>
      <c r="I34" s="495">
        <f>SUM(I32:L32)</f>
        <v>532.98626184220609</v>
      </c>
      <c r="J34" s="495"/>
      <c r="K34" s="495"/>
      <c r="L34" s="786"/>
      <c r="M34" s="495">
        <f>SUM(M32:P32)</f>
        <v>529.96176653827501</v>
      </c>
      <c r="N34" s="332"/>
      <c r="O34" s="332"/>
      <c r="P34" s="332"/>
      <c r="Q34" s="787">
        <f>SUM(Q32:R32)</f>
        <v>579.85936149715849</v>
      </c>
      <c r="R34" s="786"/>
      <c r="S34" s="508"/>
      <c r="T34" s="508"/>
    </row>
    <row r="35" spans="1:20" ht="14.25" customHeight="1">
      <c r="A35" s="8" t="s">
        <v>385</v>
      </c>
      <c r="B35" s="838">
        <f>B33-D33</f>
        <v>71.670871900826114</v>
      </c>
      <c r="C35" s="508"/>
      <c r="D35" s="839">
        <v>0</v>
      </c>
      <c r="E35" s="840"/>
      <c r="F35" s="837">
        <f>F33-D33</f>
        <v>-115.21326493801689</v>
      </c>
      <c r="G35" s="837"/>
      <c r="H35" s="840"/>
      <c r="I35" s="837">
        <f>I33-D33</f>
        <v>-147.24943994887053</v>
      </c>
      <c r="J35" s="837"/>
      <c r="K35" s="837"/>
      <c r="L35" s="840"/>
      <c r="M35" s="837">
        <f>M33-D33</f>
        <v>-152.71768165475294</v>
      </c>
      <c r="N35" s="7"/>
      <c r="O35" s="7"/>
      <c r="P35" s="7"/>
      <c r="Q35" s="839">
        <f>Q33-D33</f>
        <v>-72.842517126446296</v>
      </c>
      <c r="R35" s="840"/>
      <c r="S35" s="508"/>
      <c r="T35" s="508"/>
    </row>
    <row r="36" spans="1:20" ht="15" customHeight="1">
      <c r="A36" s="842" t="s">
        <v>386</v>
      </c>
      <c r="B36" s="843">
        <f>B34-D34</f>
        <v>45.647533613984933</v>
      </c>
      <c r="C36" s="844"/>
      <c r="D36" s="843">
        <v>0</v>
      </c>
      <c r="E36" s="845"/>
      <c r="F36" s="844">
        <f>F34-D34</f>
        <v>-67.052094772621558</v>
      </c>
      <c r="G36" s="844"/>
      <c r="H36" s="845"/>
      <c r="I36" s="844">
        <f>I34-D34</f>
        <v>-85.772166452406395</v>
      </c>
      <c r="J36" s="844"/>
      <c r="K36" s="844"/>
      <c r="L36" s="845"/>
      <c r="M36" s="844">
        <f>M34-D34</f>
        <v>-88.796661756337471</v>
      </c>
      <c r="N36" s="846"/>
      <c r="O36" s="846"/>
      <c r="P36" s="846"/>
      <c r="Q36" s="843">
        <f>Q34-D34</f>
        <v>-38.899066797453997</v>
      </c>
      <c r="R36" s="847"/>
      <c r="S36" s="513"/>
      <c r="T36" s="513"/>
    </row>
    <row r="37" spans="1:20" s="9" customFormat="1" ht="15" customHeight="1">
      <c r="B37" s="508"/>
      <c r="C37" s="508"/>
      <c r="D37" s="508"/>
      <c r="E37" s="508"/>
      <c r="F37" s="508"/>
      <c r="G37" s="508"/>
      <c r="H37" s="508"/>
      <c r="I37" s="508"/>
      <c r="J37" s="508"/>
      <c r="K37" s="508"/>
      <c r="L37" s="508"/>
      <c r="M37" s="508"/>
      <c r="Q37" s="508"/>
      <c r="R37" s="508"/>
      <c r="S37" s="513"/>
      <c r="T37" s="513"/>
    </row>
    <row r="38" spans="1:20" ht="15" customHeight="1">
      <c r="A38" s="8"/>
      <c r="B38" s="508"/>
      <c r="C38" s="508"/>
      <c r="D38" s="508"/>
      <c r="E38" s="508"/>
      <c r="F38" s="508"/>
      <c r="G38" s="508"/>
      <c r="H38" s="508"/>
      <c r="I38" s="508"/>
      <c r="J38" s="508"/>
      <c r="K38" s="508"/>
      <c r="L38" s="508"/>
      <c r="M38" s="508"/>
      <c r="N38" s="9"/>
      <c r="O38" s="9"/>
      <c r="P38" s="9"/>
      <c r="Q38" s="508"/>
      <c r="R38" s="508"/>
      <c r="S38" s="513"/>
      <c r="T38" s="513"/>
    </row>
    <row r="39" spans="1:20">
      <c r="A39" s="1052" t="s">
        <v>387</v>
      </c>
      <c r="B39" s="1053"/>
      <c r="C39" s="1053"/>
      <c r="D39" s="1053"/>
      <c r="E39" s="1053"/>
      <c r="F39" s="1053"/>
      <c r="G39" s="1053"/>
      <c r="H39" s="1053"/>
      <c r="I39" s="1053"/>
      <c r="J39" s="1053"/>
      <c r="K39" s="1053"/>
      <c r="L39" s="1053"/>
      <c r="M39" s="1053"/>
      <c r="N39" s="1053"/>
      <c r="O39" s="1053"/>
      <c r="P39" s="1053"/>
      <c r="Q39" s="1053"/>
      <c r="R39" s="1054"/>
    </row>
    <row r="40" spans="1:20" ht="16" thickBot="1">
      <c r="A40" s="347"/>
      <c r="B40" s="1050" t="s">
        <v>135</v>
      </c>
      <c r="C40" s="1050"/>
      <c r="D40" s="1050" t="s">
        <v>136</v>
      </c>
      <c r="E40" s="1050"/>
      <c r="F40" s="999" t="s">
        <v>4</v>
      </c>
      <c r="G40" s="1000"/>
      <c r="H40" s="1001"/>
      <c r="I40" s="1000" t="s">
        <v>29</v>
      </c>
      <c r="J40" s="1000"/>
      <c r="K40" s="558"/>
      <c r="L40" s="558"/>
      <c r="M40" s="999" t="s">
        <v>30</v>
      </c>
      <c r="N40" s="1000"/>
      <c r="O40" s="558"/>
      <c r="P40" s="841"/>
      <c r="Q40" s="1033" t="s">
        <v>85</v>
      </c>
      <c r="R40" s="1034"/>
    </row>
    <row r="41" spans="1:20" s="821" customFormat="1" ht="17" thickBot="1">
      <c r="A41" s="819" t="s">
        <v>200</v>
      </c>
      <c r="B41" s="808">
        <f>B33/($A30-$A5+1)</f>
        <v>42.953283616698769</v>
      </c>
      <c r="C41" s="809"/>
      <c r="D41" s="808">
        <f>D33/($A30-$A5+1)</f>
        <v>40.196711620513149</v>
      </c>
      <c r="E41" s="809"/>
      <c r="F41" s="808">
        <f>F33/($A30-$A5+1)</f>
        <v>35.765432199820189</v>
      </c>
      <c r="G41" s="810"/>
      <c r="H41" s="809"/>
      <c r="I41" s="808">
        <f>I33/($A30-$A5+1)</f>
        <v>34.533271622479667</v>
      </c>
      <c r="J41" s="811"/>
      <c r="K41" s="811"/>
      <c r="L41" s="811"/>
      <c r="M41" s="808">
        <f>M33/($A30-$A5+1)</f>
        <v>34.32295463379188</v>
      </c>
      <c r="N41" s="810"/>
      <c r="O41" s="810"/>
      <c r="P41" s="809"/>
      <c r="Q41" s="810">
        <f>Q33/($A30-$A5+1)</f>
        <v>37.39507634641906</v>
      </c>
      <c r="R41" s="818"/>
      <c r="S41" s="820"/>
    </row>
    <row r="42" spans="1:20" s="859" customFormat="1" ht="16" thickBot="1">
      <c r="A42" s="855" t="s">
        <v>48</v>
      </c>
      <c r="B42" s="856">
        <f>B33/'תמהיל יצור'!$C$30*1000</f>
        <v>407.26013143968441</v>
      </c>
      <c r="C42" s="857"/>
      <c r="D42" s="856">
        <f>D33/'תמהיל יצור'!$C$30*1000</f>
        <v>381.12378564811229</v>
      </c>
      <c r="E42" s="857"/>
      <c r="F42" s="856">
        <f>F33/'תמהיל יצור'!$C$30*1000</f>
        <v>339.10875705514616</v>
      </c>
      <c r="G42" s="858"/>
      <c r="H42" s="858"/>
      <c r="I42" s="856">
        <f>I33/'תמהיל יצור'!$C$30*1000</f>
        <v>327.42606748103844</v>
      </c>
      <c r="J42" s="858"/>
      <c r="K42" s="858"/>
      <c r="L42" s="858"/>
      <c r="M42" s="856">
        <f>M33/'תמהיל יצור'!$C$30*1000</f>
        <v>325.431953940818</v>
      </c>
      <c r="N42" s="858"/>
      <c r="O42" s="858"/>
      <c r="P42" s="857"/>
      <c r="Q42" s="858">
        <f>Q33/'תמהיל יצור'!$C$30*1000</f>
        <v>354.56017388433003</v>
      </c>
      <c r="R42" s="857"/>
    </row>
    <row r="43" spans="1:20" ht="16" thickBot="1">
      <c r="A43" s="76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</row>
    <row r="44" spans="1:20" ht="16" thickBot="1">
      <c r="A44" s="1026" t="s">
        <v>57</v>
      </c>
      <c r="B44" s="1027"/>
      <c r="C44" s="1027"/>
      <c r="D44" s="1027"/>
      <c r="E44" s="1027"/>
      <c r="F44" s="1027"/>
      <c r="G44" s="1027"/>
      <c r="H44" s="1027"/>
      <c r="I44" s="1027"/>
      <c r="J44" s="1027"/>
      <c r="K44" s="1027"/>
      <c r="L44" s="1027"/>
      <c r="M44" s="1027"/>
      <c r="N44" s="1027"/>
      <c r="O44" s="1027"/>
      <c r="P44" s="1027"/>
      <c r="Q44" s="1027"/>
      <c r="R44" s="1028"/>
    </row>
    <row r="45" spans="1:20" ht="16" thickBot="1">
      <c r="A45" s="84" t="s">
        <v>36</v>
      </c>
      <c r="B45" s="85">
        <f>'הנחות עבודה'!B54</f>
        <v>11.1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8"/>
    </row>
    <row r="46" spans="1:20" ht="16" thickBot="1">
      <c r="A46" s="347"/>
      <c r="B46" s="1043" t="s">
        <v>135</v>
      </c>
      <c r="C46" s="1043"/>
      <c r="D46" s="1043" t="s">
        <v>136</v>
      </c>
      <c r="E46" s="1043"/>
      <c r="F46" s="1044" t="s">
        <v>4</v>
      </c>
      <c r="G46" s="1045"/>
      <c r="H46" s="1045"/>
      <c r="I46" s="1046" t="s">
        <v>29</v>
      </c>
      <c r="J46" s="1047"/>
      <c r="K46" s="559"/>
      <c r="L46" s="559"/>
      <c r="M46" s="1046" t="s">
        <v>30</v>
      </c>
      <c r="N46" s="1047"/>
      <c r="O46" s="559"/>
      <c r="P46" s="560"/>
      <c r="Q46" s="1048" t="s">
        <v>85</v>
      </c>
      <c r="R46" s="1049"/>
    </row>
    <row r="47" spans="1:20" s="821" customFormat="1" ht="16" thickBot="1">
      <c r="A47" s="41" t="s">
        <v>37</v>
      </c>
      <c r="B47" s="1016">
        <f>B15+C15</f>
        <v>40.701932659491007</v>
      </c>
      <c r="C47" s="1035"/>
      <c r="D47" s="1016">
        <f>D15+E15</f>
        <v>37.669188857838108</v>
      </c>
      <c r="E47" s="1035"/>
      <c r="F47" s="1016">
        <f>F15+G15+H15</f>
        <v>31.885058031391836</v>
      </c>
      <c r="G47" s="1017"/>
      <c r="H47" s="1017"/>
      <c r="I47" s="1016">
        <f>I15+J15+K15+L15</f>
        <v>30.20863760981123</v>
      </c>
      <c r="J47" s="1017"/>
      <c r="K47" s="826"/>
      <c r="L47" s="826"/>
      <c r="M47" s="1024">
        <f>N15+M15+O15+P15</f>
        <v>29.910449609811227</v>
      </c>
      <c r="N47" s="1025"/>
      <c r="O47" s="827"/>
      <c r="P47" s="828"/>
      <c r="Q47" s="1017">
        <f>Q15+R15</f>
        <v>34.7386144463687</v>
      </c>
      <c r="R47" s="1035"/>
    </row>
    <row r="48" spans="1:20" s="821" customFormat="1" ht="16" thickBot="1">
      <c r="A48" s="829" t="s">
        <v>38</v>
      </c>
      <c r="B48" s="1030">
        <f>B47/B45</f>
        <v>3.6668407801343252</v>
      </c>
      <c r="C48" s="1036"/>
      <c r="D48" s="1030">
        <f>D47/B45</f>
        <v>3.3936206178232533</v>
      </c>
      <c r="E48" s="1036"/>
      <c r="F48" s="1030">
        <f>F47/B45</f>
        <v>2.8725277505758413</v>
      </c>
      <c r="G48" s="1031"/>
      <c r="H48" s="1036"/>
      <c r="I48" s="1030">
        <f>I47/B45</f>
        <v>2.7214988837667775</v>
      </c>
      <c r="J48" s="1031"/>
      <c r="K48" s="830"/>
      <c r="L48" s="831"/>
      <c r="M48" s="1030">
        <f>M47/B45</f>
        <v>2.6946350999829933</v>
      </c>
      <c r="N48" s="1031"/>
      <c r="O48" s="830"/>
      <c r="P48" s="831"/>
      <c r="Q48" s="1030">
        <f>Q47/B45</f>
        <v>3.1296049050782613</v>
      </c>
      <c r="R48" s="1036"/>
    </row>
    <row r="49" spans="1:20" ht="16" thickBot="1">
      <c r="A49" s="157"/>
      <c r="B49" s="803"/>
      <c r="C49" s="803"/>
      <c r="D49" s="803"/>
      <c r="E49" s="803"/>
      <c r="F49" s="803"/>
      <c r="G49" s="803"/>
      <c r="H49" s="803"/>
      <c r="I49" s="803"/>
      <c r="J49" s="803"/>
      <c r="K49" s="803"/>
      <c r="L49" s="803"/>
      <c r="M49" s="803"/>
      <c r="N49" s="803"/>
      <c r="O49" s="803"/>
      <c r="P49" s="803"/>
      <c r="Q49" s="803"/>
      <c r="R49" s="803"/>
    </row>
    <row r="50" spans="1:20" ht="16" thickBot="1">
      <c r="A50" s="1026" t="s">
        <v>86</v>
      </c>
      <c r="B50" s="1027">
        <f>'הנחות עבודה'!B55</f>
        <v>13.2</v>
      </c>
      <c r="C50" s="1027"/>
      <c r="D50" s="1027"/>
      <c r="E50" s="1027"/>
      <c r="F50" s="1027"/>
      <c r="G50" s="1027"/>
      <c r="H50" s="1027"/>
      <c r="I50" s="1027"/>
      <c r="J50" s="1027"/>
      <c r="K50" s="1027"/>
      <c r="L50" s="1027"/>
      <c r="M50" s="1027"/>
      <c r="N50" s="1027"/>
      <c r="O50" s="1027"/>
      <c r="P50" s="1027"/>
      <c r="Q50" s="1027"/>
      <c r="R50" s="1028"/>
    </row>
    <row r="51" spans="1:20" ht="16" thickBot="1">
      <c r="A51" s="84"/>
      <c r="B51" s="85" t="s">
        <v>135</v>
      </c>
      <c r="C51" s="77"/>
      <c r="D51" s="77" t="s">
        <v>136</v>
      </c>
      <c r="E51" s="77"/>
      <c r="F51" s="77" t="s">
        <v>4</v>
      </c>
      <c r="G51" s="77"/>
      <c r="H51" s="77"/>
      <c r="I51" s="77" t="s">
        <v>29</v>
      </c>
      <c r="J51" s="77"/>
      <c r="K51" s="77"/>
      <c r="L51" s="77"/>
      <c r="M51" s="77" t="s">
        <v>30</v>
      </c>
      <c r="N51" s="77"/>
      <c r="O51" s="77"/>
      <c r="P51" s="77"/>
      <c r="Q51" s="77" t="s">
        <v>85</v>
      </c>
      <c r="R51" s="78"/>
    </row>
    <row r="52" spans="1:20" s="820" customFormat="1">
      <c r="A52" s="851" t="s">
        <v>263</v>
      </c>
      <c r="B52" s="1032">
        <f>B25+C25</f>
        <v>46.501066833869338</v>
      </c>
      <c r="C52" s="1032"/>
      <c r="D52" s="1032">
        <f>D25+E25</f>
        <v>44.494104023951991</v>
      </c>
      <c r="E52" s="1032"/>
      <c r="F52" s="1029">
        <f>F25+G25+H25</f>
        <v>40.417608113645713</v>
      </c>
      <c r="G52" s="1021"/>
      <c r="H52" s="1022"/>
      <c r="I52" s="1021">
        <f>I25+J25+K25+L25</f>
        <v>39.490656081710227</v>
      </c>
      <c r="J52" s="1021"/>
      <c r="K52" s="337"/>
      <c r="L52" s="337"/>
      <c r="M52" s="1029">
        <f>N25+M25+O25+P25</f>
        <v>39.192468081710231</v>
      </c>
      <c r="N52" s="1021"/>
      <c r="O52" s="337"/>
      <c r="P52" s="338"/>
      <c r="Q52" s="1021">
        <f>Q25+R25</f>
        <v>40.668877229648942</v>
      </c>
      <c r="R52" s="1022"/>
    </row>
    <row r="53" spans="1:20" s="821" customFormat="1">
      <c r="A53" s="848" t="s">
        <v>137</v>
      </c>
      <c r="B53" s="1018">
        <f>B52/B50</f>
        <v>3.5228080934749499</v>
      </c>
      <c r="C53" s="1023"/>
      <c r="D53" s="1018">
        <f>D52/B50</f>
        <v>3.3707654563599996</v>
      </c>
      <c r="E53" s="1023"/>
      <c r="F53" s="1018">
        <f>F52/B50</f>
        <v>3.0619400086095236</v>
      </c>
      <c r="G53" s="1019"/>
      <c r="H53" s="1019"/>
      <c r="I53" s="1018">
        <f>I52/B50</f>
        <v>2.9917163698265323</v>
      </c>
      <c r="J53" s="1019"/>
      <c r="K53" s="849"/>
      <c r="L53" s="849"/>
      <c r="M53" s="1018">
        <f>M52/B50</f>
        <v>2.9691263698265327</v>
      </c>
      <c r="N53" s="1019"/>
      <c r="O53" s="849"/>
      <c r="P53" s="850"/>
      <c r="Q53" s="1019">
        <f>Q52/B50</f>
        <v>3.0809755477006777</v>
      </c>
      <c r="R53" s="1020"/>
    </row>
    <row r="54" spans="1:20">
      <c r="S54" s="15"/>
      <c r="T54" s="15"/>
    </row>
    <row r="55" spans="1:20">
      <c r="S55" s="15"/>
      <c r="T55" s="15"/>
    </row>
    <row r="56" spans="1:20" ht="16" thickBot="1">
      <c r="S56" s="15"/>
      <c r="T56" s="15"/>
    </row>
    <row r="57" spans="1:20" ht="16" thickBot="1">
      <c r="A57" s="635" t="str">
        <f>'הנחות עבודה'!A73</f>
        <v>מקדמי פליטות - לפי תקן (גר׳/קוט״ש)</v>
      </c>
      <c r="B57" s="636"/>
    </row>
    <row r="58" spans="1:20">
      <c r="A58" s="640" t="s">
        <v>406</v>
      </c>
      <c r="B58" s="641">
        <f>'הנחות עבודה'!B75</f>
        <v>880</v>
      </c>
    </row>
    <row r="59" spans="1:20">
      <c r="A59" s="503" t="s">
        <v>407</v>
      </c>
      <c r="B59" s="504">
        <f>'הנחות עבודה'!B76</f>
        <v>474</v>
      </c>
    </row>
    <row r="60" spans="1:20">
      <c r="A60" s="503" t="str">
        <f>'הנחות עבודה'!A79</f>
        <v>יחידת גז משוקללת</v>
      </c>
      <c r="B60" s="637">
        <f>'הנחות עבודה'!B79</f>
        <v>378</v>
      </c>
    </row>
    <row r="61" spans="1:20">
      <c r="A61" s="503" t="s">
        <v>431</v>
      </c>
      <c r="B61" s="637">
        <f>'הנחות עבודה'!B78</f>
        <v>333.20753609795378</v>
      </c>
    </row>
    <row r="62" spans="1:20" ht="16" thickBot="1">
      <c r="A62" s="638" t="s">
        <v>432</v>
      </c>
      <c r="B62" s="639">
        <f>'הנחות עבודה'!B77</f>
        <v>481.24660752817073</v>
      </c>
    </row>
    <row r="63" spans="1:20">
      <c r="A63" s="8"/>
      <c r="B63" s="405"/>
    </row>
    <row r="64" spans="1:20" ht="16" thickBot="1">
      <c r="A64" s="8"/>
      <c r="B64" s="9"/>
    </row>
    <row r="65" spans="1:2" ht="16" thickBot="1">
      <c r="A65" s="140" t="s">
        <v>275</v>
      </c>
      <c r="B65" s="192"/>
    </row>
    <row r="66" spans="1:2">
      <c r="A66" s="640" t="s">
        <v>130</v>
      </c>
      <c r="B66" s="641">
        <v>634</v>
      </c>
    </row>
    <row r="67" spans="1:2" ht="16" thickBot="1">
      <c r="A67" s="638" t="s">
        <v>131</v>
      </c>
      <c r="B67" s="625">
        <v>526</v>
      </c>
    </row>
  </sheetData>
  <mergeCells count="47">
    <mergeCell ref="A2:R2"/>
    <mergeCell ref="B3:C3"/>
    <mergeCell ref="D3:E3"/>
    <mergeCell ref="F3:H3"/>
    <mergeCell ref="A39:R39"/>
    <mergeCell ref="Q3:R3"/>
    <mergeCell ref="M3:P3"/>
    <mergeCell ref="V3:AE3"/>
    <mergeCell ref="Q48:R48"/>
    <mergeCell ref="I3:L3"/>
    <mergeCell ref="M40:N40"/>
    <mergeCell ref="A44:R44"/>
    <mergeCell ref="B46:C46"/>
    <mergeCell ref="D46:E46"/>
    <mergeCell ref="F46:H46"/>
    <mergeCell ref="I46:J46"/>
    <mergeCell ref="M46:N46"/>
    <mergeCell ref="Q46:R46"/>
    <mergeCell ref="D48:E48"/>
    <mergeCell ref="F48:H48"/>
    <mergeCell ref="I48:J48"/>
    <mergeCell ref="B40:C40"/>
    <mergeCell ref="D40:E40"/>
    <mergeCell ref="I40:J40"/>
    <mergeCell ref="M47:N47"/>
    <mergeCell ref="A50:R50"/>
    <mergeCell ref="M52:N52"/>
    <mergeCell ref="M48:N48"/>
    <mergeCell ref="B52:C52"/>
    <mergeCell ref="D52:E52"/>
    <mergeCell ref="F52:H52"/>
    <mergeCell ref="F40:H40"/>
    <mergeCell ref="Q40:R40"/>
    <mergeCell ref="B47:C47"/>
    <mergeCell ref="Q47:R47"/>
    <mergeCell ref="I52:J52"/>
    <mergeCell ref="B48:C48"/>
    <mergeCell ref="D47:E47"/>
    <mergeCell ref="F47:H47"/>
    <mergeCell ref="I47:J47"/>
    <mergeCell ref="M53:N53"/>
    <mergeCell ref="Q53:R53"/>
    <mergeCell ref="Q52:R52"/>
    <mergeCell ref="B53:C53"/>
    <mergeCell ref="D53:E53"/>
    <mergeCell ref="F53:H53"/>
    <mergeCell ref="I53:J53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AN65"/>
  <sheetViews>
    <sheetView rightToLeft="1" topLeftCell="A3" zoomScaleNormal="115" workbookViewId="0">
      <selection activeCell="A37" sqref="A37:R37"/>
    </sheetView>
  </sheetViews>
  <sheetFormatPr baseColWidth="10" defaultColWidth="8.83203125" defaultRowHeight="15"/>
  <cols>
    <col min="1" max="1" width="39.1640625" customWidth="1"/>
    <col min="2" max="2" width="17.1640625" customWidth="1"/>
    <col min="3" max="3" width="15.6640625" customWidth="1"/>
    <col min="4" max="4" width="16.5" customWidth="1"/>
    <col min="5" max="5" width="11.6640625" customWidth="1"/>
    <col min="6" max="6" width="12.1640625" bestFit="1" customWidth="1"/>
    <col min="7" max="7" width="9.33203125" bestFit="1" customWidth="1"/>
    <col min="8" max="8" width="10.33203125" bestFit="1" customWidth="1"/>
    <col min="9" max="9" width="12.1640625" bestFit="1" customWidth="1"/>
    <col min="13" max="13" width="12.1640625" bestFit="1" customWidth="1"/>
    <col min="17" max="17" width="12.1640625" bestFit="1" customWidth="1"/>
    <col min="19" max="19" width="28.1640625" bestFit="1" customWidth="1"/>
    <col min="20" max="21" width="5.6640625" bestFit="1" customWidth="1"/>
    <col min="22" max="22" width="5.33203125" bestFit="1" customWidth="1"/>
    <col min="23" max="23" width="19.33203125" bestFit="1" customWidth="1"/>
    <col min="24" max="24" width="13.1640625" bestFit="1" customWidth="1"/>
    <col min="25" max="27" width="11.33203125" bestFit="1" customWidth="1"/>
  </cols>
  <sheetData>
    <row r="1" spans="1:40" ht="33">
      <c r="A1" s="225" t="s">
        <v>366</v>
      </c>
      <c r="B1" s="225"/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84" t="s">
        <v>12</v>
      </c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  <c r="AK1" s="226"/>
      <c r="AL1" s="226"/>
      <c r="AM1" s="226"/>
      <c r="AN1" s="226"/>
    </row>
    <row r="2" spans="1:40" ht="18" thickBot="1">
      <c r="A2" s="141"/>
      <c r="B2" s="1043" t="s">
        <v>135</v>
      </c>
      <c r="C2" s="1043"/>
      <c r="D2" s="1043" t="s">
        <v>136</v>
      </c>
      <c r="E2" s="1043"/>
      <c r="F2" s="1043" t="s">
        <v>4</v>
      </c>
      <c r="G2" s="1043"/>
      <c r="H2" s="1043"/>
      <c r="I2" s="1051" t="s">
        <v>29</v>
      </c>
      <c r="J2" s="1063"/>
      <c r="K2" s="1063"/>
      <c r="L2" s="1064"/>
      <c r="M2" s="1051" t="s">
        <v>30</v>
      </c>
      <c r="N2" s="1063"/>
      <c r="O2" s="1063"/>
      <c r="P2" s="1064"/>
      <c r="Q2" s="1065">
        <v>0.25</v>
      </c>
      <c r="R2" s="1065"/>
      <c r="S2" s="515">
        <f>'הנחות עבודה'!$B$37</f>
        <v>0.04</v>
      </c>
      <c r="U2" s="1060" t="s">
        <v>364</v>
      </c>
      <c r="V2" s="1061"/>
      <c r="W2" s="1061"/>
      <c r="X2" s="1061"/>
      <c r="Y2" s="1061"/>
      <c r="Z2" s="1061"/>
      <c r="AA2" s="1061"/>
      <c r="AB2" s="1061"/>
      <c r="AC2" s="1061"/>
      <c r="AD2" s="1061"/>
    </row>
    <row r="3" spans="1:40" ht="49" thickBot="1">
      <c r="A3" s="141" t="s">
        <v>6</v>
      </c>
      <c r="B3" s="40" t="s">
        <v>0</v>
      </c>
      <c r="C3" s="344" t="str">
        <f>E3</f>
        <v>מתקני גז קיימים</v>
      </c>
      <c r="D3" s="40" t="s">
        <v>0</v>
      </c>
      <c r="E3" s="675" t="str">
        <f>H3</f>
        <v>מתקני גז קיימים</v>
      </c>
      <c r="F3" s="554" t="s">
        <v>0</v>
      </c>
      <c r="G3" s="555" t="s">
        <v>16</v>
      </c>
      <c r="H3" s="676" t="str">
        <f>J3</f>
        <v>מתקני גז קיימים</v>
      </c>
      <c r="I3" s="677" t="s">
        <v>0</v>
      </c>
      <c r="J3" s="678" t="s">
        <v>433</v>
      </c>
      <c r="K3" s="678" t="s">
        <v>434</v>
      </c>
      <c r="L3" s="678" t="s">
        <v>435</v>
      </c>
      <c r="M3" s="679" t="s">
        <v>0</v>
      </c>
      <c r="N3" s="678" t="str">
        <f>J3</f>
        <v>מתקני גז קיימים</v>
      </c>
      <c r="O3" s="678" t="s">
        <v>434</v>
      </c>
      <c r="P3" s="680" t="s">
        <v>435</v>
      </c>
      <c r="Q3" s="489" t="s">
        <v>0</v>
      </c>
      <c r="R3" s="675" t="str">
        <f>C3</f>
        <v>מתקני גז קיימים</v>
      </c>
      <c r="S3" s="511" t="s">
        <v>384</v>
      </c>
      <c r="U3" s="65"/>
      <c r="V3" s="101">
        <v>2015</v>
      </c>
      <c r="W3" s="101">
        <v>2018</v>
      </c>
      <c r="X3" s="101"/>
      <c r="Y3" s="307" t="s">
        <v>92</v>
      </c>
      <c r="Z3" s="307" t="s">
        <v>128</v>
      </c>
      <c r="AA3" s="308" t="str">
        <f>Q38</f>
        <v xml:space="preserve">25% מתחדשות </v>
      </c>
      <c r="AB3" s="307" t="str">
        <f>F38</f>
        <v>הסבה</v>
      </c>
      <c r="AC3" s="307" t="str">
        <f>I38</f>
        <v>שימור</v>
      </c>
      <c r="AD3" s="101" t="str">
        <f>M38</f>
        <v>גריטה</v>
      </c>
    </row>
    <row r="4" spans="1:40" ht="16" thickBot="1">
      <c r="A4" s="141">
        <v>2020</v>
      </c>
      <c r="B4" s="149">
        <f>$B$57*'תמהיל יצור'!H4/1000</f>
        <v>6.1537190082644617</v>
      </c>
      <c r="C4" s="144">
        <f>$B$59*'תמהיל יצור'!I4/1000</f>
        <v>0.22776051652892565</v>
      </c>
      <c r="D4" s="145">
        <f>$B$57*'תמהיל יצור'!L4/10^3</f>
        <v>4.3413223140495862</v>
      </c>
      <c r="E4" s="142">
        <f>$B$59*'תמהיל יצור'!M4/10^3</f>
        <v>0.25796712809917355</v>
      </c>
      <c r="F4" s="149">
        <f>$B$57*('תמהיל יצור'!P4+'תמהיל יצור'!Q4)/10^3</f>
        <v>4.3413223140495862</v>
      </c>
      <c r="G4" s="153">
        <f>$B$58*'תמהיל יצור'!R4/10^3</f>
        <v>0</v>
      </c>
      <c r="H4" s="651">
        <f>$B$59*'תמהיל יצור'!S4/10^3</f>
        <v>0.25796712809917355</v>
      </c>
      <c r="I4" s="145">
        <f>$B$57*('תמהיל יצור'!V4+'תמהיל יצור'!W4)/10^3</f>
        <v>4.3413223140495862</v>
      </c>
      <c r="J4" s="153">
        <f>$B$59*'תמהיל יצור'!X4/10^3</f>
        <v>0.2579671280991736</v>
      </c>
      <c r="K4" s="153">
        <f>$B$59*'תמהיל יצור'!Y4/10^3</f>
        <v>0</v>
      </c>
      <c r="L4" s="153">
        <f>$B$59*'תמהיל יצור'!Z4/10^3</f>
        <v>0</v>
      </c>
      <c r="M4" s="151">
        <f>$B$57*'תמהיל יצור'!AC4/10^3</f>
        <v>4.3413223140495862</v>
      </c>
      <c r="N4" s="153">
        <f>$B$59*'תמהיל יצור'!AD4/10^3</f>
        <v>0.25796712809917355</v>
      </c>
      <c r="O4" s="153">
        <f>$B$59*'תמהיל יצור'!AE4/10^3</f>
        <v>0</v>
      </c>
      <c r="P4" s="153">
        <f>$B$59*'תמהיל יצור'!AF4/10^3</f>
        <v>0</v>
      </c>
      <c r="Q4" s="661">
        <f>$B$57*'תמהיל יצור'!AK4/10^3</f>
        <v>4.3413223140495862</v>
      </c>
      <c r="R4" s="142">
        <f>$B$59*'תמהיל יצור'!AL4/10^3</f>
        <v>0.2579671280991736</v>
      </c>
      <c r="S4" s="509">
        <f t="shared" ref="S4:S23" si="0">1/((1+$S$2)^($A4-2019))</f>
        <v>0.96153846153846145</v>
      </c>
      <c r="U4" s="101" t="s">
        <v>146</v>
      </c>
      <c r="V4" s="159">
        <f>B64</f>
        <v>68</v>
      </c>
      <c r="W4" s="159">
        <f>B65</f>
        <v>30</v>
      </c>
      <c r="X4" s="159"/>
      <c r="Y4" s="160">
        <f>B39</f>
        <v>5.9444803103383723</v>
      </c>
      <c r="Z4" s="160">
        <f>D39</f>
        <v>4.3245824241336717</v>
      </c>
      <c r="AA4" s="160">
        <f>Q39</f>
        <v>4.287523756486924</v>
      </c>
      <c r="AB4" s="160">
        <f>F39</f>
        <v>1.9537712728351031</v>
      </c>
      <c r="AC4" s="160">
        <f>I39</f>
        <v>1.2198895555517177</v>
      </c>
      <c r="AD4" s="160">
        <f>M39</f>
        <v>1.0962969028367857</v>
      </c>
    </row>
    <row r="5" spans="1:40" ht="16" thickBot="1">
      <c r="A5" s="141">
        <f>A4+1</f>
        <v>2021</v>
      </c>
      <c r="B5" s="149">
        <f>$B$57*'תמהיל יצור'!H5/1000</f>
        <v>6.1537190082644617</v>
      </c>
      <c r="C5" s="144">
        <f>$B$59*'תמהיל יצור'!I5/1000</f>
        <v>0.22937686652892567</v>
      </c>
      <c r="D5" s="145">
        <f>$B$57*'תמהיל יצור'!L5/10^3</f>
        <v>4.3413223140495862</v>
      </c>
      <c r="E5" s="142">
        <f>$B$59*'תמהיל יצור'!M5/10^3</f>
        <v>0.25958347809917359</v>
      </c>
      <c r="F5" s="149">
        <f>$B$57*('תמהיל יצור'!P5+'תמהיל יצור'!Q5)/10^3</f>
        <v>4.3413223140495862</v>
      </c>
      <c r="G5" s="153">
        <f>$B$58*'תמהיל יצור'!R5/10^3</f>
        <v>0</v>
      </c>
      <c r="H5" s="651">
        <f>$B$59*'תמהיל יצור'!S5/10^3</f>
        <v>0.25958347809917359</v>
      </c>
      <c r="I5" s="147">
        <f>$B$57*('תמהיל יצור'!V5+'תמהיל יצור'!W5)/10^3</f>
        <v>4.3413223140495862</v>
      </c>
      <c r="J5" s="154">
        <f>$B$59*'תמהיל יצור'!X5/10^3</f>
        <v>0.25958347809917359</v>
      </c>
      <c r="K5" s="662">
        <f>$B$59*'תמהיל יצור'!Y5/10^3</f>
        <v>0</v>
      </c>
      <c r="L5" s="662">
        <f>$B$59*'תמהיל יצור'!Z5/10^3</f>
        <v>0</v>
      </c>
      <c r="M5" s="152">
        <f>$B$57*'תמהיל יצור'!AC5/10^3</f>
        <v>4.3413223140495862</v>
      </c>
      <c r="N5" s="154">
        <f>$B$59*'תמהיל יצור'!AD5/10^3</f>
        <v>0.25958347809917359</v>
      </c>
      <c r="O5" s="662">
        <f>$B$59*'תמהיל יצור'!AE5/10^3</f>
        <v>0</v>
      </c>
      <c r="P5" s="662">
        <f>$B$59*'תמהיל יצור'!AF5/10^3</f>
        <v>0</v>
      </c>
      <c r="Q5" s="661">
        <f>$B$57*'תמהיל יצור'!AK5/10^3</f>
        <v>4.3413223140495862</v>
      </c>
      <c r="R5" s="142">
        <f>$B$59*'תמהיל יצור'!AL5/10^3</f>
        <v>0.25958347809917359</v>
      </c>
      <c r="S5" s="509">
        <f t="shared" si="0"/>
        <v>0.92455621301775137</v>
      </c>
      <c r="U5" s="18"/>
      <c r="V5" s="162"/>
      <c r="W5" s="162"/>
      <c r="X5" s="163"/>
      <c r="Y5" s="163"/>
      <c r="Z5" s="163"/>
      <c r="AA5" s="163"/>
      <c r="AB5" s="163"/>
      <c r="AC5" s="163"/>
    </row>
    <row r="6" spans="1:40" ht="16" thickBot="1">
      <c r="A6" s="141">
        <f t="shared" ref="A6:A29" si="1">A5+1</f>
        <v>2022</v>
      </c>
      <c r="B6" s="149">
        <f>$B$57*'תמהיל יצור'!H6/1000</f>
        <v>6.1537190082644617</v>
      </c>
      <c r="C6" s="144">
        <f>$B$59*'תמהיל יצור'!I6/1000</f>
        <v>0.2402170665289256</v>
      </c>
      <c r="D6" s="145">
        <f>$B$57*'תמהיל יצור'!L6/10^3</f>
        <v>4.3413223140495862</v>
      </c>
      <c r="E6" s="142">
        <f>$B$59*'תמהיל יצור'!M6/10^3</f>
        <v>0.2704236780991735</v>
      </c>
      <c r="F6" s="149">
        <f>$B$57*('תמהיל יצור'!P6+'תמהיל יצור'!Q6)/10^3</f>
        <v>2.9475147666504617</v>
      </c>
      <c r="G6" s="153">
        <f>$B$58*'תמהיל יצור'!R6/10^3</f>
        <v>0.35241322314049589</v>
      </c>
      <c r="H6" s="651">
        <f>$B$59*'תמהיל יצור'!S6/10^3</f>
        <v>0.27407529149246473</v>
      </c>
      <c r="I6" s="147">
        <f>$B$57*('תמהיל יצור'!V6+'תמהיל יצור'!W6)/10^3</f>
        <v>2.8729338842975207</v>
      </c>
      <c r="J6" s="154">
        <f>$B$59*'תמהיל יצור'!X6/10^3</f>
        <v>0.2948968185950413</v>
      </c>
      <c r="K6" s="662">
        <f>$B$59*'תמהיל יצור'!Y6/10^3</f>
        <v>0</v>
      </c>
      <c r="L6" s="662">
        <f>$B$59*'תמהיל יצור'!Z6/10^3</f>
        <v>0</v>
      </c>
      <c r="M6" s="152">
        <f>$B$57*'תמהיל יצור'!AC6/10^3</f>
        <v>2.8729338842975207</v>
      </c>
      <c r="N6" s="154">
        <f>$B$59*'תמהיל יצור'!AD6/10^3</f>
        <v>0.2948968185950413</v>
      </c>
      <c r="O6" s="662">
        <f>$B$59*'תמהיל יצור'!AE6/10^3</f>
        <v>0</v>
      </c>
      <c r="P6" s="662">
        <f>$B$59*'תמהיל יצור'!AF6/10^3</f>
        <v>0</v>
      </c>
      <c r="Q6" s="661">
        <f>$B$57*'תמהיל יצור'!AK6/10^3</f>
        <v>4.3413223140495862</v>
      </c>
      <c r="R6" s="142">
        <f>$B$59*'תמהיל יצור'!AL6/10^3</f>
        <v>0.2704236780991735</v>
      </c>
      <c r="S6" s="509">
        <f t="shared" si="0"/>
        <v>0.88899635867091487</v>
      </c>
      <c r="U6" s="18"/>
      <c r="V6" s="163"/>
      <c r="W6" s="163"/>
      <c r="X6" s="163"/>
      <c r="Y6" s="163"/>
      <c r="Z6" s="163"/>
      <c r="AA6" s="163"/>
      <c r="AB6" s="163"/>
      <c r="AC6" s="163"/>
    </row>
    <row r="7" spans="1:40" ht="16" thickBot="1">
      <c r="A7" s="141">
        <f t="shared" si="1"/>
        <v>2023</v>
      </c>
      <c r="B7" s="149">
        <f>$B$57*'תמהיל יצור'!H7/1000</f>
        <v>6.1537190082644617</v>
      </c>
      <c r="C7" s="146">
        <f>$B$59*'תמהיל יצור'!I7/1000</f>
        <v>0.24743161652892565</v>
      </c>
      <c r="D7" s="147">
        <f>$B$57*'תמהיל יצור'!L7/10^3</f>
        <v>4.3413223140495862</v>
      </c>
      <c r="E7" s="143">
        <f>$B$59*'תמהיל יצור'!M7/10^3</f>
        <v>0.27763822809917349</v>
      </c>
      <c r="F7" s="150">
        <f>$B$57*('תמהיל יצור'!P7+'תמהיל יצור'!Q7)/10^3</f>
        <v>2.9475147666504617</v>
      </c>
      <c r="G7" s="154">
        <f>$B$58*'תמהיל יצור'!R7/10^3</f>
        <v>0.35241322314049589</v>
      </c>
      <c r="H7" s="652">
        <f>$B$59*'תמהיל יצור'!S7/10^3</f>
        <v>0.28128984149246467</v>
      </c>
      <c r="I7" s="147">
        <f>$B$57*('תמהיל יצור'!V7+'תמהיל יצור'!W7)/10^3</f>
        <v>2.8729338842975207</v>
      </c>
      <c r="J7" s="154">
        <f>$B$59*'תמהיל יצור'!X7/10^3</f>
        <v>0.30211136859504129</v>
      </c>
      <c r="K7" s="662">
        <f>$B$59*'תמהיל יצור'!Y7/10^3</f>
        <v>0</v>
      </c>
      <c r="L7" s="662">
        <f>$B$59*'תמהיל יצור'!Z7/10^3</f>
        <v>0</v>
      </c>
      <c r="M7" s="152">
        <f>$B$57*'תמהיל יצור'!AC7/10^3</f>
        <v>2.8729338842975207</v>
      </c>
      <c r="N7" s="154">
        <f>$B$59*'תמהיל יצור'!AD7/10^3</f>
        <v>0.30211136859504129</v>
      </c>
      <c r="O7" s="662">
        <f>$B$59*'תמהיל יצור'!AE7/10^3</f>
        <v>0</v>
      </c>
      <c r="P7" s="662">
        <f>$B$59*'תמהיל יצור'!AF7/10^3</f>
        <v>0</v>
      </c>
      <c r="Q7" s="660">
        <f>$B$57*'תמהיל יצור'!AK7/10^3</f>
        <v>4.3413223140495862</v>
      </c>
      <c r="R7" s="143">
        <f>$B$59*'תמהיל יצור'!AL7/10^3</f>
        <v>0.26968382809917352</v>
      </c>
      <c r="S7" s="509">
        <f t="shared" si="0"/>
        <v>0.85480419102972571</v>
      </c>
    </row>
    <row r="8" spans="1:40" ht="16" thickBot="1">
      <c r="A8" s="141">
        <f t="shared" si="1"/>
        <v>2024</v>
      </c>
      <c r="B8" s="149">
        <f>$B$57*'תמהיל יצור'!H8/1000</f>
        <v>6.1537190082644617</v>
      </c>
      <c r="C8" s="146">
        <f>$B$59*'תמהיל יצור'!I8/1000</f>
        <v>0.25886281652892562</v>
      </c>
      <c r="D8" s="147">
        <f>$B$57*'תמהיל יצור'!L8/10^3</f>
        <v>4.3413223140495862</v>
      </c>
      <c r="E8" s="143">
        <f>$B$59*'תמהיל יצור'!M8/10^3</f>
        <v>0.28906942809917352</v>
      </c>
      <c r="F8" s="150">
        <f>$B$57*('תמהיל יצור'!P8+'תמהיל יצור'!Q8)/10^3</f>
        <v>1.5537072192513368</v>
      </c>
      <c r="G8" s="154">
        <f>$B$58*'תמהיל יצור'!R8/10^3</f>
        <v>0.70482644628099178</v>
      </c>
      <c r="H8" s="652">
        <f>$B$59*'תמהיל יצור'!S8/10^3</f>
        <v>0.29637265488575593</v>
      </c>
      <c r="I8" s="147">
        <f>$B$57*('תמהיל יצור'!V8+'תמהיל יצור'!W8)/10^3</f>
        <v>1.4648189839572192</v>
      </c>
      <c r="J8" s="154">
        <f>$B$59*'תמהיל יצור'!X8/10^3</f>
        <v>0.30803615026737963</v>
      </c>
      <c r="K8" s="662">
        <f>$B$59*'תמהיל יצור'!Y8/10^3</f>
        <v>2.5772499999999997E-2</v>
      </c>
      <c r="L8" s="662">
        <f>$B$59*'תמהיל יצור'!Z8/10^3</f>
        <v>3.2024999999999996E-3</v>
      </c>
      <c r="M8" s="152">
        <f>$B$57*'תמהיל יצור'!AC8/10^3</f>
        <v>1.4045454545454545</v>
      </c>
      <c r="N8" s="154">
        <f>$B$59*'תמהיל יצור'!AD8/10^3</f>
        <v>0.30904070909090903</v>
      </c>
      <c r="O8" s="662">
        <f>$B$59*'תמהיל יצור'!AE8/10^3</f>
        <v>2.5772499999999997E-2</v>
      </c>
      <c r="P8" s="662">
        <f>$B$59*'תמהיל יצור'!AF8/10^3</f>
        <v>3.2024999999999996E-3</v>
      </c>
      <c r="Q8" s="660">
        <f>$B$57*'תמהיל יצור'!AK8/10^3</f>
        <v>4.3413223140495862</v>
      </c>
      <c r="R8" s="143">
        <f>$B$59*'תמהיל יצור'!AL8/10^3</f>
        <v>0.27264102809917351</v>
      </c>
      <c r="S8" s="509">
        <f t="shared" si="0"/>
        <v>0.82192710675935154</v>
      </c>
    </row>
    <row r="9" spans="1:40" ht="16" thickBot="1">
      <c r="A9" s="141">
        <f t="shared" si="1"/>
        <v>2025</v>
      </c>
      <c r="B9" s="149">
        <f>$B$57*'תמהיל יצור'!H9/1000</f>
        <v>6.1537190082644617</v>
      </c>
      <c r="C9" s="146">
        <f>$B$59*'תמהיל יצור'!I9/1000</f>
        <v>0.26642241652892562</v>
      </c>
      <c r="D9" s="147">
        <f>$B$57*'תמהיל יצור'!L9/10^3</f>
        <v>4.3413223140495862</v>
      </c>
      <c r="E9" s="143">
        <f>$B$59*'תמהיל יצור'!M9/10^3</f>
        <v>0.29662902809917352</v>
      </c>
      <c r="F9" s="150">
        <f>$B$57*('תמהיל יצור'!P9+'תמהיל יצור'!Q9)/10^3</f>
        <v>1.5537072192513368</v>
      </c>
      <c r="G9" s="154">
        <f>$B$58*'תמהיל יצור'!R9/10^3</f>
        <v>0.70482644628099178</v>
      </c>
      <c r="H9" s="652">
        <f>$B$59*'תמהיל יצור'!S9/10^3</f>
        <v>0.30393225488575598</v>
      </c>
      <c r="I9" s="147">
        <f>$B$57*('תמהיל יצור'!V9+'תמהיל יצור'!W9)/10^3</f>
        <v>1.4648189839572192</v>
      </c>
      <c r="J9" s="154">
        <f>$B$59*'תמהיל יצור'!X9/10^3</f>
        <v>0.31559575026737968</v>
      </c>
      <c r="K9" s="662">
        <f>$B$59*'תמהיל יצור'!Y9/10^3</f>
        <v>2.5772499999999997E-2</v>
      </c>
      <c r="L9" s="662">
        <f>$B$59*'תמהיל יצור'!Z9/10^3</f>
        <v>3.2024999999999996E-3</v>
      </c>
      <c r="M9" s="152">
        <f>$B$57*'תמהיל יצור'!AC9/10^3</f>
        <v>1.4045454545454545</v>
      </c>
      <c r="N9" s="154">
        <f>$B$59*'תמהיל יצור'!AD9/10^3</f>
        <v>0.31660030909090903</v>
      </c>
      <c r="O9" s="662">
        <f>$B$59*'תמהיל יצור'!AE9/10^3</f>
        <v>2.5772499999999997E-2</v>
      </c>
      <c r="P9" s="662">
        <f>$B$59*'תמהיל יצור'!AF9/10^3</f>
        <v>3.2024999999999996E-3</v>
      </c>
      <c r="Q9" s="660">
        <f>$B$57*'תמהיל יצור'!AK9/10^3</f>
        <v>4.3413223140495862</v>
      </c>
      <c r="R9" s="143">
        <f>$B$59*'תמהיל יצור'!AL9/10^3</f>
        <v>0.27542302809917357</v>
      </c>
      <c r="S9" s="509">
        <f t="shared" si="0"/>
        <v>0.79031452573014571</v>
      </c>
    </row>
    <row r="10" spans="1:40" ht="16" thickBot="1">
      <c r="A10" s="141">
        <f t="shared" si="1"/>
        <v>2026</v>
      </c>
      <c r="B10" s="149">
        <f>$B$57*'תמהיל יצור'!H10/1000</f>
        <v>6.1537190082644617</v>
      </c>
      <c r="C10" s="146">
        <f>$B$59*'תמהיל יצור'!I10/1000</f>
        <v>0.27638499532892558</v>
      </c>
      <c r="D10" s="147">
        <f>$B$57*'תמהיל יצור'!L10/10^3</f>
        <v>4.3413223140495862</v>
      </c>
      <c r="E10" s="143">
        <f>$B$59*'תמהיל יצור'!M10/10^3</f>
        <v>0.30659160689917347</v>
      </c>
      <c r="F10" s="150">
        <f>$B$57*('תמהיל יצור'!P10+'תמהיל יצור'!Q10)/10^3</f>
        <v>0.2205</v>
      </c>
      <c r="G10" s="154">
        <f>$B$58*'תמהיל יצור'!R10/10^3</f>
        <v>1.0419173553719008</v>
      </c>
      <c r="H10" s="652">
        <f>$B$59*'תמהיל יצור'!S10/10^3</f>
        <v>0.31738768127933886</v>
      </c>
      <c r="I10" s="147">
        <f>$B$57*('תמהיל יצור'!V10+'תמהיל יצור'!W10)/10^3</f>
        <v>0.12054705882352941</v>
      </c>
      <c r="J10" s="154">
        <f>$B$59*'תמהיל יצור'!X10/10^3</f>
        <v>0.31898786115294109</v>
      </c>
      <c r="K10" s="662">
        <f>$B$59*'תמהיל יצור'!Y10/10^3</f>
        <v>5.1544999999999994E-2</v>
      </c>
      <c r="L10" s="662">
        <f>$B$59*'תמהיל יצור'!Z10/10^3</f>
        <v>6.4049999999999992E-3</v>
      </c>
      <c r="M10" s="152">
        <f>$B$57*'תמהיל יצור'!AC10/10^3</f>
        <v>0</v>
      </c>
      <c r="N10" s="154">
        <f>$B$59*'תמהיל יצור'!AD10/10^3</f>
        <v>0.32099697879999994</v>
      </c>
      <c r="O10" s="662">
        <f>$B$59*'תמהיל יצור'!AE10/10^3</f>
        <v>5.1544999999999994E-2</v>
      </c>
      <c r="P10" s="662">
        <f>$B$59*'תמהיל יצור'!AF10/10^3</f>
        <v>6.4049999999999992E-3</v>
      </c>
      <c r="Q10" s="660">
        <f>$B$57*'תמהיל יצור'!AK10/10^3</f>
        <v>4.3413223140495862</v>
      </c>
      <c r="R10" s="143">
        <f>$B$59*'תמהיל יצור'!AL10/10^3</f>
        <v>0.27610162009917355</v>
      </c>
      <c r="S10" s="509">
        <f t="shared" si="0"/>
        <v>0.75991781320206331</v>
      </c>
    </row>
    <row r="11" spans="1:40" ht="16" thickBot="1">
      <c r="A11" s="141">
        <f t="shared" si="1"/>
        <v>2027</v>
      </c>
      <c r="B11" s="149">
        <f>$B$57*'תמהיל יצור'!H11/1000</f>
        <v>6.1537190082644617</v>
      </c>
      <c r="C11" s="146">
        <f>$B$59*'תמהיל יצור'!I11/1000</f>
        <v>0.28214324712172556</v>
      </c>
      <c r="D11" s="147">
        <f>$B$57*'תמהיל יצור'!L11/10^3</f>
        <v>4.3413223140495862</v>
      </c>
      <c r="E11" s="143">
        <f>$B$59*'תמהיל יצור'!M11/10^3</f>
        <v>0.31234985869197346</v>
      </c>
      <c r="F11" s="150">
        <f>$B$57*('תמהיל יצור'!P11+'תמהיל יצור'!Q11)/10^3</f>
        <v>0.2205</v>
      </c>
      <c r="G11" s="154">
        <f>$B$58*'תמהיל יצור'!R11/10^3</f>
        <v>1.0419173553719008</v>
      </c>
      <c r="H11" s="652">
        <f>$B$59*'תמהיל יצור'!S11/10^3</f>
        <v>0.32314593307213874</v>
      </c>
      <c r="I11" s="147">
        <f>$B$57*('תמהיל יצור'!V11+'תמהיל יצור'!W11)/10^3</f>
        <v>0.12054705882352941</v>
      </c>
      <c r="J11" s="154">
        <f>$B$59*'תמהיל יצור'!X11/10^3</f>
        <v>0.32474611294574107</v>
      </c>
      <c r="K11" s="662">
        <f>$B$59*'תמהיל יצור'!Y11/10^3</f>
        <v>5.1544999999999994E-2</v>
      </c>
      <c r="L11" s="662">
        <f>$B$59*'תמהיל יצור'!Z11/10^3</f>
        <v>6.4049999999999992E-3</v>
      </c>
      <c r="M11" s="152">
        <f>$B$57*'תמהיל יצור'!AC11/10^3</f>
        <v>0</v>
      </c>
      <c r="N11" s="154">
        <f>$B$59*'תמהיל יצור'!AD11/10^3</f>
        <v>0.32675523059279987</v>
      </c>
      <c r="O11" s="662">
        <f>$B$59*'תמהיל יצור'!AE11/10^3</f>
        <v>5.1544999999999994E-2</v>
      </c>
      <c r="P11" s="662">
        <f>$B$59*'תמהיל יצור'!AF11/10^3</f>
        <v>6.4049999999999992E-3</v>
      </c>
      <c r="Q11" s="660">
        <f>$B$57*'תמהיל יצור'!AK11/10^3</f>
        <v>4.3413223140495862</v>
      </c>
      <c r="R11" s="143">
        <f>$B$59*'תמהיל יצור'!AL11/10^3</f>
        <v>0.2765633256135735</v>
      </c>
      <c r="S11" s="509">
        <f t="shared" si="0"/>
        <v>0.73069020500198378</v>
      </c>
    </row>
    <row r="12" spans="1:40" ht="16" thickBot="1">
      <c r="A12" s="141">
        <f t="shared" si="1"/>
        <v>2028</v>
      </c>
      <c r="B12" s="149">
        <f>$B$57*'תמהיל יצור'!H12/1000</f>
        <v>6.1537190082644617</v>
      </c>
      <c r="C12" s="146">
        <f>$B$59*'תמהיל יצור'!I12/1000</f>
        <v>0.28793619216379157</v>
      </c>
      <c r="D12" s="147">
        <f>$B$57*'תמהיל יצור'!L12/10^3</f>
        <v>4.3413223140495862</v>
      </c>
      <c r="E12" s="143">
        <f>$B$59*'תמהיל יצור'!M12/10^3</f>
        <v>0.31814280373403947</v>
      </c>
      <c r="F12" s="150">
        <f>$B$57*('תמהיל יצור'!P12+'תמהיל יצור'!Q12)/10^3</f>
        <v>0.2205</v>
      </c>
      <c r="G12" s="154">
        <f>$B$58*'תמהיל יצור'!R12/10^3</f>
        <v>1.0419173553719008</v>
      </c>
      <c r="H12" s="652">
        <f>$B$59*'תמהיל יצור'!S12/10^3</f>
        <v>0.3289388781142048</v>
      </c>
      <c r="I12" s="147">
        <f>$B$57*('תמהיל יצור'!V12+'תמהיל יצור'!W12)/10^3</f>
        <v>0.1782</v>
      </c>
      <c r="J12" s="154">
        <f>$B$59*'תמהיל יצור'!X12/10^3</f>
        <v>0.30060317563486594</v>
      </c>
      <c r="K12" s="662">
        <f>$B$59*'תמהיל יצור'!Y12/10^3</f>
        <v>7.7317500000000011E-2</v>
      </c>
      <c r="L12" s="662">
        <f>$B$59*'תמהיל יצור'!Z12/10^3</f>
        <v>9.607499999999998E-3</v>
      </c>
      <c r="M12" s="152">
        <f>$B$57*'תמהיל יצור'!AC12/10^3</f>
        <v>0</v>
      </c>
      <c r="N12" s="154">
        <f>$B$59*'תמהיל יצור'!AD12/10^3</f>
        <v>0.30357317563486591</v>
      </c>
      <c r="O12" s="662">
        <f>$B$59*'תמהיל יצור'!AE12/10^3</f>
        <v>7.7317500000000011E-2</v>
      </c>
      <c r="P12" s="662">
        <f>$B$59*'תמהיל יצור'!AF12/10^3</f>
        <v>9.607499999999998E-3</v>
      </c>
      <c r="Q12" s="660">
        <f>$B$57*'תמהיל יצור'!AK12/10^3</f>
        <v>4.3413223140495862</v>
      </c>
      <c r="R12" s="143">
        <f>$B$59*'תמהיל יצור'!AL12/10^3</f>
        <v>0.2767959380785831</v>
      </c>
      <c r="S12" s="509">
        <f t="shared" si="0"/>
        <v>0.70258673557883045</v>
      </c>
    </row>
    <row r="13" spans="1:40" ht="16" thickBot="1">
      <c r="A13" s="141">
        <f t="shared" si="1"/>
        <v>2029</v>
      </c>
      <c r="B13" s="149">
        <f>$B$57*'תמהיל יצור'!H13/1000</f>
        <v>6.1537190082644617</v>
      </c>
      <c r="C13" s="146">
        <f>$B$59*'תמהיל יצור'!I13/1000</f>
        <v>0.29376150612502694</v>
      </c>
      <c r="D13" s="147">
        <f>$B$57*'תמהיל יצור'!L13/10^3</f>
        <v>4.3413223140495862</v>
      </c>
      <c r="E13" s="143">
        <f>$B$59*'תמהיל יצור'!M13/10^3</f>
        <v>0.32396811769527484</v>
      </c>
      <c r="F13" s="150">
        <f>$B$57*('תמהיל יצור'!P13+'תמהיל יצור'!Q13)/10^3</f>
        <v>0.2205</v>
      </c>
      <c r="G13" s="154">
        <f>$B$58*'תמהיל יצור'!R13/10^3</f>
        <v>1.0419173553719008</v>
      </c>
      <c r="H13" s="652">
        <f>$B$59*'תמהיל יצור'!S13/10^3</f>
        <v>0.33476419207544011</v>
      </c>
      <c r="I13" s="147">
        <f>$B$57*('תמהיל יצור'!V13+'תמהיל יצור'!W13)/10^3</f>
        <v>0.1782</v>
      </c>
      <c r="J13" s="154">
        <f>$B$59*'תמהיל יצור'!X13/10^3</f>
        <v>0.30642848959610125</v>
      </c>
      <c r="K13" s="662">
        <f>$B$59*'תמהיל יצור'!Y13/10^3</f>
        <v>7.7317500000000011E-2</v>
      </c>
      <c r="L13" s="662">
        <f>$B$59*'תמהיל יצור'!Z13/10^3</f>
        <v>9.607499999999998E-3</v>
      </c>
      <c r="M13" s="152">
        <f>$B$57*'תמהיל יצור'!AC13/10^3</f>
        <v>0</v>
      </c>
      <c r="N13" s="154">
        <f>$B$59*'תמהיל יצור'!AD13/10^3</f>
        <v>0.30939848959610122</v>
      </c>
      <c r="O13" s="662">
        <f>$B$59*'תמהיל יצור'!AE13/10^3</f>
        <v>7.7317500000000011E-2</v>
      </c>
      <c r="P13" s="662">
        <f>$B$59*'תמהיל יצור'!AF13/10^3</f>
        <v>9.607499999999998E-3</v>
      </c>
      <c r="Q13" s="660">
        <f>$B$57*'תמהיל יצור'!AK13/10^3</f>
        <v>4.3413223140495862</v>
      </c>
      <c r="R13" s="143">
        <f>$B$59*'תמהיל יצור'!AL13/10^3</f>
        <v>0.27678674988621521</v>
      </c>
      <c r="S13" s="509">
        <f t="shared" si="0"/>
        <v>0.67556416882579851</v>
      </c>
    </row>
    <row r="14" spans="1:40" ht="16" thickBot="1">
      <c r="A14" s="141">
        <f t="shared" si="1"/>
        <v>2030</v>
      </c>
      <c r="B14" s="149">
        <f>$B$57*'תמהיל יצור'!H14/1000</f>
        <v>6.1537190082644617</v>
      </c>
      <c r="C14" s="146">
        <f>$B$59*'תמהיל יצור'!I14/1000</f>
        <v>0.29961671387013122</v>
      </c>
      <c r="D14" s="147">
        <f>$B$57*'תמהיל יצור'!L14/10^3</f>
        <v>4.3413223140495862</v>
      </c>
      <c r="E14" s="143">
        <f>$B$59*'תמהיל יצור'!M14/10^3</f>
        <v>0.32982332544037912</v>
      </c>
      <c r="F14" s="150">
        <f>$B$57*('תמהיל יצור'!P14+'תמהיל יצור'!Q14)/10^3</f>
        <v>0.2205</v>
      </c>
      <c r="G14" s="154">
        <f>$B$58*'תמהיל יצור'!R14/10^3</f>
        <v>1.0419173553719008</v>
      </c>
      <c r="H14" s="652">
        <f>$B$59*'תמהיל יצור'!S14/10^3</f>
        <v>0.3406193998205444</v>
      </c>
      <c r="I14" s="147">
        <f>$B$57*('תמהיל יצור'!V14+'תמהיל יצור'!W14)/10^3</f>
        <v>0.1782</v>
      </c>
      <c r="J14" s="154">
        <f>$B$59*'תמהיל יצור'!X14/10^3</f>
        <v>0.31228369734120559</v>
      </c>
      <c r="K14" s="662">
        <f>$B$59*'תמהיל יצור'!Y14/10^3</f>
        <v>7.7317500000000011E-2</v>
      </c>
      <c r="L14" s="662">
        <f>$B$59*'תמהיל יצור'!Z14/10^3</f>
        <v>9.607499999999998E-3</v>
      </c>
      <c r="M14" s="152">
        <f>$B$57*'תמהיל יצור'!AC14/10^3</f>
        <v>0</v>
      </c>
      <c r="N14" s="154">
        <f>$B$59*'תמהיל יצור'!AD14/10^3</f>
        <v>0.31525369734120556</v>
      </c>
      <c r="O14" s="662">
        <f>$B$59*'תמהיל יצור'!AE14/10^3</f>
        <v>7.7317500000000011E-2</v>
      </c>
      <c r="P14" s="662">
        <f>$B$59*'תמהיל יצור'!AF14/10^3</f>
        <v>9.607499999999998E-3</v>
      </c>
      <c r="Q14" s="660">
        <f>$B$57*'תמהיל יצור'!AK14/10^3</f>
        <v>4.3413223140495862</v>
      </c>
      <c r="R14" s="143">
        <f>$B$59*'תמהיל יצור'!AL14/10^3</f>
        <v>0.29105911364845566</v>
      </c>
      <c r="S14" s="509">
        <f t="shared" si="0"/>
        <v>0.6495809315632679</v>
      </c>
    </row>
    <row r="15" spans="1:40" ht="16" thickBot="1">
      <c r="A15" s="141">
        <f t="shared" si="1"/>
        <v>2031</v>
      </c>
      <c r="B15" s="149">
        <f>$B$57*'תמהיל יצור'!H15/1000</f>
        <v>6.1537190082644617</v>
      </c>
      <c r="C15" s="146">
        <f>$B$59*'תמהיל יצור'!I15/1000</f>
        <v>0.31047553869834371</v>
      </c>
      <c r="D15" s="147">
        <f>$B$57*'תמהיל יצור'!L15/10^3</f>
        <v>4.3413223140495862</v>
      </c>
      <c r="E15" s="143">
        <f>$B$59*'תמהיל יצור'!M15/10^3</f>
        <v>0.34068215026859161</v>
      </c>
      <c r="F15" s="150">
        <f>$B$57*('תמהיל יצור'!P15+'תמהיל יצור'!Q15)/10^3</f>
        <v>0.2205</v>
      </c>
      <c r="G15" s="154">
        <f>$B$58*'תמהיל יצור'!R15/10^3</f>
        <v>1.0419173553719008</v>
      </c>
      <c r="H15" s="652">
        <f>$B$59*'תמהיל יצור'!S15/10^3</f>
        <v>0.35147822464875694</v>
      </c>
      <c r="I15" s="147">
        <f>$B$57*('תמהיל יצור'!V15+'תמהיל יצור'!W15)/10^3</f>
        <v>0.1782</v>
      </c>
      <c r="J15" s="154">
        <f>$B$59*'תמהיל יצור'!X15/10^3</f>
        <v>0.32314252216941813</v>
      </c>
      <c r="K15" s="662">
        <f>$B$59*'תמהיל יצור'!Y15/10^3</f>
        <v>7.7317500000000011E-2</v>
      </c>
      <c r="L15" s="662">
        <f>$B$59*'תמהיל יצור'!Z15/10^3</f>
        <v>9.607499999999998E-3</v>
      </c>
      <c r="M15" s="152">
        <f>$B$57*'תמהיל יצור'!AC15/10^3</f>
        <v>0</v>
      </c>
      <c r="N15" s="154">
        <f>$B$59*'תמהיל יצור'!AD15/10^3</f>
        <v>0.32611252216941811</v>
      </c>
      <c r="O15" s="662">
        <f>$B$59*'תמהיל יצור'!AE15/10^3</f>
        <v>7.7317500000000011E-2</v>
      </c>
      <c r="P15" s="662">
        <f>$B$59*'תמהיל יצור'!AF15/10^3</f>
        <v>9.607499999999998E-3</v>
      </c>
      <c r="Q15" s="660">
        <f>$B$57*'תמהיל יצור'!AK15/10^3</f>
        <v>4.3413223140495862</v>
      </c>
      <c r="R15" s="143">
        <f>$B$59*'תמהיל יצור'!AL15/10^3</f>
        <v>0.30087130475828633</v>
      </c>
      <c r="S15" s="509">
        <f t="shared" si="0"/>
        <v>0.62459704958006512</v>
      </c>
    </row>
    <row r="16" spans="1:40" ht="16" thickBot="1">
      <c r="A16" s="141">
        <f t="shared" si="1"/>
        <v>2032</v>
      </c>
      <c r="B16" s="149">
        <f>$B$57*'תמהיל יצור'!H16/1000</f>
        <v>6.1537190082644617</v>
      </c>
      <c r="C16" s="146">
        <f>$B$59*'תמהיל יצור'!I16/1000</f>
        <v>0.32162755179691799</v>
      </c>
      <c r="D16" s="147">
        <f>$B$57*'תמהיל יצור'!L16/10^3</f>
        <v>4.3413223140495862</v>
      </c>
      <c r="E16" s="143">
        <f>$B$59*'תמהיל יצור'!M16/10^3</f>
        <v>0.35183416336716589</v>
      </c>
      <c r="F16" s="150">
        <f>$B$57*('תמהיל יצור'!P16+'תמהיל יצור'!Q16)/10^3</f>
        <v>0.2205</v>
      </c>
      <c r="G16" s="154">
        <f>$B$58*'תמהיל יצור'!R16/10^3</f>
        <v>1.0419173553719008</v>
      </c>
      <c r="H16" s="652">
        <f>$B$59*'תמהיל יצור'!S16/10^3</f>
        <v>0.36263023774733122</v>
      </c>
      <c r="I16" s="147">
        <f>$B$57*('תמהיל יצור'!V16+'תמהיל יצור'!W16)/10^3</f>
        <v>0.1782</v>
      </c>
      <c r="J16" s="154">
        <f>$B$59*'תמהיל יצור'!X16/10^3</f>
        <v>0.33429453526799247</v>
      </c>
      <c r="K16" s="662">
        <f>$B$59*'תמהיל יצור'!Y16/10^3</f>
        <v>7.7317500000000011E-2</v>
      </c>
      <c r="L16" s="662">
        <f>$B$59*'תמהיל יצור'!Z16/10^3</f>
        <v>9.607499999999998E-3</v>
      </c>
      <c r="M16" s="152">
        <f>$B$57*'תמהיל יצור'!AC16/10^3</f>
        <v>0</v>
      </c>
      <c r="N16" s="154">
        <f>$B$59*'תמהיל יצור'!AD16/10^3</f>
        <v>0.33726453526799244</v>
      </c>
      <c r="O16" s="662">
        <f>$B$59*'תמהיל יצור'!AE16/10^3</f>
        <v>7.7317500000000011E-2</v>
      </c>
      <c r="P16" s="662">
        <f>$B$59*'תמהיל יצור'!AF16/10^3</f>
        <v>9.607499999999998E-3</v>
      </c>
      <c r="Q16" s="660">
        <f>$B$57*'תמהיל יצור'!AK16/10^3</f>
        <v>4.3413223140495862</v>
      </c>
      <c r="R16" s="143">
        <f>$B$59*'תמהיל יצור'!AL16/10^3</f>
        <v>0.31094842502808229</v>
      </c>
      <c r="S16" s="509">
        <f t="shared" si="0"/>
        <v>0.600574086134678</v>
      </c>
    </row>
    <row r="17" spans="1:21" ht="16" thickBot="1">
      <c r="A17" s="141">
        <f t="shared" si="1"/>
        <v>2033</v>
      </c>
      <c r="B17" s="149">
        <f>$B$57*'תמהיל יצור'!H17/1000</f>
        <v>6.1537190082644617</v>
      </c>
      <c r="C17" s="146">
        <f>$B$59*'תמהיל יצור'!I17/1000</f>
        <v>0.33308066924915375</v>
      </c>
      <c r="D17" s="147">
        <f>$B$57*'תמהיל יצור'!L17/10^3</f>
        <v>4.3413223140495862</v>
      </c>
      <c r="E17" s="143">
        <f>$B$59*'תמהיל יצור'!M17/10^3</f>
        <v>0.36328728081940165</v>
      </c>
      <c r="F17" s="150">
        <f>$B$57*('תמהיל יצור'!P17+'תמהיל יצור'!Q17)/10^3</f>
        <v>0.2205</v>
      </c>
      <c r="G17" s="154">
        <f>$B$58*'תמהיל יצור'!R17/10^3</f>
        <v>1.0419173553719008</v>
      </c>
      <c r="H17" s="652">
        <f>$B$59*'תמהיל יצור'!S17/10^3</f>
        <v>0.37408335519956692</v>
      </c>
      <c r="I17" s="147">
        <f>$B$57*('תמהיל יצור'!V17+'תמהיל יצור'!W17)/10^3</f>
        <v>0.1782</v>
      </c>
      <c r="J17" s="154">
        <f>$B$59*'תמהיל יצור'!X17/10^3</f>
        <v>0.34574765272022817</v>
      </c>
      <c r="K17" s="662">
        <f>$B$59*'תמהיל יצור'!Y17/10^3</f>
        <v>7.7317500000000011E-2</v>
      </c>
      <c r="L17" s="662">
        <f>$B$59*'תמהיל יצור'!Z17/10^3</f>
        <v>9.607499999999998E-3</v>
      </c>
      <c r="M17" s="152">
        <f>$B$57*'תמהיל יצור'!AC17/10^3</f>
        <v>0</v>
      </c>
      <c r="N17" s="154">
        <f>$B$59*'תמהיל יצור'!AD17/10^3</f>
        <v>0.34871765272022809</v>
      </c>
      <c r="O17" s="662">
        <f>$B$59*'תמהיל יצור'!AE17/10^3</f>
        <v>7.7317500000000011E-2</v>
      </c>
      <c r="P17" s="662">
        <f>$B$59*'תמהיל יצור'!AF17/10^3</f>
        <v>9.607499999999998E-3</v>
      </c>
      <c r="Q17" s="660">
        <f>$B$57*'תמהיל יצור'!AK17/10^3</f>
        <v>4.3413223140495862</v>
      </c>
      <c r="R17" s="143">
        <f>$B$59*'תמהיל יצור'!AL17/10^3</f>
        <v>0.32129762754516278</v>
      </c>
      <c r="S17" s="509">
        <f t="shared" si="0"/>
        <v>0.57747508282180582</v>
      </c>
    </row>
    <row r="18" spans="1:21" ht="16" thickBot="1">
      <c r="A18" s="141">
        <f t="shared" si="1"/>
        <v>2034</v>
      </c>
      <c r="B18" s="149">
        <f>$B$57*'תמהיל יצור'!H18/1000</f>
        <v>6.1537190082644617</v>
      </c>
      <c r="C18" s="146">
        <f>$B$59*'תמהיל יצור'!I18/1000</f>
        <v>0.34484302087259983</v>
      </c>
      <c r="D18" s="147">
        <f>$B$57*'תמהיל יצור'!L18/10^3</f>
        <v>4.3413223140495862</v>
      </c>
      <c r="E18" s="143">
        <f>$B$59*'תמהיל יצור'!M18/10^3</f>
        <v>0.37504963244284772</v>
      </c>
      <c r="F18" s="150">
        <f>$B$57*('תמהיל יצור'!P18+'תמהיל יצור'!Q18)/10^3</f>
        <v>0.2205</v>
      </c>
      <c r="G18" s="154">
        <f>$B$58*'תמהיל יצור'!R18/10^3</f>
        <v>1.0419173553719008</v>
      </c>
      <c r="H18" s="652">
        <f>$B$59*'תמהיל יצור'!S18/10^3</f>
        <v>0.38584570682301306</v>
      </c>
      <c r="I18" s="147">
        <f>$B$57*('תמהיל יצור'!V18+'תמהיל יצור'!W18)/10^3</f>
        <v>0.1782</v>
      </c>
      <c r="J18" s="154">
        <f>$B$59*'תמהיל יצור'!X18/10^3</f>
        <v>0.35751000434367425</v>
      </c>
      <c r="K18" s="662">
        <f>$B$59*'תמהיל יצור'!Y18/10^3</f>
        <v>7.7317500000000011E-2</v>
      </c>
      <c r="L18" s="662">
        <f>$B$59*'תמהיל יצור'!Z18/10^3</f>
        <v>9.607499999999998E-3</v>
      </c>
      <c r="M18" s="152">
        <f>$B$57*'תמהיל יצור'!AC18/10^3</f>
        <v>0</v>
      </c>
      <c r="N18" s="154">
        <f>$B$59*'תמהיל יצור'!AD18/10^3</f>
        <v>0.36048000434367422</v>
      </c>
      <c r="O18" s="662">
        <f>$B$59*'תמהיל יצור'!AE18/10^3</f>
        <v>7.7317500000000011E-2</v>
      </c>
      <c r="P18" s="662">
        <f>$B$59*'תמהיל יצור'!AF18/10^3</f>
        <v>9.607499999999998E-3</v>
      </c>
      <c r="Q18" s="660">
        <f>$B$57*'תמהיל יצור'!AK18/10^3</f>
        <v>4.3413223140495862</v>
      </c>
      <c r="R18" s="143">
        <f>$B$59*'תמהיל יצור'!AL18/10^3</f>
        <v>0.33192625853020447</v>
      </c>
      <c r="S18" s="509">
        <f t="shared" si="0"/>
        <v>0.55526450271327477</v>
      </c>
    </row>
    <row r="19" spans="1:21" ht="16" thickBot="1">
      <c r="A19" s="141">
        <f t="shared" si="1"/>
        <v>2035</v>
      </c>
      <c r="B19" s="149">
        <f>$B$57*'תמהיל יצור'!H19/1000</f>
        <v>6.1537190082644617</v>
      </c>
      <c r="C19" s="146">
        <f>$B$59*'תמהיל יצור'!I19/1000</f>
        <v>0.356922955989879</v>
      </c>
      <c r="D19" s="147">
        <f>$B$57*'תמהיל יצור'!L19/10^3</f>
        <v>4.3413223140495862</v>
      </c>
      <c r="E19" s="143">
        <f>$B$59*'תמהיל יצור'!M19/10^3</f>
        <v>0.3871295675601269</v>
      </c>
      <c r="F19" s="150">
        <f>$B$57*('תמהיל יצור'!P19+'תמהיל יצור'!Q19)/10^3</f>
        <v>0.2205</v>
      </c>
      <c r="G19" s="154">
        <f>$B$58*'תמהיל יצור'!R19/10^3</f>
        <v>1.0419173553719008</v>
      </c>
      <c r="H19" s="652">
        <f>$B$59*'תמהיל יצור'!S19/10^3</f>
        <v>0.39792564194029217</v>
      </c>
      <c r="I19" s="147">
        <f>$B$57*('תמהיל יצור'!V19+'תמהיל יצור'!W19)/10^3</f>
        <v>0.1782</v>
      </c>
      <c r="J19" s="154">
        <f>$B$59*'תמהיל יצור'!X19/10^3</f>
        <v>0.36958993946095342</v>
      </c>
      <c r="K19" s="662">
        <f>$B$59*'תמהיל יצור'!Y19/10^3</f>
        <v>7.7317500000000011E-2</v>
      </c>
      <c r="L19" s="662">
        <f>$B$59*'תמהיל יצור'!Z19/10^3</f>
        <v>9.607499999999998E-3</v>
      </c>
      <c r="M19" s="152">
        <f>$B$57*'תמהיל יצור'!AC19/10^3</f>
        <v>0</v>
      </c>
      <c r="N19" s="154">
        <f>$B$59*'תמהיל יצור'!AD19/10^3</f>
        <v>0.37255993946095339</v>
      </c>
      <c r="O19" s="662">
        <f>$B$59*'תמהיל יצור'!AE19/10^3</f>
        <v>7.7317500000000011E-2</v>
      </c>
      <c r="P19" s="662">
        <f>$B$59*'תמהיל יצור'!AF19/10^3</f>
        <v>9.607499999999998E-3</v>
      </c>
      <c r="Q19" s="660">
        <f>$B$57*'תמהיל יצור'!AK19/10^3</f>
        <v>4.3413223140495862</v>
      </c>
      <c r="R19" s="143">
        <f>$B$59*'תמהיל יצור'!AL19/10^3</f>
        <v>0.34284186255184229</v>
      </c>
      <c r="S19" s="509">
        <f t="shared" si="0"/>
        <v>0.53390817568584104</v>
      </c>
    </row>
    <row r="20" spans="1:21" ht="16" thickBot="1">
      <c r="A20" s="141">
        <f t="shared" si="1"/>
        <v>2036</v>
      </c>
      <c r="B20" s="149">
        <f>$B$57*'תמהיל יצור'!H20/1000</f>
        <v>6.1537190082644617</v>
      </c>
      <c r="C20" s="146">
        <f>$B$59*'תמהיל יצור'!I20/1000</f>
        <v>0.36932904935532468</v>
      </c>
      <c r="D20" s="147">
        <f>$B$57*'תמהיל יצור'!L20/10^3</f>
        <v>4.3413223140495862</v>
      </c>
      <c r="E20" s="143">
        <f>$B$59*'תמהיל יצור'!M20/10^3</f>
        <v>0.39953566092557258</v>
      </c>
      <c r="F20" s="150">
        <f>$B$57*('תמהיל יצור'!P20+'תמהיל יצור'!Q20)/10^3</f>
        <v>0.2205</v>
      </c>
      <c r="G20" s="154">
        <f>$B$58*'תמהיל יצור'!R20/10^3</f>
        <v>1.0419173553719008</v>
      </c>
      <c r="H20" s="652">
        <f>$B$59*'תמהיל יצור'!S20/10^3</f>
        <v>0.41033173530573785</v>
      </c>
      <c r="I20" s="147">
        <f>$B$57*('תמהיל יצור'!V20+'תמהיל יצור'!W20)/10^3</f>
        <v>0.1782</v>
      </c>
      <c r="J20" s="154">
        <f>$B$59*'תמהיל יצור'!X20/10^3</f>
        <v>0.38199603282639916</v>
      </c>
      <c r="K20" s="662">
        <f>$B$59*'תמהיל יצור'!Y20/10^3</f>
        <v>7.7317500000000011E-2</v>
      </c>
      <c r="L20" s="662">
        <f>$B$59*'תמהיל יצור'!Z20/10^3</f>
        <v>9.607499999999998E-3</v>
      </c>
      <c r="M20" s="152">
        <f>$B$57*'תמהיל יצור'!AC20/10^3</f>
        <v>0</v>
      </c>
      <c r="N20" s="154">
        <f>$B$59*'תמהיל יצור'!AD20/10^3</f>
        <v>0.38496603282639907</v>
      </c>
      <c r="O20" s="662">
        <f>$B$59*'תמהיל יצור'!AE20/10^3</f>
        <v>7.7317500000000011E-2</v>
      </c>
      <c r="P20" s="662">
        <f>$B$59*'תמהיל יצור'!AF20/10^3</f>
        <v>9.607499999999998E-3</v>
      </c>
      <c r="Q20" s="660">
        <f>$B$57*'תמהיל יצור'!AK20/10^3</f>
        <v>4.3413223140495862</v>
      </c>
      <c r="R20" s="143">
        <f>$B$59*'תמהיל יצור'!AL20/10^3</f>
        <v>0.35405218788206422</v>
      </c>
      <c r="S20" s="509">
        <f t="shared" si="0"/>
        <v>0.51337324585177024</v>
      </c>
    </row>
    <row r="21" spans="1:21" ht="16" thickBot="1">
      <c r="A21" s="141">
        <f t="shared" si="1"/>
        <v>2037</v>
      </c>
      <c r="B21" s="149">
        <f>$B$57*'תמהיל יצור'!H21/1000</f>
        <v>6.1537190082644617</v>
      </c>
      <c r="C21" s="146">
        <f>$B$59*'תמהיל יצור'!I21/1000</f>
        <v>0.38207010724163748</v>
      </c>
      <c r="D21" s="147">
        <f>$B$57*'תמהיל יצור'!L21/10^3</f>
        <v>4.3413223140495862</v>
      </c>
      <c r="E21" s="143">
        <f>$B$59*'תמהיל יצור'!M21/10^3</f>
        <v>0.41227671881188538</v>
      </c>
      <c r="F21" s="150">
        <f>$B$57*('תמהיל יצור'!P21+'תמהיל יצור'!Q21)/10^3</f>
        <v>0.2205</v>
      </c>
      <c r="G21" s="154">
        <f>$B$58*'תמהיל יצור'!R21/10^3</f>
        <v>1.0419173553719008</v>
      </c>
      <c r="H21" s="652">
        <f>$B$59*'תמהיל יצור'!S21/10^3</f>
        <v>0.42307279319205066</v>
      </c>
      <c r="I21" s="147">
        <f>$B$57*('תמהיל יצור'!V21+'תמהיל יצור'!W21)/10^3</f>
        <v>0.1782</v>
      </c>
      <c r="J21" s="154">
        <f>$B$59*'תמהיל יצור'!X21/10^3</f>
        <v>0.39473709071271185</v>
      </c>
      <c r="K21" s="662">
        <f>$B$59*'תמהיל יצור'!Y21/10^3</f>
        <v>7.7317500000000011E-2</v>
      </c>
      <c r="L21" s="662">
        <f>$B$59*'תמהיל יצור'!Z21/10^3</f>
        <v>9.607499999999998E-3</v>
      </c>
      <c r="M21" s="152">
        <f>$B$57*'תמהיל יצור'!AC21/10^3</f>
        <v>0</v>
      </c>
      <c r="N21" s="154">
        <f>$B$59*'תמהיל יצור'!AD21/10^3</f>
        <v>0.39770709071271187</v>
      </c>
      <c r="O21" s="662">
        <f>$B$59*'תמהיל יצור'!AE21/10^3</f>
        <v>7.7317500000000011E-2</v>
      </c>
      <c r="P21" s="662">
        <f>$B$59*'תמהיל יצור'!AF21/10^3</f>
        <v>9.607499999999998E-3</v>
      </c>
      <c r="Q21" s="660">
        <f>$B$57*'תמהיל יצור'!AK21/10^3</f>
        <v>4.3413223140495862</v>
      </c>
      <c r="R21" s="143">
        <f>$B$59*'תמהיל יצור'!AL21/10^3</f>
        <v>0.36556519199620224</v>
      </c>
      <c r="S21" s="509">
        <f t="shared" si="0"/>
        <v>0.49362812101131748</v>
      </c>
    </row>
    <row r="22" spans="1:21" ht="16" thickBot="1">
      <c r="A22" s="141">
        <f t="shared" si="1"/>
        <v>2038</v>
      </c>
      <c r="B22" s="149">
        <f>$B$57*'תמהיל יצור'!H22/1000</f>
        <v>6.1537190082644617</v>
      </c>
      <c r="C22" s="146">
        <f>$B$59*'תמהיל יצור'!I22/1000</f>
        <v>0.39515517369088066</v>
      </c>
      <c r="D22" s="147">
        <f>$B$57*'תמהיל יצור'!L22/10^3</f>
        <v>4.3413223140495862</v>
      </c>
      <c r="E22" s="143">
        <f>$B$59*'תמהיל יצור'!M22/10^3</f>
        <v>0.42536178526112856</v>
      </c>
      <c r="F22" s="150">
        <f>$B$57*('תמהיל יצור'!P22+'תמהיל יצור'!Q22)/10^3</f>
        <v>0.2205</v>
      </c>
      <c r="G22" s="154">
        <f>$B$58*'תמהיל יצור'!R22/10^3</f>
        <v>1.0419173553719008</v>
      </c>
      <c r="H22" s="652">
        <f>$B$59*'תמהיל יצור'!S22/10^3</f>
        <v>0.43615785964129383</v>
      </c>
      <c r="I22" s="147">
        <f>$B$57*('תמהיל יצור'!V22+'תמהיל יצור'!W22)/10^3</f>
        <v>0.1782</v>
      </c>
      <c r="J22" s="154">
        <f>$B$59*'תמהיל יצור'!X22/10^3</f>
        <v>0.40782215716195508</v>
      </c>
      <c r="K22" s="662">
        <f>$B$59*'תמהיל יצור'!Y22/10^3</f>
        <v>7.7317500000000011E-2</v>
      </c>
      <c r="L22" s="662">
        <f>$B$59*'תמהיל יצור'!Z22/10^3</f>
        <v>9.607499999999998E-3</v>
      </c>
      <c r="M22" s="152">
        <f>$B$57*'תמהיל יצור'!AC22/10^3</f>
        <v>0</v>
      </c>
      <c r="N22" s="154">
        <f>$B$59*'תמהיל יצור'!AD22/10^3</f>
        <v>0.41079215716195505</v>
      </c>
      <c r="O22" s="662">
        <f>$B$59*'תמהיל יצור'!AE22/10^3</f>
        <v>7.7317500000000011E-2</v>
      </c>
      <c r="P22" s="662">
        <f>$B$59*'תמהיל יצור'!AF22/10^3</f>
        <v>9.607499999999998E-3</v>
      </c>
      <c r="Q22" s="660">
        <f>$B$57*'תמהיל יצור'!AK22/10^3</f>
        <v>4.3413223140495862</v>
      </c>
      <c r="R22" s="143">
        <f>$B$59*'תמהיל יצור'!AL22/10^3</f>
        <v>0.37738904722142208</v>
      </c>
      <c r="S22" s="509">
        <f t="shared" si="0"/>
        <v>0.47464242404934376</v>
      </c>
    </row>
    <row r="23" spans="1:21" ht="16" thickBot="1">
      <c r="A23" s="141">
        <f t="shared" si="1"/>
        <v>2039</v>
      </c>
      <c r="B23" s="149">
        <f>$B$57*'תמהיל יצור'!H23/1000</f>
        <v>6.1537190082644617</v>
      </c>
      <c r="C23" s="146">
        <f>$B$59*'תמהיל יצור'!I23/1000</f>
        <v>0.40859353693425338</v>
      </c>
      <c r="D23" s="147">
        <f>$B$57*'תמהיל יצור'!L23/10^3</f>
        <v>4.3413223140495862</v>
      </c>
      <c r="E23" s="143">
        <f>$B$59*'תמהיל יצור'!M23/10^3</f>
        <v>0.43880014850450128</v>
      </c>
      <c r="F23" s="150">
        <f>$B$57*('תמהיל יצור'!P23+'תמהיל יצור'!Q23)/10^3</f>
        <v>0.2205</v>
      </c>
      <c r="G23" s="154">
        <f>$B$58*'תמהיל יצור'!R23/10^3</f>
        <v>1.0419173553719008</v>
      </c>
      <c r="H23" s="652">
        <f>$B$59*'תמהיל יצור'!S23/10^3</f>
        <v>0.44959622288466666</v>
      </c>
      <c r="I23" s="147">
        <f>$B$57*('תמהיל יצור'!V23+'תמהיל יצור'!W23)/10^3</f>
        <v>0.1782</v>
      </c>
      <c r="J23" s="154">
        <f>$B$59*'תמהיל יצור'!X23/10^3</f>
        <v>0.42126052040532785</v>
      </c>
      <c r="K23" s="662">
        <f>$B$59*'תמהיל יצור'!Y23/10^3</f>
        <v>7.7317500000000011E-2</v>
      </c>
      <c r="L23" s="662">
        <f>$B$59*'תמהיל יצור'!Z23/10^3</f>
        <v>9.607499999999998E-3</v>
      </c>
      <c r="M23" s="152">
        <f>$B$57*'תמהיל יצור'!AC23/10^3</f>
        <v>0</v>
      </c>
      <c r="N23" s="154">
        <f>$B$59*'תמהיל יצור'!AD23/10^3</f>
        <v>0.42423052040532783</v>
      </c>
      <c r="O23" s="662">
        <f>$B$59*'תמהיל יצור'!AE23/10^3</f>
        <v>7.7317500000000011E-2</v>
      </c>
      <c r="P23" s="662">
        <f>$B$59*'תמהיל יצור'!AF23/10^3</f>
        <v>9.607499999999998E-3</v>
      </c>
      <c r="Q23" s="660">
        <f>$B$57*'תמהיל יצור'!AK23/10^3</f>
        <v>4.3413223140495862</v>
      </c>
      <c r="R23" s="143">
        <f>$B$59*'תמהיל יצור'!AL23/10^3</f>
        <v>0.38953214653772278</v>
      </c>
      <c r="S23" s="509">
        <f t="shared" si="0"/>
        <v>0.45638694620129205</v>
      </c>
      <c r="U23" s="15"/>
    </row>
    <row r="24" spans="1:21" ht="16" thickBot="1">
      <c r="A24" s="141">
        <f>A23+1</f>
        <v>2040</v>
      </c>
      <c r="B24" s="149">
        <f>$B$57*'תמהיל יצור'!H24/1000</f>
        <v>4.0723140495867769</v>
      </c>
      <c r="C24" s="146">
        <f>$B$59*'תמהיל יצור'!I24/1000</f>
        <v>0.45708481862982531</v>
      </c>
      <c r="D24" s="147">
        <f>$B$57*'תמהיל יצור'!L24/10^3</f>
        <v>2.8729338842975207</v>
      </c>
      <c r="E24" s="143">
        <f>$B$59*'תמהיל יצור'!M24/10^3</f>
        <v>0.47707448805131292</v>
      </c>
      <c r="F24" s="150">
        <f>$B$57*('תמהיל יצור'!P24+'תמהיל יצור'!Q24)/10^3</f>
        <v>0.14591911764705881</v>
      </c>
      <c r="G24" s="154">
        <f>$B$58*'תמהיל יצור'!R24/10^3</f>
        <v>0.45628949927078272</v>
      </c>
      <c r="H24" s="652">
        <f>$B$59*'תמהיל יצור'!S24/10^3</f>
        <v>0.49717531753599936</v>
      </c>
      <c r="I24" s="147">
        <f>$B$57*('תמהיל יצור'!V24+'תמהיל יצור'!W24)/10^3</f>
        <v>0.1782</v>
      </c>
      <c r="J24" s="154">
        <f>$B$59*'תמהיל יצור'!X24/10^3</f>
        <v>0.43506171945627164</v>
      </c>
      <c r="K24" s="662">
        <f>$B$59*'תמהיל יצור'!Y24/10^3</f>
        <v>7.7317500000000011E-2</v>
      </c>
      <c r="L24" s="662">
        <f>$B$59*'תמהיל יצור'!Z24/10^3</f>
        <v>9.607499999999998E-3</v>
      </c>
      <c r="M24" s="152">
        <f>$B$57*'תמהיל יצור'!AC24/10^3</f>
        <v>0</v>
      </c>
      <c r="N24" s="154">
        <f>$B$59*'תמהיל יצור'!AD24/10^3</f>
        <v>0.43803171945627162</v>
      </c>
      <c r="O24" s="662">
        <f>$B$59*'תמהיל יצור'!AE24/10^3</f>
        <v>7.7317500000000011E-2</v>
      </c>
      <c r="P24" s="662">
        <f>$B$59*'תמהיל יצור'!AF24/10^3</f>
        <v>9.607499999999998E-3</v>
      </c>
      <c r="Q24" s="660">
        <f>$B$57*'תמהיל יצור'!AK24/10^3</f>
        <v>2.8729338842975207</v>
      </c>
      <c r="R24" s="143">
        <f>$B$59*'תמהיל יצור'!AL24/10^3</f>
        <v>0.42647625003143136</v>
      </c>
      <c r="S24" s="509">
        <f t="shared" ref="S24:S29" si="2">1/((1+$S$2)^($A24-2019))</f>
        <v>0.43883360211662686</v>
      </c>
      <c r="U24" s="15"/>
    </row>
    <row r="25" spans="1:21" ht="16" thickBot="1">
      <c r="A25" s="141">
        <f t="shared" si="1"/>
        <v>2041</v>
      </c>
      <c r="B25" s="149">
        <f>$B$57*'תמהיל יצור'!H25/1000</f>
        <v>4.0723140495867769</v>
      </c>
      <c r="C25" s="146">
        <f>$B$59*'תמהיל יצור'!I25/1000</f>
        <v>0.47125865005514461</v>
      </c>
      <c r="D25" s="147">
        <f>$B$57*'תמהיל יצור'!L25/10^3</f>
        <v>2.8729338842975207</v>
      </c>
      <c r="E25" s="143">
        <f>$B$59*'תמהיל יצור'!M25/10^3</f>
        <v>0.49124831947663217</v>
      </c>
      <c r="F25" s="150">
        <f>$B$57*('תמהיל יצור'!P25+'תמהיל יצור'!Q25)/10^3</f>
        <v>0.14591911764705881</v>
      </c>
      <c r="G25" s="154">
        <f>$B$58*'תמהיל יצור'!R25/10^3</f>
        <v>0.45628949927078272</v>
      </c>
      <c r="H25" s="652">
        <f>$B$59*'תמהיל יצור'!S25/10^3</f>
        <v>0.51134914896131867</v>
      </c>
      <c r="I25" s="147">
        <f>$B$57*('תמהיל יצור'!V25+'תמהיל יצור'!W25)/10^3</f>
        <v>0.11792647058823529</v>
      </c>
      <c r="J25" s="154">
        <f>$B$59*'תמהיל יצור'!X25/10^3</f>
        <v>0.45024010970512024</v>
      </c>
      <c r="K25" s="662">
        <f>$B$59*'תמהיל יצור'!Y25/10^3</f>
        <v>7.7317500000000011E-2</v>
      </c>
      <c r="L25" s="662">
        <f>$B$59*'תמהיל יצור'!Z25/10^3</f>
        <v>9.607499999999998E-3</v>
      </c>
      <c r="M25" s="152">
        <f>$B$57*'תמהיל יצור'!AC25/10^3</f>
        <v>0</v>
      </c>
      <c r="N25" s="154">
        <f>$B$59*'תמהיל יצור'!AD25/10^3</f>
        <v>0.45220555088159087</v>
      </c>
      <c r="O25" s="662">
        <f>$B$59*'תמהיל יצור'!AE25/10^3</f>
        <v>7.7317500000000011E-2</v>
      </c>
      <c r="P25" s="662">
        <f>$B$59*'תמהיל יצור'!AF25/10^3</f>
        <v>9.607499999999998E-3</v>
      </c>
      <c r="Q25" s="660">
        <f>$B$57*'תמהיל יצור'!AK25/10^3</f>
        <v>2.8729338842975207</v>
      </c>
      <c r="R25" s="143">
        <f>$B$59*'תמהיל יצור'!AL25/10^3</f>
        <v>0.43928392903021374</v>
      </c>
      <c r="S25" s="509">
        <f t="shared" si="2"/>
        <v>0.42195538665060278</v>
      </c>
      <c r="U25" s="15"/>
    </row>
    <row r="26" spans="1:21" ht="16" thickBot="1">
      <c r="A26" s="141">
        <f t="shared" si="1"/>
        <v>2042</v>
      </c>
      <c r="B26" s="149">
        <f>$B$57*'תמהיל יצור'!H26/1000</f>
        <v>4.0723140495867769</v>
      </c>
      <c r="C26" s="146">
        <f>$B$59*'תמהיל יצור'!I26/1000</f>
        <v>0.48581517492894738</v>
      </c>
      <c r="D26" s="147">
        <f>$B$57*'תמהיל יצור'!L26/10^3</f>
        <v>2.8729338842975207</v>
      </c>
      <c r="E26" s="143">
        <f>$B$59*'תמהיל יצור'!M26/10^3</f>
        <v>0.50580484435043505</v>
      </c>
      <c r="F26" s="150">
        <f>$B$57*('תמהיל יצור'!P26+'תמהיל יצור'!Q26)/10^3</f>
        <v>0.14591911764705881</v>
      </c>
      <c r="G26" s="154">
        <f>$B$58*'תמהיל יצור'!R26/10^3</f>
        <v>0.45628949927078272</v>
      </c>
      <c r="H26" s="652">
        <f>$B$59*'תמהיל יצור'!S26/10^3</f>
        <v>0.52590567383512143</v>
      </c>
      <c r="I26" s="147">
        <f>$B$57*('תמהיל יצור'!V26+'תמהיל יצור'!W26)/10^3</f>
        <v>0.11792647058823529</v>
      </c>
      <c r="J26" s="154">
        <f>$B$59*'תמהיל יצור'!X26/10^3</f>
        <v>0.46479663457892306</v>
      </c>
      <c r="K26" s="662">
        <f>$B$59*'תמהיל יצור'!Y26/10^3</f>
        <v>7.7317500000000011E-2</v>
      </c>
      <c r="L26" s="662">
        <f>$B$59*'תמהיל יצור'!Z26/10^3</f>
        <v>9.607499999999998E-3</v>
      </c>
      <c r="M26" s="152">
        <f>$B$57*'תמהיל יצור'!AC26/10^3</f>
        <v>0</v>
      </c>
      <c r="N26" s="154">
        <f>$B$59*'תמהיל יצור'!AD26/10^3</f>
        <v>0.46676207575539369</v>
      </c>
      <c r="O26" s="662">
        <f>$B$59*'תמהיל יצור'!AE26/10^3</f>
        <v>7.7317500000000011E-2</v>
      </c>
      <c r="P26" s="662">
        <f>$B$59*'תמהיל יצור'!AF26/10^3</f>
        <v>9.607499999999998E-3</v>
      </c>
      <c r="Q26" s="660">
        <f>$B$57*'תמהיל יצור'!AK26/10^3</f>
        <v>2.8729338842975207</v>
      </c>
      <c r="R26" s="143">
        <f>$B$59*'תמהיל יצור'!AL26/10^3</f>
        <v>0.45243741536196341</v>
      </c>
      <c r="S26" s="509">
        <f t="shared" si="2"/>
        <v>0.40572633331788732</v>
      </c>
      <c r="U26" s="15"/>
    </row>
    <row r="27" spans="1:21" ht="16" thickBot="1">
      <c r="A27" s="141">
        <f t="shared" si="1"/>
        <v>2043</v>
      </c>
      <c r="B27" s="149">
        <f>$B$57*'תמהיל יצור'!H27/1000</f>
        <v>4.0723140495867769</v>
      </c>
      <c r="C27" s="146">
        <f>$B$59*'תמהיל יצור'!I27/1000</f>
        <v>0.50076472597434296</v>
      </c>
      <c r="D27" s="147">
        <f>$B$57*'תמהיל יצור'!L27/10^3</f>
        <v>2.8729338842975207</v>
      </c>
      <c r="E27" s="143">
        <f>$B$59*'תמהיל יצור'!M27/10^3</f>
        <v>0.52075439539583057</v>
      </c>
      <c r="F27" s="150">
        <f>$B$57*('תמהיל יצור'!P27+'תמהיל יצור'!Q27)/10^3</f>
        <v>0.14591911764705881</v>
      </c>
      <c r="G27" s="154">
        <f>$B$58*'תמהיל יצור'!R27/10^3</f>
        <v>0.45628949927078272</v>
      </c>
      <c r="H27" s="652">
        <f>$B$59*'תמהיל יצור'!S27/10^3</f>
        <v>0.54085522488051696</v>
      </c>
      <c r="I27" s="147">
        <f>$B$57*('תמהיל יצור'!V27+'תמהיל יצור'!W27)/10^3</f>
        <v>0.11792647058823529</v>
      </c>
      <c r="J27" s="154">
        <f>$B$59*'תמהיל יצור'!X27/10^3</f>
        <v>0.47974618562431864</v>
      </c>
      <c r="K27" s="662">
        <f>$B$59*'תמהיל יצור'!Y27/10^3</f>
        <v>7.7317500000000011E-2</v>
      </c>
      <c r="L27" s="662">
        <f>$B$59*'תמהיל יצור'!Z27/10^3</f>
        <v>9.607499999999998E-3</v>
      </c>
      <c r="M27" s="152">
        <f>$B$57*'תמהיל יצור'!AC27/10^3</f>
        <v>0</v>
      </c>
      <c r="N27" s="154">
        <f>$B$59*'תמהיל יצור'!AD27/10^3</f>
        <v>0.48171162680078933</v>
      </c>
      <c r="O27" s="662">
        <f>$B$59*'תמהיל יצור'!AE27/10^3</f>
        <v>7.7317500000000011E-2</v>
      </c>
      <c r="P27" s="662">
        <f>$B$59*'תמהיל יצור'!AF27/10^3</f>
        <v>9.607499999999998E-3</v>
      </c>
      <c r="Q27" s="660">
        <f>$B$57*'תמהיל יצור'!AK27/10^3</f>
        <v>2.8729338842975207</v>
      </c>
      <c r="R27" s="143">
        <f>$B$59*'תמהיל יצור'!AL27/10^3</f>
        <v>0.46594604582467014</v>
      </c>
      <c r="S27" s="509">
        <f t="shared" si="2"/>
        <v>0.39012147434412242</v>
      </c>
      <c r="U27" s="15"/>
    </row>
    <row r="28" spans="1:21" ht="16" thickBot="1">
      <c r="A28" s="141">
        <f t="shared" si="1"/>
        <v>2044</v>
      </c>
      <c r="B28" s="149">
        <f>$B$57*'תמהיל יצור'!H28/1000</f>
        <v>4.0723140495867769</v>
      </c>
      <c r="C28" s="146">
        <f>$B$59*'תמהיל יצור'!I28/1000</f>
        <v>0.51611791489796421</v>
      </c>
      <c r="D28" s="147">
        <f>$B$57*'תמהיל יצור'!L28/10^3</f>
        <v>2.8729338842975207</v>
      </c>
      <c r="E28" s="143">
        <f>$B$59*'תמהיל יצור'!M28/10^3</f>
        <v>0.53610758431945182</v>
      </c>
      <c r="F28" s="150">
        <f>$B$57*('תמהיל יצור'!P28+'תמהיל יצור'!Q28)/10^3</f>
        <v>0.14591911764705881</v>
      </c>
      <c r="G28" s="154">
        <f>$B$58*'תמהיל יצור'!R28/10^3</f>
        <v>0.45628949927078272</v>
      </c>
      <c r="H28" s="652">
        <f>$B$59*'תמהיל יצור'!S28/10^3</f>
        <v>0.55620841380413821</v>
      </c>
      <c r="I28" s="147">
        <f>$B$57*('תמהיל יצור'!V28+'תמהיל יצור'!W28)/10^3</f>
        <v>0.11792647058823529</v>
      </c>
      <c r="J28" s="154">
        <f>$B$59*'תמהיל יצור'!X28/10^3</f>
        <v>0.4950993745479399</v>
      </c>
      <c r="K28" s="662">
        <f>$B$59*'תמהיל יצור'!Y28/10^3</f>
        <v>7.7317500000000011E-2</v>
      </c>
      <c r="L28" s="662">
        <f>$B$59*'תמהיל יצור'!Z28/10^3</f>
        <v>9.607499999999998E-3</v>
      </c>
      <c r="M28" s="152">
        <f>$B$57*'תמהיל יצור'!AC28/10^3</f>
        <v>0</v>
      </c>
      <c r="N28" s="154">
        <f>$B$59*'תמהיל יצור'!AD28/10^3</f>
        <v>0.49706481572441047</v>
      </c>
      <c r="O28" s="662">
        <f>$B$59*'תמהיל יצור'!AE28/10^3</f>
        <v>7.7317500000000011E-2</v>
      </c>
      <c r="P28" s="662">
        <f>$B$59*'תמהיל יצור'!AF28/10^3</f>
        <v>9.607499999999998E-3</v>
      </c>
      <c r="Q28" s="660">
        <f>$B$57*'תמהיל יצור'!AK28/10^3</f>
        <v>2.8729338842975207</v>
      </c>
      <c r="R28" s="143">
        <f>$B$59*'תמהיל יצור'!AL28/10^3</f>
        <v>0.47981940930987005</v>
      </c>
      <c r="S28" s="509">
        <f t="shared" si="2"/>
        <v>0.37511680225396377</v>
      </c>
      <c r="U28" s="15"/>
    </row>
    <row r="29" spans="1:21" ht="16" customHeight="1" thickBot="1">
      <c r="A29" s="141">
        <f t="shared" si="1"/>
        <v>2045</v>
      </c>
      <c r="B29" s="149">
        <f>$B$57*'תמהיל יצור'!H29/1000</f>
        <v>1.9909090909090907</v>
      </c>
      <c r="C29" s="146">
        <f>$B$59*'תמהיל יצור'!I29/1000</f>
        <v>0.56657572256715139</v>
      </c>
      <c r="D29" s="147">
        <f>$B$57*'תמהיל יצור'!L29/10^3</f>
        <v>1.4045454545454545</v>
      </c>
      <c r="E29" s="143">
        <f>$B$59*'תמהיל יצור'!M29/10^3</f>
        <v>0.57634844983987865</v>
      </c>
      <c r="F29" s="150">
        <f>$B$57*('תמהיל יצור'!P29+'תמהיל יצור'!Q29)/10^3</f>
        <v>7.1338235294117647E-2</v>
      </c>
      <c r="G29" s="154">
        <f>$B$58*'תמהיל יצור'!R29/10^3</f>
        <v>0.10905882352941178</v>
      </c>
      <c r="H29" s="652">
        <f>$B$59*'תמהיל יצור'!S29/10^3</f>
        <v>0.5925097466313225</v>
      </c>
      <c r="I29" s="147">
        <f>$B$57*('תמהיל יצור'!V29+'תמהיל יצור'!W29)/10^3</f>
        <v>0.11792647058823529</v>
      </c>
      <c r="J29" s="154">
        <f>$B$59*'תמהיל יצור'!X29/10^3</f>
        <v>0.51086709957249898</v>
      </c>
      <c r="K29" s="662">
        <f>$B$59*'תמהיל יצור'!Y29/10^3</f>
        <v>7.7317500000000011E-2</v>
      </c>
      <c r="L29" s="662">
        <f>$B$59*'תמהיל יצור'!Z29/10^3</f>
        <v>9.607499999999998E-3</v>
      </c>
      <c r="M29" s="152">
        <f>$B$57*'תמהיל יצור'!AC29/10^3</f>
        <v>0</v>
      </c>
      <c r="N29" s="154">
        <f>$B$59*'תמהיל יצור'!AD29/10^3</f>
        <v>0.51283254074896956</v>
      </c>
      <c r="O29" s="662">
        <f>$B$59*'תמהיל יצור'!AE29/10^3</f>
        <v>7.7317500000000011E-2</v>
      </c>
      <c r="P29" s="662">
        <f>$B$59*'תמהיל יצור'!AF29/10^3</f>
        <v>9.607499999999998E-3</v>
      </c>
      <c r="Q29" s="660">
        <f>$B$57*'תמהיל יצור'!AK29/10^3</f>
        <v>1.4045454545454545</v>
      </c>
      <c r="R29" s="143">
        <f>$B$59*'תמהיל יצור'!AL29/10^3</f>
        <v>0.51854049410503822</v>
      </c>
      <c r="S29" s="509">
        <f t="shared" si="2"/>
        <v>0.36068923293650368</v>
      </c>
    </row>
    <row r="30" spans="1:21" ht="16" thickBot="1">
      <c r="A30" s="8" t="s">
        <v>391</v>
      </c>
      <c r="B30" s="516">
        <f t="shared" ref="B30:R30" si="3">SUM(B4:B29)</f>
        <v>145.42685950413215</v>
      </c>
      <c r="C30" s="516">
        <f t="shared" si="3"/>
        <v>9.1296285646655218</v>
      </c>
      <c r="D30" s="516">
        <f t="shared" si="3"/>
        <v>102.59566115702481</v>
      </c>
      <c r="E30" s="516">
        <f t="shared" si="3"/>
        <v>9.8434818704506437</v>
      </c>
      <c r="F30" s="516">
        <f t="shared" si="3"/>
        <v>21.573022423432192</v>
      </c>
      <c r="G30" s="516">
        <f t="shared" si="3"/>
        <v>19.091828633932902</v>
      </c>
      <c r="H30" s="516">
        <f t="shared" si="3"/>
        <v>10.133202036347582</v>
      </c>
      <c r="I30" s="657">
        <f t="shared" si="3"/>
        <v>20.505476835196884</v>
      </c>
      <c r="J30" s="658">
        <f t="shared" si="3"/>
        <v>9.4731516091477772</v>
      </c>
      <c r="K30" s="530">
        <f t="shared" si="3"/>
        <v>1.5463499999999997</v>
      </c>
      <c r="L30" s="530">
        <f t="shared" si="3"/>
        <v>0.19214999999999988</v>
      </c>
      <c r="M30" s="667">
        <f t="shared" si="3"/>
        <v>17.237603305785122</v>
      </c>
      <c r="N30" s="665">
        <f t="shared" si="3"/>
        <v>9.5276161679713063</v>
      </c>
      <c r="O30" s="665">
        <f t="shared" si="3"/>
        <v>1.5463499999999997</v>
      </c>
      <c r="P30" s="666">
        <f t="shared" si="3"/>
        <v>0.19214999999999988</v>
      </c>
      <c r="Q30" s="529">
        <f t="shared" si="3"/>
        <v>102.59566115702481</v>
      </c>
      <c r="R30" s="517">
        <f t="shared" si="3"/>
        <v>8.8799565116352177</v>
      </c>
      <c r="S30" s="25"/>
      <c r="T30" s="25"/>
    </row>
    <row r="31" spans="1:21" ht="16" thickBot="1">
      <c r="A31" s="8" t="s">
        <v>392</v>
      </c>
      <c r="B31" s="518">
        <f t="shared" ref="B31:R31" si="4">SUMPRODUCT($S4:$S29,B4:B29)</f>
        <v>92.623087755607315</v>
      </c>
      <c r="C31" s="518">
        <f t="shared" si="4"/>
        <v>5.1945975021007396</v>
      </c>
      <c r="D31" s="672">
        <f t="shared" si="4"/>
        <v>65.343685197449005</v>
      </c>
      <c r="E31" s="672">
        <f t="shared" si="4"/>
        <v>5.6492542114033784</v>
      </c>
      <c r="F31" s="518">
        <f t="shared" si="4"/>
        <v>17.995952638889477</v>
      </c>
      <c r="G31" s="518">
        <f t="shared" si="4"/>
        <v>11.415416601907632</v>
      </c>
      <c r="H31" s="518">
        <f t="shared" si="4"/>
        <v>5.8041932761622776</v>
      </c>
      <c r="I31" s="672">
        <f t="shared" si="4"/>
        <v>17.269902553400822</v>
      </c>
      <c r="J31" s="672">
        <f t="shared" si="4"/>
        <v>5.5133301237614116</v>
      </c>
      <c r="K31" s="673">
        <f t="shared" si="4"/>
        <v>0.83357364171348147</v>
      </c>
      <c r="L31" s="672">
        <f t="shared" si="4"/>
        <v>0.10358015666262191</v>
      </c>
      <c r="M31" s="670">
        <f t="shared" si="4"/>
        <v>15.462435240294662</v>
      </c>
      <c r="N31" s="669">
        <f t="shared" si="4"/>
        <v>5.5434545789798477</v>
      </c>
      <c r="O31" s="669">
        <f t="shared" si="4"/>
        <v>0.83357364171348147</v>
      </c>
      <c r="P31" s="671">
        <f t="shared" si="4"/>
        <v>0.10358015666262191</v>
      </c>
      <c r="Q31" s="527">
        <f t="shared" si="4"/>
        <v>65.343685197449005</v>
      </c>
      <c r="R31" s="523">
        <f t="shared" si="4"/>
        <v>5.1347162908021318</v>
      </c>
      <c r="S31" s="25"/>
      <c r="T31" s="25"/>
    </row>
    <row r="32" spans="1:21" ht="14.25" customHeight="1" thickBot="1">
      <c r="A32" s="537" t="s">
        <v>393</v>
      </c>
      <c r="B32" s="519">
        <f>SUM(B30:C30)</f>
        <v>154.55648806879768</v>
      </c>
      <c r="C32" s="519"/>
      <c r="D32" s="668">
        <f>SUM(D30:E30)</f>
        <v>112.43914302747545</v>
      </c>
      <c r="E32" s="674"/>
      <c r="F32" s="521">
        <f>SUM(F30:H30)</f>
        <v>50.798053093712682</v>
      </c>
      <c r="G32" s="521"/>
      <c r="H32" s="521"/>
      <c r="I32" s="668">
        <f>SUM(I30:L30)</f>
        <v>31.717128444344663</v>
      </c>
      <c r="J32" s="519"/>
      <c r="K32" s="519"/>
      <c r="L32" s="674"/>
      <c r="M32" s="519">
        <f>SUM(M30:P30)</f>
        <v>28.50371947375643</v>
      </c>
      <c r="N32" s="489"/>
      <c r="O32" s="489"/>
      <c r="P32" s="344"/>
      <c r="Q32" s="519">
        <f>SUM(Q30:R30)</f>
        <v>111.47561766866002</v>
      </c>
      <c r="R32" s="524"/>
      <c r="S32" s="508"/>
      <c r="T32" s="508"/>
    </row>
    <row r="33" spans="1:20" ht="14.25" customHeight="1" thickBot="1">
      <c r="A33" s="538" t="s">
        <v>394</v>
      </c>
      <c r="B33" s="519">
        <f>SUM(B31:C31)</f>
        <v>97.81768525770805</v>
      </c>
      <c r="C33" s="522"/>
      <c r="D33" s="668">
        <f>SUM(D31:E31)</f>
        <v>70.992939408852379</v>
      </c>
      <c r="E33" s="674"/>
      <c r="F33" s="519">
        <f>SUM(F31:H31)</f>
        <v>35.215562516959388</v>
      </c>
      <c r="G33" s="522"/>
      <c r="H33" s="522"/>
      <c r="I33" s="668">
        <f>SUM(I31:L31)</f>
        <v>23.720386475538337</v>
      </c>
      <c r="J33" s="519"/>
      <c r="K33" s="519"/>
      <c r="L33" s="674"/>
      <c r="M33" s="519">
        <f>SUM(M31:P31)</f>
        <v>21.943043617650613</v>
      </c>
      <c r="N33" s="489"/>
      <c r="O33" s="489"/>
      <c r="P33" s="344"/>
      <c r="Q33" s="519">
        <f>SUM(Q31:R31)</f>
        <v>70.478401488251137</v>
      </c>
      <c r="R33" s="524"/>
      <c r="S33" s="508"/>
      <c r="T33" s="508"/>
    </row>
    <row r="34" spans="1:20" ht="14.25" customHeight="1" thickBot="1">
      <c r="A34" s="27" t="s">
        <v>388</v>
      </c>
      <c r="B34" s="526">
        <f>B32-D32</f>
        <v>42.117345041322224</v>
      </c>
      <c r="C34" s="522"/>
      <c r="D34" s="668">
        <v>0</v>
      </c>
      <c r="E34" s="674"/>
      <c r="F34" s="522">
        <f>F32-D32</f>
        <v>-61.641089933762771</v>
      </c>
      <c r="G34" s="522"/>
      <c r="H34" s="522"/>
      <c r="I34" s="668">
        <f>I32-D32</f>
        <v>-80.722014583130786</v>
      </c>
      <c r="J34" s="519"/>
      <c r="K34" s="519"/>
      <c r="L34" s="674"/>
      <c r="M34" s="519">
        <f>M32-D32</f>
        <v>-83.935423553719019</v>
      </c>
      <c r="N34" s="489"/>
      <c r="O34" s="489"/>
      <c r="P34" s="344"/>
      <c r="Q34" s="522">
        <f>Q32-D32</f>
        <v>-0.96352535881543133</v>
      </c>
      <c r="R34" s="524"/>
      <c r="S34" s="508"/>
      <c r="T34" s="508"/>
    </row>
    <row r="35" spans="1:20" ht="14.25" customHeight="1" thickBot="1">
      <c r="A35" s="27" t="s">
        <v>395</v>
      </c>
      <c r="B35" s="526">
        <f>B33-D33</f>
        <v>26.82474584885567</v>
      </c>
      <c r="C35" s="522"/>
      <c r="D35" s="518">
        <v>0</v>
      </c>
      <c r="E35" s="527"/>
      <c r="F35" s="528">
        <f>F33-D33</f>
        <v>-35.777376891892992</v>
      </c>
      <c r="G35" s="527"/>
      <c r="H35" s="527"/>
      <c r="I35" s="668">
        <f>I33-D33</f>
        <v>-47.272552933314046</v>
      </c>
      <c r="J35" s="519"/>
      <c r="K35" s="519"/>
      <c r="L35" s="674"/>
      <c r="M35" s="519">
        <f>M33-D33</f>
        <v>-49.049895791201763</v>
      </c>
      <c r="N35" s="489"/>
      <c r="O35" s="489"/>
      <c r="P35" s="344"/>
      <c r="Q35" s="522">
        <f>Q33-D33</f>
        <v>-0.51453792060124215</v>
      </c>
      <c r="R35" s="524"/>
      <c r="S35" s="513"/>
      <c r="T35" s="513"/>
    </row>
    <row r="36" spans="1:20" s="15" customFormat="1" ht="14.25" customHeight="1" thickBot="1">
      <c r="A36" s="36"/>
      <c r="B36" s="534"/>
      <c r="C36" s="534"/>
      <c r="D36" s="513"/>
      <c r="E36" s="513"/>
      <c r="F36" s="513"/>
      <c r="G36" s="513"/>
      <c r="H36" s="513"/>
      <c r="I36" s="513"/>
      <c r="J36" s="513"/>
      <c r="K36" s="513"/>
      <c r="L36" s="513"/>
      <c r="M36" s="534"/>
      <c r="N36" s="535"/>
      <c r="O36" s="535"/>
      <c r="P36" s="535"/>
      <c r="Q36" s="534"/>
      <c r="R36" s="536"/>
      <c r="S36" s="513"/>
      <c r="T36" s="513"/>
    </row>
    <row r="37" spans="1:20" ht="16" thickBot="1">
      <c r="A37" s="1014" t="s">
        <v>134</v>
      </c>
      <c r="B37" s="1009"/>
      <c r="C37" s="1009"/>
      <c r="D37" s="1009"/>
      <c r="E37" s="1009"/>
      <c r="F37" s="1009"/>
      <c r="G37" s="1009"/>
      <c r="H37" s="1009"/>
      <c r="I37" s="1009"/>
      <c r="J37" s="1009"/>
      <c r="K37" s="1009"/>
      <c r="L37" s="1009"/>
      <c r="M37" s="970"/>
      <c r="N37" s="970"/>
      <c r="O37" s="970"/>
      <c r="P37" s="970"/>
      <c r="Q37" s="1009"/>
      <c r="R37" s="1010"/>
    </row>
    <row r="38" spans="1:20" ht="16" thickBot="1">
      <c r="A38" s="347"/>
      <c r="B38" s="1043" t="s">
        <v>135</v>
      </c>
      <c r="C38" s="1043"/>
      <c r="D38" s="1043" t="s">
        <v>136</v>
      </c>
      <c r="E38" s="1043"/>
      <c r="F38" s="1044" t="s">
        <v>4</v>
      </c>
      <c r="G38" s="1045"/>
      <c r="H38" s="1062"/>
      <c r="I38" s="1045" t="s">
        <v>29</v>
      </c>
      <c r="J38" s="1045"/>
      <c r="K38" s="552"/>
      <c r="L38" s="552"/>
      <c r="M38" s="1044" t="s">
        <v>30</v>
      </c>
      <c r="N38" s="1045"/>
      <c r="O38" s="552"/>
      <c r="P38" s="553"/>
      <c r="Q38" s="1048" t="s">
        <v>85</v>
      </c>
      <c r="R38" s="1049"/>
    </row>
    <row r="39" spans="1:20" s="821" customFormat="1" ht="17" thickBot="1">
      <c r="A39" s="819" t="s">
        <v>132</v>
      </c>
      <c r="B39" s="808">
        <f>B32/($A29-$A4+1)</f>
        <v>5.9444803103383723</v>
      </c>
      <c r="C39" s="809"/>
      <c r="D39" s="808">
        <f>D32/($A29-$A4+1)</f>
        <v>4.3245824241336717</v>
      </c>
      <c r="E39" s="809"/>
      <c r="F39" s="808">
        <f>F32/($A29-$A4+1)</f>
        <v>1.9537712728351031</v>
      </c>
      <c r="G39" s="810"/>
      <c r="H39" s="809"/>
      <c r="I39" s="808">
        <f>I32/($A29-$A4+1)</f>
        <v>1.2198895555517177</v>
      </c>
      <c r="J39" s="811"/>
      <c r="K39" s="811"/>
      <c r="L39" s="811"/>
      <c r="M39" s="808">
        <f>M32/($A29-$A4+1)</f>
        <v>1.0962969028367857</v>
      </c>
      <c r="N39" s="810"/>
      <c r="O39" s="810"/>
      <c r="P39" s="809"/>
      <c r="Q39" s="810">
        <f>Q32/($A29-$A4+1)</f>
        <v>4.287523756486924</v>
      </c>
      <c r="R39" s="818"/>
      <c r="S39" s="820"/>
    </row>
    <row r="40" spans="1:20" s="821" customFormat="1" ht="16" thickBot="1">
      <c r="A40" s="822" t="s">
        <v>48</v>
      </c>
      <c r="B40" s="823">
        <f>B32/'תמהיל יצור'!$C$30</f>
        <v>5.6362392550306423E-2</v>
      </c>
      <c r="C40" s="824"/>
      <c r="D40" s="823">
        <f>D32/'תמהיל יצור'!$C$30</f>
        <v>4.1003384565219174E-2</v>
      </c>
      <c r="E40" s="824"/>
      <c r="F40" s="823">
        <f>F32/'תמהיל יצור'!$C$30</f>
        <v>1.8524617407097727E-2</v>
      </c>
      <c r="G40" s="825"/>
      <c r="H40" s="825"/>
      <c r="I40" s="823">
        <f>I32/'תמהיל יצור'!$C$30</f>
        <v>1.1566342288735923E-2</v>
      </c>
      <c r="J40" s="825"/>
      <c r="K40" s="825"/>
      <c r="L40" s="825"/>
      <c r="M40" s="823">
        <f>M32/'תמהיל יצור'!$C$30</f>
        <v>1.0394502658526738E-2</v>
      </c>
      <c r="N40" s="825"/>
      <c r="O40" s="825"/>
      <c r="P40" s="824"/>
      <c r="Q40" s="825">
        <f>Q32/'תמהיל יצור'!$C$30</f>
        <v>4.065201403924322E-2</v>
      </c>
      <c r="R40" s="824"/>
    </row>
    <row r="41" spans="1:20" ht="16" thickBot="1">
      <c r="A41" s="76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</row>
    <row r="42" spans="1:20" ht="16" thickBot="1">
      <c r="A42" s="1026" t="s">
        <v>148</v>
      </c>
      <c r="B42" s="1027"/>
      <c r="C42" s="1027"/>
      <c r="D42" s="1027"/>
      <c r="E42" s="1027"/>
      <c r="F42" s="1027"/>
      <c r="G42" s="1027"/>
      <c r="H42" s="1027"/>
      <c r="I42" s="1027"/>
      <c r="J42" s="1027"/>
      <c r="K42" s="1027"/>
      <c r="L42" s="1027"/>
      <c r="M42" s="1027"/>
      <c r="N42" s="1027"/>
      <c r="O42" s="1027"/>
      <c r="P42" s="1027"/>
      <c r="Q42" s="1027"/>
      <c r="R42" s="1028"/>
    </row>
    <row r="43" spans="1:20" ht="16" thickBot="1">
      <c r="A43" s="84" t="s">
        <v>36</v>
      </c>
      <c r="B43" s="85">
        <f>'הנחות עבודה'!B54</f>
        <v>11.1</v>
      </c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8"/>
    </row>
    <row r="44" spans="1:20" ht="16" thickBot="1">
      <c r="A44" s="347"/>
      <c r="B44" s="1043" t="s">
        <v>135</v>
      </c>
      <c r="C44" s="1043"/>
      <c r="D44" s="1043" t="s">
        <v>136</v>
      </c>
      <c r="E44" s="1043"/>
      <c r="F44" s="1044" t="s">
        <v>4</v>
      </c>
      <c r="G44" s="1045"/>
      <c r="H44" s="1045"/>
      <c r="I44" s="1046" t="s">
        <v>29</v>
      </c>
      <c r="J44" s="1047"/>
      <c r="K44" s="559"/>
      <c r="L44" s="559"/>
      <c r="M44" s="1046" t="s">
        <v>30</v>
      </c>
      <c r="N44" s="1047"/>
      <c r="O44" s="559"/>
      <c r="P44" s="560"/>
      <c r="Q44" s="1048" t="s">
        <v>85</v>
      </c>
      <c r="R44" s="1049"/>
    </row>
    <row r="45" spans="1:20" s="821" customFormat="1" ht="16" thickBot="1">
      <c r="A45" s="41" t="s">
        <v>150</v>
      </c>
      <c r="B45" s="1016">
        <f>B14+C14</f>
        <v>6.4533357221345931</v>
      </c>
      <c r="C45" s="1035"/>
      <c r="D45" s="1016">
        <f>D14+E14</f>
        <v>4.6711456394899651</v>
      </c>
      <c r="E45" s="1035"/>
      <c r="F45" s="1016">
        <f>H14+G14+F14</f>
        <v>1.6030367551924452</v>
      </c>
      <c r="G45" s="1017"/>
      <c r="H45" s="1017"/>
      <c r="I45" s="1016">
        <f>J14+I14+K14+L14</f>
        <v>0.57740869734120559</v>
      </c>
      <c r="J45" s="1017"/>
      <c r="K45" s="826"/>
      <c r="L45" s="826"/>
      <c r="M45" s="1024">
        <f>N14+M14+O14+P14</f>
        <v>0.40217869734120559</v>
      </c>
      <c r="N45" s="1025"/>
      <c r="O45" s="827"/>
      <c r="P45" s="828"/>
      <c r="Q45" s="1017">
        <f>R14+Q14</f>
        <v>4.632381427698042</v>
      </c>
      <c r="R45" s="1035"/>
    </row>
    <row r="46" spans="1:20" s="821" customFormat="1" ht="16" thickBot="1">
      <c r="A46" s="829" t="s">
        <v>133</v>
      </c>
      <c r="B46" s="1030">
        <f>(B14+C14)/$B$43</f>
        <v>0.58138159658870214</v>
      </c>
      <c r="C46" s="1036"/>
      <c r="D46" s="1030">
        <f>(D14+E14)/$B$43</f>
        <v>0.42082393148558245</v>
      </c>
      <c r="E46" s="1036"/>
      <c r="F46" s="1030">
        <f>(H14+G14+F14)/B43</f>
        <v>0.14441772569301309</v>
      </c>
      <c r="G46" s="1031"/>
      <c r="H46" s="1036"/>
      <c r="I46" s="1030">
        <f>(I14+J14)/$B$43</f>
        <v>4.4187720481189692E-2</v>
      </c>
      <c r="J46" s="1031"/>
      <c r="K46" s="830"/>
      <c r="L46" s="831"/>
      <c r="M46" s="1030">
        <f>(M14+N14)/$B$43</f>
        <v>2.8401233994703203E-2</v>
      </c>
      <c r="N46" s="1031"/>
      <c r="O46" s="830"/>
      <c r="P46" s="831"/>
      <c r="Q46" s="1030">
        <f>(Q14+R14)/$B$43</f>
        <v>0.41733166015297679</v>
      </c>
      <c r="R46" s="1036"/>
    </row>
    <row r="47" spans="1:20" ht="16" thickBot="1">
      <c r="A47" s="157"/>
      <c r="B47" s="803"/>
      <c r="C47" s="803"/>
      <c r="D47" s="803"/>
      <c r="E47" s="803"/>
      <c r="F47" s="803"/>
      <c r="G47" s="803"/>
      <c r="H47" s="803"/>
      <c r="I47" s="803"/>
      <c r="J47" s="803"/>
      <c r="K47" s="803"/>
      <c r="L47" s="803"/>
      <c r="M47" s="803"/>
      <c r="N47" s="803"/>
      <c r="O47" s="803"/>
      <c r="P47" s="803"/>
      <c r="Q47" s="803"/>
      <c r="R47" s="803"/>
    </row>
    <row r="48" spans="1:20" ht="16" thickBot="1">
      <c r="A48" s="1026" t="s">
        <v>149</v>
      </c>
      <c r="B48" s="1027"/>
      <c r="C48" s="1027"/>
      <c r="D48" s="1027"/>
      <c r="E48" s="1027"/>
      <c r="F48" s="1027"/>
      <c r="G48" s="1027"/>
      <c r="H48" s="1027"/>
      <c r="I48" s="1027"/>
      <c r="J48" s="1027"/>
      <c r="K48" s="1027"/>
      <c r="L48" s="1027"/>
      <c r="M48" s="1027"/>
      <c r="N48" s="1027"/>
      <c r="O48" s="1027"/>
      <c r="P48" s="1027"/>
      <c r="Q48" s="1027"/>
      <c r="R48" s="1028"/>
    </row>
    <row r="49" spans="1:28" ht="16" thickBot="1">
      <c r="A49" s="84" t="s">
        <v>86</v>
      </c>
      <c r="B49" s="85">
        <f>'הנחות עבודה'!B55</f>
        <v>13.2</v>
      </c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8"/>
    </row>
    <row r="50" spans="1:28" ht="16" thickBot="1">
      <c r="A50" s="347"/>
      <c r="B50" s="1043" t="s">
        <v>135</v>
      </c>
      <c r="C50" s="1043"/>
      <c r="D50" s="1043" t="s">
        <v>136</v>
      </c>
      <c r="E50" s="1043"/>
      <c r="F50" s="1044" t="s">
        <v>4</v>
      </c>
      <c r="G50" s="1045"/>
      <c r="H50" s="1062"/>
      <c r="I50" s="1045" t="s">
        <v>29</v>
      </c>
      <c r="J50" s="1045"/>
      <c r="K50" s="552"/>
      <c r="L50" s="552"/>
      <c r="M50" s="1046" t="s">
        <v>30</v>
      </c>
      <c r="N50" s="1047"/>
      <c r="O50" s="559"/>
      <c r="P50" s="560"/>
      <c r="Q50" s="1048" t="s">
        <v>85</v>
      </c>
      <c r="R50" s="1049"/>
    </row>
    <row r="51" spans="1:28" s="821" customFormat="1" ht="16" thickBot="1">
      <c r="A51" s="832" t="s">
        <v>151</v>
      </c>
      <c r="B51" s="1016">
        <f>B24+C24</f>
        <v>4.5293988682166022</v>
      </c>
      <c r="C51" s="1035"/>
      <c r="D51" s="1016">
        <f>D24+E24</f>
        <v>3.3500083723488334</v>
      </c>
      <c r="E51" s="1035"/>
      <c r="F51" s="1066">
        <f>F24+G24+H24</f>
        <v>1.099383934453841</v>
      </c>
      <c r="G51" s="1067"/>
      <c r="H51" s="1067"/>
      <c r="I51" s="1016">
        <f>I24+J24+K24+L24</f>
        <v>0.70018671945627164</v>
      </c>
      <c r="J51" s="1017"/>
      <c r="K51" s="826"/>
      <c r="L51" s="826"/>
      <c r="M51" s="1066">
        <f>N24+M24+O24+P24</f>
        <v>0.52495671945627165</v>
      </c>
      <c r="N51" s="1067"/>
      <c r="O51" s="833"/>
      <c r="P51" s="834"/>
      <c r="Q51" s="1067">
        <f>Q24+R24</f>
        <v>3.2994101343289519</v>
      </c>
      <c r="R51" s="1071"/>
    </row>
    <row r="52" spans="1:28" s="821" customFormat="1" ht="16" thickBot="1">
      <c r="A52" s="832" t="s">
        <v>350</v>
      </c>
      <c r="B52" s="1068">
        <f>B51/B49</f>
        <v>0.34313627789519713</v>
      </c>
      <c r="C52" s="1070"/>
      <c r="D52" s="1068">
        <f>D51/B49</f>
        <v>0.25378851305672984</v>
      </c>
      <c r="E52" s="1070"/>
      <c r="F52" s="1068">
        <f>F51/B49</f>
        <v>8.3286661701048564E-2</v>
      </c>
      <c r="G52" s="1069"/>
      <c r="H52" s="1069"/>
      <c r="I52" s="1068">
        <f>I51/B49</f>
        <v>5.3044448443656946E-2</v>
      </c>
      <c r="J52" s="1069"/>
      <c r="K52" s="835"/>
      <c r="L52" s="835"/>
      <c r="M52" s="1068">
        <f>M51/B49</f>
        <v>3.9769448443656943E-2</v>
      </c>
      <c r="N52" s="1069"/>
      <c r="O52" s="835"/>
      <c r="P52" s="836"/>
      <c r="Q52" s="1069">
        <f>Q51/B49</f>
        <v>0.24995531320673881</v>
      </c>
      <c r="R52" s="1070"/>
    </row>
    <row r="55" spans="1:28" ht="16" thickBot="1">
      <c r="A55" s="158" t="s">
        <v>273</v>
      </c>
    </row>
    <row r="56" spans="1:28" ht="34">
      <c r="A56" s="343"/>
      <c r="B56" s="339" t="s">
        <v>365</v>
      </c>
    </row>
    <row r="57" spans="1:28">
      <c r="A57" s="239" t="s">
        <v>406</v>
      </c>
      <c r="B57" s="342">
        <f>'הנחות עבודה'!D91*1000</f>
        <v>300</v>
      </c>
    </row>
    <row r="58" spans="1:28">
      <c r="A58" s="239" t="s">
        <v>407</v>
      </c>
      <c r="B58" s="342">
        <f>'הנחות עבודה'!D92*1000</f>
        <v>90</v>
      </c>
      <c r="S58" s="9"/>
      <c r="T58" s="9"/>
      <c r="U58" s="9"/>
      <c r="V58" s="9"/>
      <c r="W58" s="9"/>
      <c r="X58" s="9"/>
      <c r="Y58" s="9"/>
      <c r="Z58" s="9"/>
      <c r="AA58" s="9"/>
      <c r="AB58" s="9"/>
    </row>
    <row r="59" spans="1:28" ht="16" thickBot="1">
      <c r="A59" s="240" t="str">
        <f>'הנחות עבודה'!A79</f>
        <v>יחידת גז משוקללת</v>
      </c>
      <c r="B59" s="379">
        <f>'הנחות עבודה'!D93*1000</f>
        <v>5</v>
      </c>
    </row>
    <row r="60" spans="1:28">
      <c r="A60" s="18"/>
      <c r="B60" s="655"/>
    </row>
    <row r="61" spans="1:28">
      <c r="A61" s="18"/>
      <c r="B61" s="655"/>
    </row>
    <row r="62" spans="1:28" s="9" customFormat="1" ht="16" thickBot="1">
      <c r="B62" s="254"/>
      <c r="S62"/>
      <c r="T62"/>
      <c r="U62"/>
      <c r="V62"/>
      <c r="W62"/>
      <c r="X62"/>
      <c r="Y62"/>
      <c r="Z62"/>
      <c r="AA62"/>
      <c r="AB62"/>
    </row>
    <row r="63" spans="1:28" ht="16" thickBot="1">
      <c r="A63" s="40" t="s">
        <v>274</v>
      </c>
      <c r="B63" s="344"/>
    </row>
    <row r="64" spans="1:28">
      <c r="A64" s="238" t="s">
        <v>130</v>
      </c>
      <c r="B64" s="340">
        <v>68</v>
      </c>
    </row>
    <row r="65" spans="1:2" ht="16" thickBot="1">
      <c r="A65" s="240" t="s">
        <v>131</v>
      </c>
      <c r="B65" s="341">
        <v>30</v>
      </c>
    </row>
  </sheetData>
  <mergeCells count="52">
    <mergeCell ref="M52:N52"/>
    <mergeCell ref="Q52:R52"/>
    <mergeCell ref="B51:C51"/>
    <mergeCell ref="D51:E51"/>
    <mergeCell ref="F51:H51"/>
    <mergeCell ref="I51:J51"/>
    <mergeCell ref="Q51:R51"/>
    <mergeCell ref="B52:C52"/>
    <mergeCell ref="D52:E52"/>
    <mergeCell ref="F52:H52"/>
    <mergeCell ref="I52:J52"/>
    <mergeCell ref="Q44:R44"/>
    <mergeCell ref="Q46:R46"/>
    <mergeCell ref="A48:R48"/>
    <mergeCell ref="M50:N50"/>
    <mergeCell ref="M51:N51"/>
    <mergeCell ref="B50:C50"/>
    <mergeCell ref="D50:E50"/>
    <mergeCell ref="F45:H45"/>
    <mergeCell ref="I45:J45"/>
    <mergeCell ref="Q45:R45"/>
    <mergeCell ref="F50:H50"/>
    <mergeCell ref="I50:J50"/>
    <mergeCell ref="Q50:R50"/>
    <mergeCell ref="A42:R42"/>
    <mergeCell ref="Q2:R2"/>
    <mergeCell ref="Q38:R38"/>
    <mergeCell ref="B46:C46"/>
    <mergeCell ref="D46:E46"/>
    <mergeCell ref="F46:H46"/>
    <mergeCell ref="I46:J46"/>
    <mergeCell ref="M44:N44"/>
    <mergeCell ref="M45:N45"/>
    <mergeCell ref="M46:N46"/>
    <mergeCell ref="B44:C44"/>
    <mergeCell ref="D44:E44"/>
    <mergeCell ref="F44:H44"/>
    <mergeCell ref="I44:J44"/>
    <mergeCell ref="B45:C45"/>
    <mergeCell ref="D45:E45"/>
    <mergeCell ref="U2:AD2"/>
    <mergeCell ref="B38:C38"/>
    <mergeCell ref="D38:E38"/>
    <mergeCell ref="F38:H38"/>
    <mergeCell ref="I38:J38"/>
    <mergeCell ref="B2:C2"/>
    <mergeCell ref="D2:E2"/>
    <mergeCell ref="F2:H2"/>
    <mergeCell ref="I2:L2"/>
    <mergeCell ref="M2:P2"/>
    <mergeCell ref="A37:R37"/>
    <mergeCell ref="M38:N38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AN64"/>
  <sheetViews>
    <sheetView rightToLeft="1" topLeftCell="Q1" zoomScale="92" zoomScaleNormal="80" workbookViewId="0">
      <selection activeCell="R37" sqref="R37"/>
    </sheetView>
  </sheetViews>
  <sheetFormatPr baseColWidth="10" defaultColWidth="8.83203125" defaultRowHeight="15"/>
  <cols>
    <col min="1" max="1" width="37" customWidth="1"/>
    <col min="2" max="2" width="17.1640625" customWidth="1"/>
    <col min="3" max="3" width="15.6640625" customWidth="1"/>
    <col min="4" max="4" width="16.5" customWidth="1"/>
    <col min="5" max="5" width="11.6640625" customWidth="1"/>
    <col min="6" max="7" width="9.33203125" bestFit="1" customWidth="1"/>
    <col min="8" max="8" width="10.33203125" bestFit="1" customWidth="1"/>
    <col min="19" max="19" width="28.1640625" bestFit="1" customWidth="1"/>
    <col min="21" max="21" width="28.1640625" bestFit="1" customWidth="1"/>
    <col min="22" max="23" width="5.6640625" bestFit="1" customWidth="1"/>
    <col min="24" max="24" width="5.33203125" bestFit="1" customWidth="1"/>
    <col min="25" max="25" width="19.33203125" bestFit="1" customWidth="1"/>
    <col min="26" max="26" width="13.1640625" bestFit="1" customWidth="1"/>
    <col min="27" max="29" width="11.33203125" bestFit="1" customWidth="1"/>
  </cols>
  <sheetData>
    <row r="1" spans="1:40" ht="34" thickBot="1">
      <c r="A1" s="225" t="s">
        <v>360</v>
      </c>
      <c r="B1" s="225"/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  <c r="AK1" s="226"/>
      <c r="AL1" s="226"/>
      <c r="AM1" s="226"/>
      <c r="AN1" s="226"/>
    </row>
    <row r="2" spans="1:40" ht="17">
      <c r="A2" s="1084" t="s">
        <v>361</v>
      </c>
      <c r="B2" s="1084"/>
      <c r="C2" s="1084"/>
      <c r="D2" s="1084"/>
      <c r="E2" s="1084"/>
      <c r="F2" s="1084"/>
      <c r="G2" s="1084"/>
      <c r="H2" s="1084"/>
      <c r="I2" s="1084"/>
      <c r="J2" s="1084"/>
      <c r="K2" s="1084"/>
      <c r="L2" s="1084"/>
      <c r="M2" s="1084"/>
      <c r="N2" s="1084"/>
      <c r="O2" s="1084"/>
      <c r="P2" s="1084"/>
      <c r="Q2" s="1084"/>
      <c r="R2" s="1084"/>
      <c r="S2" s="284" t="s">
        <v>12</v>
      </c>
    </row>
    <row r="3" spans="1:40" ht="18" thickBot="1">
      <c r="A3" s="141"/>
      <c r="B3" s="1043" t="s">
        <v>135</v>
      </c>
      <c r="C3" s="1043"/>
      <c r="D3" s="1043" t="s">
        <v>136</v>
      </c>
      <c r="E3" s="1043"/>
      <c r="F3" s="1043" t="s">
        <v>4</v>
      </c>
      <c r="G3" s="1043"/>
      <c r="H3" s="1043"/>
      <c r="I3" s="1051" t="s">
        <v>29</v>
      </c>
      <c r="J3" s="1063"/>
      <c r="K3" s="1063"/>
      <c r="L3" s="1064"/>
      <c r="M3" s="1051" t="s">
        <v>30</v>
      </c>
      <c r="N3" s="1063"/>
      <c r="O3" s="1063"/>
      <c r="P3" s="1064"/>
      <c r="Q3" s="1065">
        <v>0.25</v>
      </c>
      <c r="R3" s="1065"/>
      <c r="S3" s="515">
        <f>'הנחות עבודה'!$B$37</f>
        <v>0.04</v>
      </c>
      <c r="U3" s="1060" t="s">
        <v>363</v>
      </c>
      <c r="V3" s="1061"/>
      <c r="W3" s="1061"/>
      <c r="X3" s="1061"/>
      <c r="Y3" s="1061"/>
      <c r="Z3" s="1061"/>
      <c r="AA3" s="1061"/>
      <c r="AB3" s="1061"/>
      <c r="AC3" s="1061"/>
      <c r="AD3" s="1061"/>
    </row>
    <row r="4" spans="1:40" ht="33" thickBot="1">
      <c r="A4" s="141" t="s">
        <v>6</v>
      </c>
      <c r="B4" s="40" t="s">
        <v>0</v>
      </c>
      <c r="C4" s="344" t="str">
        <f>E4</f>
        <v>מתקני גז קיימים</v>
      </c>
      <c r="D4" s="40" t="s">
        <v>0</v>
      </c>
      <c r="E4" s="675" t="str">
        <f>H4</f>
        <v>מתקני גז קיימים</v>
      </c>
      <c r="F4" s="554" t="s">
        <v>0</v>
      </c>
      <c r="G4" s="555" t="s">
        <v>16</v>
      </c>
      <c r="H4" s="676" t="str">
        <f>J4</f>
        <v>מתקני גז קיימים</v>
      </c>
      <c r="I4" s="677" t="s">
        <v>0</v>
      </c>
      <c r="J4" s="678" t="s">
        <v>433</v>
      </c>
      <c r="K4" s="678" t="s">
        <v>434</v>
      </c>
      <c r="L4" s="678" t="s">
        <v>435</v>
      </c>
      <c r="M4" s="679" t="s">
        <v>0</v>
      </c>
      <c r="N4" s="678" t="str">
        <f>J4</f>
        <v>מתקני גז קיימים</v>
      </c>
      <c r="O4" s="678" t="s">
        <v>434</v>
      </c>
      <c r="P4" s="680" t="s">
        <v>435</v>
      </c>
      <c r="Q4" s="489" t="s">
        <v>0</v>
      </c>
      <c r="R4" s="675" t="str">
        <f>C4</f>
        <v>מתקני גז קיימים</v>
      </c>
      <c r="S4" s="511" t="s">
        <v>384</v>
      </c>
      <c r="U4" s="65"/>
      <c r="V4" s="101">
        <v>2015</v>
      </c>
      <c r="W4" s="101">
        <v>2018</v>
      </c>
      <c r="X4" s="101"/>
      <c r="Y4" s="101" t="s">
        <v>92</v>
      </c>
      <c r="Z4" s="101" t="s">
        <v>128</v>
      </c>
      <c r="AA4" s="102" t="str">
        <f>Q39</f>
        <v xml:space="preserve">25% מתחדשות </v>
      </c>
      <c r="AB4" s="101" t="str">
        <f>F39</f>
        <v>הסבה</v>
      </c>
      <c r="AC4" s="101" t="str">
        <f>I39</f>
        <v>שימור</v>
      </c>
      <c r="AD4" s="101" t="str">
        <f>M39</f>
        <v>גריטה</v>
      </c>
    </row>
    <row r="5" spans="1:40" ht="16" thickBot="1">
      <c r="A5" s="141">
        <v>2020</v>
      </c>
      <c r="B5" s="149">
        <f>$B$58*'תמהיל יצור'!H4/1000</f>
        <v>7.1793388429752056</v>
      </c>
      <c r="C5" s="144">
        <f>$B$60*'תמהיל יצור'!I4/1000</f>
        <v>7.516097045454547</v>
      </c>
      <c r="D5" s="145">
        <f>$B$58*'תמהיל יצור'!L4/10^3</f>
        <v>5.0648760330578515</v>
      </c>
      <c r="E5" s="142">
        <f>$B$60*'תמהיל יצור'!M4/10^3</f>
        <v>8.5129152272727264</v>
      </c>
      <c r="F5" s="149">
        <f>$B$58*('תמהיל יצור'!P4+'תמהיל יצור'!Q4)/10^3</f>
        <v>5.0648760330578515</v>
      </c>
      <c r="G5" s="153">
        <f>$B$59*'תמהיל יצור'!R4/10^3</f>
        <v>0</v>
      </c>
      <c r="H5" s="142">
        <f>$B$60*'תמהיל יצור'!S4/10^3</f>
        <v>8.5129152272727264</v>
      </c>
      <c r="I5" s="149">
        <f>$B$58*('תמהיל יצור'!V4+'תמהיל יצור'!W4)/10^3</f>
        <v>5.0648760330578515</v>
      </c>
      <c r="J5" s="144">
        <f>$B$60*'תמהיל יצור'!X4/10^3</f>
        <v>8.5129152272727282</v>
      </c>
      <c r="K5" s="144">
        <f>$B$60*'תמהיל יצור'!Y4/10^3</f>
        <v>0</v>
      </c>
      <c r="L5" s="144">
        <f>$B$60*'תמהיל יצור'!Z4/10^3</f>
        <v>0</v>
      </c>
      <c r="M5" s="151">
        <f>$B$58*'תמהיל יצור'!AC4/10^3</f>
        <v>5.0648760330578515</v>
      </c>
      <c r="N5" s="142">
        <f>$B$60*'תמהיל יצור'!AD4/10^3</f>
        <v>8.5129152272727264</v>
      </c>
      <c r="O5" s="142">
        <f>$B$60*'תמהיל יצור'!AE4/10^3</f>
        <v>0</v>
      </c>
      <c r="P5" s="142">
        <f>$B$60*'תמהיל יצור'!AF4/10^3</f>
        <v>0</v>
      </c>
      <c r="Q5" s="145">
        <f>$B$58*'תמהיל יצור'!AK4/10^3</f>
        <v>5.0648760330578515</v>
      </c>
      <c r="R5" s="142">
        <f>$B$60*'תמהיל יצור'!AL4/10^3</f>
        <v>8.5129152272727282</v>
      </c>
      <c r="S5" s="509">
        <f t="shared" ref="S5:S24" si="0">1/((1+$S$3)^($A5-2019))</f>
        <v>0.96153846153846145</v>
      </c>
      <c r="U5" s="101" t="s">
        <v>146</v>
      </c>
      <c r="V5" s="159">
        <f>B63</f>
        <v>69</v>
      </c>
      <c r="W5" s="159">
        <f>B64</f>
        <v>45</v>
      </c>
      <c r="X5" s="159"/>
      <c r="Y5" s="160">
        <f>B40</f>
        <v>4.1561641941618666</v>
      </c>
      <c r="Z5" s="160">
        <f>D40</f>
        <v>2.9320884383470709</v>
      </c>
      <c r="AA5" s="160">
        <f>Q40</f>
        <v>2.9320884383470709</v>
      </c>
      <c r="AB5" s="160">
        <f>F40</f>
        <v>0.80751069533478437</v>
      </c>
      <c r="AC5" s="160">
        <f>I40</f>
        <v>0.77493152483208838</v>
      </c>
      <c r="AD5" s="160">
        <f>M40</f>
        <v>0.69382722232091432</v>
      </c>
    </row>
    <row r="6" spans="1:40">
      <c r="A6" s="141">
        <f>A5+1</f>
        <v>2021</v>
      </c>
      <c r="B6" s="149">
        <f>$B$58*'תמהיל יצור'!H5/1000</f>
        <v>7.1793388429752056</v>
      </c>
      <c r="C6" s="144">
        <f>$B$60*'תמהיל יצור'!I5/1000</f>
        <v>7.5694365954545466</v>
      </c>
      <c r="D6" s="145">
        <f>$B$58*'תמהיל יצור'!L5/10^3</f>
        <v>5.0648760330578515</v>
      </c>
      <c r="E6" s="142">
        <f>$B$60*'תמהיל יצור'!M5/10^3</f>
        <v>8.5662547772727269</v>
      </c>
      <c r="F6" s="149">
        <f>$B$58*('תמהיל יצור'!P5+'תמהיל יצור'!Q5)/10^3</f>
        <v>5.0648760330578515</v>
      </c>
      <c r="G6" s="153">
        <f>$B$59*'תמהיל יצור'!R5/10^3</f>
        <v>0</v>
      </c>
      <c r="H6" s="142">
        <f>$B$60*'תמהיל יצור'!S5/10^3</f>
        <v>8.5662547772727269</v>
      </c>
      <c r="I6" s="149">
        <f>$B$58*('תמהיל יצור'!V5+'תמהיל יצור'!W5)/10^3</f>
        <v>5.0648760330578515</v>
      </c>
      <c r="J6" s="144">
        <f>$B$60*'תמהיל יצור'!X5/10^3</f>
        <v>8.5662547772727269</v>
      </c>
      <c r="K6" s="144">
        <f>$B$60*'תמהיל יצור'!Y5/10^3</f>
        <v>0</v>
      </c>
      <c r="L6" s="144">
        <f>$B$60*'תמהיל יצור'!Z5/10^3</f>
        <v>0</v>
      </c>
      <c r="M6" s="151">
        <f>$B$58*'תמהיל יצור'!AC5/10^3</f>
        <v>5.0648760330578515</v>
      </c>
      <c r="N6" s="142">
        <f>$B$60*'תמהיל יצור'!AD5/10^3</f>
        <v>8.5662547772727269</v>
      </c>
      <c r="O6" s="142">
        <f>$B$60*'תמהיל יצור'!AE5/10^3</f>
        <v>0</v>
      </c>
      <c r="P6" s="142">
        <f>$B$60*'תמהיל יצור'!AF5/10^3</f>
        <v>0</v>
      </c>
      <c r="Q6" s="145">
        <f>$B$58*'תמהיל יצור'!AK5/10^3</f>
        <v>5.0648760330578515</v>
      </c>
      <c r="R6" s="142">
        <f>$B$60*'תמהיל יצור'!AL5/10^3</f>
        <v>8.5662547772727269</v>
      </c>
      <c r="S6" s="509">
        <f t="shared" si="0"/>
        <v>0.92455621301775137</v>
      </c>
    </row>
    <row r="7" spans="1:40">
      <c r="A7" s="141">
        <f t="shared" ref="A7:A30" si="1">A6+1</f>
        <v>2022</v>
      </c>
      <c r="B7" s="149">
        <f>$B$58*'תמהיל יצור'!H6/1000</f>
        <v>7.1793388429752056</v>
      </c>
      <c r="C7" s="144">
        <f>$B$60*'תמהיל יצור'!I6/1000</f>
        <v>7.9271631954545452</v>
      </c>
      <c r="D7" s="145">
        <f>$B$58*'תמהיל יצור'!L6/10^3</f>
        <v>5.0648760330578515</v>
      </c>
      <c r="E7" s="142">
        <f>$B$60*'תמהיל יצור'!M6/10^3</f>
        <v>8.9239813772727263</v>
      </c>
      <c r="F7" s="149">
        <f>$B$58*('תמהיל יצור'!P6+'תמהיל יצור'!Q6)/10^3</f>
        <v>3.4387672277588717</v>
      </c>
      <c r="G7" s="153">
        <f>$B$59*'תמהיל יצור'!R6/10^3</f>
        <v>1.0572396694214876</v>
      </c>
      <c r="H7" s="142">
        <f>$B$60*'תמהיל יצור'!S6/10^3</f>
        <v>9.0444846192513353</v>
      </c>
      <c r="I7" s="149">
        <f>$B$58*('תמהיל יצור'!V6+'תמהיל יצור'!W6)/10^3</f>
        <v>3.3517561983471071</v>
      </c>
      <c r="J7" s="144">
        <f>$B$60*'תמהיל יצור'!X6/10^3</f>
        <v>9.7315950136363618</v>
      </c>
      <c r="K7" s="144">
        <f>$B$60*'תמהיל יצור'!Y6/10^3</f>
        <v>0</v>
      </c>
      <c r="L7" s="144">
        <f>$B$60*'תמהיל יצור'!Z6/10^3</f>
        <v>0</v>
      </c>
      <c r="M7" s="151">
        <f>$B$58*'תמהיל יצור'!AC6/10^3</f>
        <v>3.3517561983471071</v>
      </c>
      <c r="N7" s="142">
        <f>$B$60*'תמהיל יצור'!AD6/10^3</f>
        <v>9.7315950136363618</v>
      </c>
      <c r="O7" s="142">
        <f>$B$60*'תמהיל יצור'!AE6/10^3</f>
        <v>0</v>
      </c>
      <c r="P7" s="142">
        <f>$B$60*'תמהיל יצור'!AF6/10^3</f>
        <v>0</v>
      </c>
      <c r="Q7" s="145">
        <f>$B$58*'תמהיל יצור'!AK6/10^3</f>
        <v>5.0648760330578515</v>
      </c>
      <c r="R7" s="142">
        <f>$B$60*'תמהיל יצור'!AL6/10^3</f>
        <v>8.9239813772727263</v>
      </c>
      <c r="S7" s="509">
        <f t="shared" si="0"/>
        <v>0.88899635867091487</v>
      </c>
    </row>
    <row r="8" spans="1:40">
      <c r="A8" s="141">
        <f t="shared" si="1"/>
        <v>2023</v>
      </c>
      <c r="B8" s="150">
        <f>$B$58*'תמהיל יצור'!H7/1000</f>
        <v>7.1793388429752056</v>
      </c>
      <c r="C8" s="146">
        <f>$B$60*'תמהיל יצור'!I7/1000</f>
        <v>8.165243345454547</v>
      </c>
      <c r="D8" s="147">
        <f>$B$58*'תמהיל יצור'!L7/10^3</f>
        <v>5.0648760330578515</v>
      </c>
      <c r="E8" s="143">
        <f>$B$60*'תמהיל יצור'!M7/10^3</f>
        <v>9.1620615272727264</v>
      </c>
      <c r="F8" s="150">
        <f>$B$58*('תמהיל יצור'!P7+'תמהיל יצור'!Q7)/10^3</f>
        <v>3.4387672277588717</v>
      </c>
      <c r="G8" s="154">
        <f>$B$59*'תמהיל יצור'!R7/10^3</f>
        <v>1.0572396694214876</v>
      </c>
      <c r="H8" s="143">
        <f>$B$60*'תמהיל יצור'!S7/10^3</f>
        <v>9.2825647692513353</v>
      </c>
      <c r="I8" s="150">
        <f>$B$58*('תמהיל יצור'!V7+'תמהיל יצור'!W7)/10^3</f>
        <v>3.3517561983471071</v>
      </c>
      <c r="J8" s="144">
        <f>$B$60*'תמהיל יצור'!X7/10^3</f>
        <v>9.9696751636363636</v>
      </c>
      <c r="K8" s="144">
        <f>$B$60*'תמהיל יצור'!Y7/10^3</f>
        <v>0</v>
      </c>
      <c r="L8" s="144">
        <f>$B$60*'תמהיל יצור'!Z7/10^3</f>
        <v>0</v>
      </c>
      <c r="M8" s="152">
        <f>$B$58*'תמהיל יצור'!AC7/10^3</f>
        <v>3.3517561983471071</v>
      </c>
      <c r="N8" s="142">
        <f>$B$60*'תמהיל יצור'!AD7/10^3</f>
        <v>9.9696751636363619</v>
      </c>
      <c r="O8" s="142">
        <f>$B$60*'תמהיל יצור'!AE7/10^3</f>
        <v>0</v>
      </c>
      <c r="P8" s="142">
        <f>$B$60*'תמהיל יצור'!AF7/10^3</f>
        <v>0</v>
      </c>
      <c r="Q8" s="147">
        <f>$B$58*'תמהיל יצור'!AK7/10^3</f>
        <v>5.0648760330578515</v>
      </c>
      <c r="R8" s="143">
        <f>$B$60*'תמהיל יצור'!AL7/10^3</f>
        <v>8.8995663272727263</v>
      </c>
      <c r="S8" s="509">
        <f t="shared" si="0"/>
        <v>0.85480419102972571</v>
      </c>
      <c r="Y8" s="163"/>
      <c r="Z8" s="163"/>
      <c r="AA8" s="163"/>
      <c r="AB8" s="163"/>
      <c r="AC8" s="163"/>
    </row>
    <row r="9" spans="1:40">
      <c r="A9" s="141">
        <f t="shared" si="1"/>
        <v>2024</v>
      </c>
      <c r="B9" s="150">
        <f>$B$58*'תמהיל יצור'!H8/1000</f>
        <v>7.1793388429752056</v>
      </c>
      <c r="C9" s="146">
        <f>$B$60*'תמהיל יצור'!I8/1000</f>
        <v>8.5424729454545467</v>
      </c>
      <c r="D9" s="147">
        <f>$B$58*'תמהיל יצור'!L8/10^3</f>
        <v>5.0648760330578515</v>
      </c>
      <c r="E9" s="143">
        <f>$B$60*'תמהיל יצור'!M8/10^3</f>
        <v>9.5392911272727261</v>
      </c>
      <c r="F9" s="150">
        <f>$B$58*('תמהיל יצור'!P8+'תמהיל יצור'!Q8)/10^3</f>
        <v>1.8126584224598929</v>
      </c>
      <c r="G9" s="154">
        <f>$B$59*'תמהיל יצור'!R8/10^3</f>
        <v>2.1144793388429752</v>
      </c>
      <c r="H9" s="143">
        <f>$B$60*'תמהיל יצור'!S8/10^3</f>
        <v>9.7802976112299458</v>
      </c>
      <c r="I9" s="150">
        <f>$B$58*('תמהיל יצור'!V8+'תמהיל יצור'!W8)/10^3</f>
        <v>1.7089554812834225</v>
      </c>
      <c r="J9" s="144">
        <f>$B$60*'תמהיל יצור'!X8/10^3</f>
        <v>10.165192958823528</v>
      </c>
      <c r="K9" s="144">
        <f>$B$60*'תמהיל יצור'!Y8/10^3</f>
        <v>0.85049249999999998</v>
      </c>
      <c r="L9" s="144">
        <f>$B$60*'תמהיל יצור'!Z8/10^3</f>
        <v>0.10568249999999998</v>
      </c>
      <c r="M9" s="152">
        <f>$B$58*'תמהיל יצור'!AC8/10^3</f>
        <v>1.6386363636363634</v>
      </c>
      <c r="N9" s="142">
        <f>$B$60*'תמהיל יצור'!AD8/10^3</f>
        <v>10.198343399999997</v>
      </c>
      <c r="O9" s="142">
        <f>$B$60*'תמהיל יצור'!AE8/10^3</f>
        <v>0.85049249999999998</v>
      </c>
      <c r="P9" s="142">
        <f>$B$60*'תמהיל יצור'!AF8/10^3</f>
        <v>0.10568249999999998</v>
      </c>
      <c r="Q9" s="147">
        <f>$B$58*'תמהיל יצור'!AK8/10^3</f>
        <v>5.0648760330578515</v>
      </c>
      <c r="R9" s="143">
        <f>$B$60*'תמהיל יצור'!AL8/10^3</f>
        <v>8.9971539272727252</v>
      </c>
      <c r="S9" s="509">
        <f t="shared" si="0"/>
        <v>0.82192710675935154</v>
      </c>
    </row>
    <row r="10" spans="1:40">
      <c r="A10" s="141">
        <f t="shared" si="1"/>
        <v>2025</v>
      </c>
      <c r="B10" s="150">
        <f>$B$58*'תמהיל יצור'!H9/1000</f>
        <v>7.1793388429752056</v>
      </c>
      <c r="C10" s="146">
        <f>$B$60*'תמהיל יצור'!I9/1000</f>
        <v>8.7919397454545472</v>
      </c>
      <c r="D10" s="147">
        <f>$B$58*'תמהיל יצור'!L9/10^3</f>
        <v>5.0648760330578515</v>
      </c>
      <c r="E10" s="143">
        <f>$B$60*'תמהיל יצור'!M9/10^3</f>
        <v>9.7887579272727265</v>
      </c>
      <c r="F10" s="150">
        <f>$B$58*('תמהיל יצור'!P9+'תמהיל יצור'!Q9)/10^3</f>
        <v>1.8126584224598929</v>
      </c>
      <c r="G10" s="154">
        <f>$B$59*'תמהיל יצור'!R9/10^3</f>
        <v>2.1144793388429752</v>
      </c>
      <c r="H10" s="143">
        <f>$B$60*'תמהיל יצור'!S9/10^3</f>
        <v>10.029764411229948</v>
      </c>
      <c r="I10" s="150">
        <f>$B$58*('תמהיל יצור'!V9+'תמהיל יצור'!W9)/10^3</f>
        <v>1.7089554812834225</v>
      </c>
      <c r="J10" s="144">
        <f>$B$60*'תמהיל יצור'!X9/10^3</f>
        <v>10.414659758823529</v>
      </c>
      <c r="K10" s="144">
        <f>$B$60*'תמהיל יצור'!Y9/10^3</f>
        <v>0.85049249999999998</v>
      </c>
      <c r="L10" s="144">
        <f>$B$60*'תמהיל יצור'!Z9/10^3</f>
        <v>0.10568249999999998</v>
      </c>
      <c r="M10" s="152">
        <f>$B$58*'תמהיל יצור'!AC9/10^3</f>
        <v>1.6386363636363634</v>
      </c>
      <c r="N10" s="142">
        <f>$B$60*'תמהיל יצור'!AD9/10^3</f>
        <v>10.447810199999999</v>
      </c>
      <c r="O10" s="142">
        <f>$B$60*'תמהיל יצור'!AE9/10^3</f>
        <v>0.85049249999999998</v>
      </c>
      <c r="P10" s="142">
        <f>$B$60*'תמהיל יצור'!AF9/10^3</f>
        <v>0.10568249999999998</v>
      </c>
      <c r="Q10" s="147">
        <f>$B$58*'תמהיל יצור'!AK9/10^3</f>
        <v>5.0648760330578515</v>
      </c>
      <c r="R10" s="143">
        <f>$B$60*'תמהיל יצור'!AL9/10^3</f>
        <v>9.0889599272727288</v>
      </c>
      <c r="S10" s="509">
        <f t="shared" si="0"/>
        <v>0.79031452573014571</v>
      </c>
    </row>
    <row r="11" spans="1:40">
      <c r="A11" s="141">
        <f t="shared" si="1"/>
        <v>2026</v>
      </c>
      <c r="B11" s="150">
        <f>$B$58*'תמהיל יצור'!H10/1000</f>
        <v>7.1793388429752056</v>
      </c>
      <c r="C11" s="146">
        <f>$B$60*'תמהיל יצור'!I10/1000</f>
        <v>9.1207048458545454</v>
      </c>
      <c r="D11" s="147">
        <f>$B$58*'תמהיל יצור'!L10/10^3</f>
        <v>5.0648760330578515</v>
      </c>
      <c r="E11" s="143">
        <f>$B$60*'תמהיל יצור'!M10/10^3</f>
        <v>10.117523027672725</v>
      </c>
      <c r="F11" s="150">
        <f>$B$58*('תמהיל יצור'!P10+'תמהיל יצור'!Q10)/10^3</f>
        <v>0.25724999999999998</v>
      </c>
      <c r="G11" s="154">
        <f>$B$59*'תמהיל יצור'!R10/10^3</f>
        <v>3.1257520661157026</v>
      </c>
      <c r="H11" s="143">
        <f>$B$60*'תמהיל יצור'!S10/10^3</f>
        <v>10.473793482218181</v>
      </c>
      <c r="I11" s="150">
        <f>$B$58*('תמהיל יצור'!V10+'תמהיל יצור'!W10)/10^3</f>
        <v>0.14063823529411765</v>
      </c>
      <c r="J11" s="144">
        <f>$B$60*'תמהיל יצור'!X10/10^3</f>
        <v>10.526599418047057</v>
      </c>
      <c r="K11" s="144">
        <f>$B$60*'תמהיל יצור'!Y10/10^3</f>
        <v>1.700985</v>
      </c>
      <c r="L11" s="144">
        <f>$B$60*'תמהיל יצור'!Z10/10^3</f>
        <v>0.21136499999999997</v>
      </c>
      <c r="M11" s="152">
        <f>$B$58*'תמהיל יצור'!AC10/10^3</f>
        <v>0</v>
      </c>
      <c r="N11" s="142">
        <f>$B$60*'תמהיל יצור'!AD10/10^3</f>
        <v>10.592900300399998</v>
      </c>
      <c r="O11" s="142">
        <f>$B$60*'תמהיל יצור'!AE10/10^3</f>
        <v>1.700985</v>
      </c>
      <c r="P11" s="142">
        <f>$B$60*'תמהיל יצור'!AF10/10^3</f>
        <v>0.21136499999999997</v>
      </c>
      <c r="Q11" s="147">
        <f>$B$58*'תמהיל יצור'!AK10/10^3</f>
        <v>5.0648760330578515</v>
      </c>
      <c r="R11" s="143">
        <f>$B$60*'תמהיל יצור'!AL10/10^3</f>
        <v>9.1113534632727262</v>
      </c>
      <c r="S11" s="509">
        <f t="shared" si="0"/>
        <v>0.75991781320206331</v>
      </c>
    </row>
    <row r="12" spans="1:40">
      <c r="A12" s="141">
        <f t="shared" si="1"/>
        <v>2027</v>
      </c>
      <c r="B12" s="150">
        <f>$B$58*'תמהיל יצור'!H11/1000</f>
        <v>7.1793388429752056</v>
      </c>
      <c r="C12" s="146">
        <f>$B$60*'תמהיל יצור'!I11/1000</f>
        <v>9.3107271550169433</v>
      </c>
      <c r="D12" s="147">
        <f>$B$58*'תמהיל יצור'!L11/10^3</f>
        <v>5.0648760330578515</v>
      </c>
      <c r="E12" s="143">
        <f>$B$60*'תמהיל יצור'!M11/10^3</f>
        <v>10.307545336835124</v>
      </c>
      <c r="F12" s="150">
        <f>$B$58*('תמהיל יצור'!P11+'תמהיל יצור'!Q11)/10^3</f>
        <v>0.25724999999999998</v>
      </c>
      <c r="G12" s="154">
        <f>$B$59*'תמהיל יצור'!R11/10^3</f>
        <v>3.1257520661157026</v>
      </c>
      <c r="H12" s="143">
        <f>$B$60*'תמהיל יצור'!S11/10^3</f>
        <v>10.663815791380578</v>
      </c>
      <c r="I12" s="150">
        <f>$B$58*('תמהיל יצור'!V11+'תמהיל יצור'!W11)/10^3</f>
        <v>0.14063823529411765</v>
      </c>
      <c r="J12" s="144">
        <f>$B$60*'תמהיל יצור'!X11/10^3</f>
        <v>10.716621727209455</v>
      </c>
      <c r="K12" s="144">
        <f>$B$60*'תמהיל יצור'!Y11/10^3</f>
        <v>1.700985</v>
      </c>
      <c r="L12" s="144">
        <f>$B$60*'תמהיל יצור'!Z11/10^3</f>
        <v>0.21136499999999997</v>
      </c>
      <c r="M12" s="152">
        <f>$B$58*'תמהיל יצור'!AC11/10^3</f>
        <v>0</v>
      </c>
      <c r="N12" s="142">
        <f>$B$60*'תמהיל יצור'!AD11/10^3</f>
        <v>10.782922609562396</v>
      </c>
      <c r="O12" s="142">
        <f>$B$60*'תמהיל יצור'!AE11/10^3</f>
        <v>1.700985</v>
      </c>
      <c r="P12" s="142">
        <f>$B$60*'תמהיל יצור'!AF11/10^3</f>
        <v>0.21136499999999997</v>
      </c>
      <c r="Q12" s="147">
        <f>$B$58*'תמהיל יצור'!AK11/10^3</f>
        <v>5.0648760330578515</v>
      </c>
      <c r="R12" s="143">
        <f>$B$60*'תמהיל יצור'!AL11/10^3</f>
        <v>9.1265897452479265</v>
      </c>
      <c r="S12" s="509">
        <f t="shared" si="0"/>
        <v>0.73069020500198378</v>
      </c>
    </row>
    <row r="13" spans="1:40">
      <c r="A13" s="141">
        <f t="shared" si="1"/>
        <v>2028</v>
      </c>
      <c r="B13" s="150">
        <f>$B$58*'תמהיל יצור'!H12/1000</f>
        <v>7.1793388429752056</v>
      </c>
      <c r="C13" s="146">
        <f>$B$60*'תמהיל יצור'!I12/1000</f>
        <v>9.5018943414051211</v>
      </c>
      <c r="D13" s="147">
        <f>$B$58*'תמהיל יצור'!L12/10^3</f>
        <v>5.0648760330578515</v>
      </c>
      <c r="E13" s="143">
        <f>$B$60*'תמהיל יצור'!M12/10^3</f>
        <v>10.498712523223302</v>
      </c>
      <c r="F13" s="150">
        <f>$B$58*('תמהיל יצור'!P12+'תמהיל יצור'!Q12)/10^3</f>
        <v>0.25724999999999998</v>
      </c>
      <c r="G13" s="154">
        <f>$B$59*'תמהיל יצור'!R12/10^3</f>
        <v>3.1257520661157026</v>
      </c>
      <c r="H13" s="143">
        <f>$B$60*'תמהיל יצור'!S12/10^3</f>
        <v>10.854982977768758</v>
      </c>
      <c r="I13" s="150">
        <f>$B$58*('תמהיל יצור'!V12+'תמהיל יצור'!W12)/10^3</f>
        <v>0.20789999999999997</v>
      </c>
      <c r="J13" s="144">
        <f>$B$60*'תמהיל יצור'!X12/10^3</f>
        <v>9.9199047959505755</v>
      </c>
      <c r="K13" s="144">
        <f>$B$60*'תמהיל יצור'!Y12/10^3</f>
        <v>2.5514775000000003</v>
      </c>
      <c r="L13" s="144">
        <f>$B$60*'תמהיל יצור'!Z12/10^3</f>
        <v>0.31704749999999998</v>
      </c>
      <c r="M13" s="152">
        <f>$B$58*'תמהיל יצור'!AC12/10^3</f>
        <v>0</v>
      </c>
      <c r="N13" s="142">
        <f>$B$60*'תמהיל יצור'!AD12/10^3</f>
        <v>10.017914795950574</v>
      </c>
      <c r="O13" s="142">
        <f>$B$60*'תמהיל יצור'!AE12/10^3</f>
        <v>2.5514775000000003</v>
      </c>
      <c r="P13" s="142">
        <f>$B$60*'תמהיל יצור'!AF12/10^3</f>
        <v>0.31704749999999998</v>
      </c>
      <c r="Q13" s="147">
        <f>$B$58*'תמהיל יצור'!AK12/10^3</f>
        <v>5.0648760330578515</v>
      </c>
      <c r="R13" s="143">
        <f>$B$60*'תמהיל יצור'!AL12/10^3</f>
        <v>9.1342659565932429</v>
      </c>
      <c r="S13" s="509">
        <f t="shared" si="0"/>
        <v>0.70258673557883045</v>
      </c>
    </row>
    <row r="14" spans="1:40">
      <c r="A14" s="141">
        <f t="shared" si="1"/>
        <v>2029</v>
      </c>
      <c r="B14" s="150">
        <f>$B$58*'תמהיל יצור'!H13/1000</f>
        <v>7.1793388429752056</v>
      </c>
      <c r="C14" s="146">
        <f>$B$60*'תמהיל יצור'!I13/1000</f>
        <v>9.6941297021258883</v>
      </c>
      <c r="D14" s="147">
        <f>$B$58*'תמהיל יצור'!L13/10^3</f>
        <v>5.0648760330578515</v>
      </c>
      <c r="E14" s="143">
        <f>$B$60*'תמהיל יצור'!M13/10^3</f>
        <v>10.690947883944069</v>
      </c>
      <c r="F14" s="150">
        <f>$B$58*('תמהיל יצור'!P13+'תמהיל יצור'!Q13)/10^3</f>
        <v>0.25724999999999998</v>
      </c>
      <c r="G14" s="154">
        <f>$B$59*'תמהיל יצור'!R13/10^3</f>
        <v>3.1257520661157026</v>
      </c>
      <c r="H14" s="143">
        <f>$B$60*'תמהיל יצור'!S13/10^3</f>
        <v>11.047218338489524</v>
      </c>
      <c r="I14" s="150">
        <f>$B$58*('תמהיל יצור'!V13+'תמהיל יצור'!W13)/10^3</f>
        <v>0.20789999999999997</v>
      </c>
      <c r="J14" s="144">
        <f>$B$60*'תמהיל יצור'!X13/10^3</f>
        <v>10.112140156671341</v>
      </c>
      <c r="K14" s="144">
        <f>$B$60*'תמהיל יצור'!Y13/10^3</f>
        <v>2.5514775000000003</v>
      </c>
      <c r="L14" s="144">
        <f>$B$60*'תמהיל יצור'!Z13/10^3</f>
        <v>0.31704749999999998</v>
      </c>
      <c r="M14" s="152">
        <f>$B$58*'תמהיל יצור'!AC13/10^3</f>
        <v>0</v>
      </c>
      <c r="N14" s="142">
        <f>$B$60*'תמהיל יצור'!AD13/10^3</f>
        <v>10.210150156671341</v>
      </c>
      <c r="O14" s="142">
        <f>$B$60*'תמהיל יצור'!AE13/10^3</f>
        <v>2.5514775000000003</v>
      </c>
      <c r="P14" s="142">
        <f>$B$60*'תמהיל יצור'!AF13/10^3</f>
        <v>0.31704749999999998</v>
      </c>
      <c r="Q14" s="147">
        <f>$B$58*'תמהיל יצור'!AK13/10^3</f>
        <v>5.0648760330578515</v>
      </c>
      <c r="R14" s="143">
        <f>$B$60*'תמהיל יצור'!AL13/10^3</f>
        <v>9.1339627462451016</v>
      </c>
      <c r="S14" s="509">
        <f t="shared" si="0"/>
        <v>0.67556416882579851</v>
      </c>
    </row>
    <row r="15" spans="1:40">
      <c r="A15" s="141">
        <f t="shared" si="1"/>
        <v>2030</v>
      </c>
      <c r="B15" s="150">
        <f>$B$58*'תמהיל יצור'!H14/1000</f>
        <v>7.1793388429752056</v>
      </c>
      <c r="C15" s="146">
        <f>$B$60*'תמהיל יצור'!I14/1000</f>
        <v>9.8873515577143305</v>
      </c>
      <c r="D15" s="147">
        <f>$B$58*'תמהיל יצור'!L14/10^3</f>
        <v>5.0648760330578515</v>
      </c>
      <c r="E15" s="143">
        <f>$B$60*'תמהיל יצור'!M14/10^3</f>
        <v>10.88416973953251</v>
      </c>
      <c r="F15" s="150">
        <f>$B$58*('תמהיל יצור'!P14+'תמהיל יצור'!Q14)/10^3</f>
        <v>0.25724999999999998</v>
      </c>
      <c r="G15" s="154">
        <f>$B$59*'תמהיל יצור'!R14/10^3</f>
        <v>3.1257520661157026</v>
      </c>
      <c r="H15" s="143">
        <f>$B$60*'תמהיל יצור'!S14/10^3</f>
        <v>11.240440194077964</v>
      </c>
      <c r="I15" s="150">
        <f>$B$58*('תמהיל יצור'!V14+'תמהיל יצור'!W14)/10^3</f>
        <v>0.20789999999999997</v>
      </c>
      <c r="J15" s="144">
        <f>$B$60*'תמהיל יצור'!X14/10^3</f>
        <v>10.305362012259785</v>
      </c>
      <c r="K15" s="144">
        <f>$B$60*'תמהיל יצור'!Y14/10^3</f>
        <v>2.5514775000000003</v>
      </c>
      <c r="L15" s="144">
        <f>$B$60*'תמהיל יצור'!Z14/10^3</f>
        <v>0.31704749999999998</v>
      </c>
      <c r="M15" s="152">
        <f>$B$58*'תמהיל יצור'!AC14/10^3</f>
        <v>0</v>
      </c>
      <c r="N15" s="142">
        <f>$B$60*'תמהיל יצור'!AD14/10^3</f>
        <v>10.403372012259783</v>
      </c>
      <c r="O15" s="142">
        <f>$B$60*'תמהיל יצור'!AE14/10^3</f>
        <v>2.5514775000000003</v>
      </c>
      <c r="P15" s="142">
        <f>$B$60*'תמהיל יצור'!AF14/10^3</f>
        <v>0.31704749999999998</v>
      </c>
      <c r="Q15" s="147">
        <f>$B$58*'תמהיל יצור'!AK14/10^3</f>
        <v>5.0648760330578515</v>
      </c>
      <c r="R15" s="143">
        <f>$B$60*'תמהיל יצור'!AL14/10^3</f>
        <v>9.6049507503990377</v>
      </c>
      <c r="S15" s="509">
        <f t="shared" si="0"/>
        <v>0.6495809315632679</v>
      </c>
    </row>
    <row r="16" spans="1:40">
      <c r="A16" s="141">
        <f t="shared" si="1"/>
        <v>2031</v>
      </c>
      <c r="B16" s="150">
        <f>$B$58*'תמהיל יצור'!H15/1000</f>
        <v>7.1793388429752056</v>
      </c>
      <c r="C16" s="146">
        <f>$B$60*'תמהיל יצור'!I15/1000</f>
        <v>10.245692777045344</v>
      </c>
      <c r="D16" s="147">
        <f>$B$58*'תמהיל יצור'!L15/10^3</f>
        <v>5.0648760330578515</v>
      </c>
      <c r="E16" s="143">
        <f>$B$60*'תמהיל יצור'!M15/10^3</f>
        <v>11.242510958863525</v>
      </c>
      <c r="F16" s="150">
        <f>$B$58*('תמהיל יצור'!P15+'תמהיל יצור'!Q15)/10^3</f>
        <v>0.25724999999999998</v>
      </c>
      <c r="G16" s="154">
        <f>$B$59*'תמהיל יצור'!R15/10^3</f>
        <v>3.1257520661157026</v>
      </c>
      <c r="H16" s="143">
        <f>$B$60*'תמהיל יצור'!S15/10^3</f>
        <v>11.598781413408979</v>
      </c>
      <c r="I16" s="150">
        <f>$B$58*('תמהיל יצור'!V15+'תמהיל יצור'!W15)/10^3</f>
        <v>0.20789999999999997</v>
      </c>
      <c r="J16" s="144">
        <f>$B$60*'תמהיל יצור'!X15/10^3</f>
        <v>10.6637032315908</v>
      </c>
      <c r="K16" s="144">
        <f>$B$60*'תמהיל יצור'!Y15/10^3</f>
        <v>2.5514775000000003</v>
      </c>
      <c r="L16" s="144">
        <f>$B$60*'תמהיל יצור'!Z15/10^3</f>
        <v>0.31704749999999998</v>
      </c>
      <c r="M16" s="152">
        <f>$B$58*'תמהיל יצור'!AC15/10^3</f>
        <v>0</v>
      </c>
      <c r="N16" s="142">
        <f>$B$60*'תמהיל יצור'!AD15/10^3</f>
        <v>10.761713231590798</v>
      </c>
      <c r="O16" s="142">
        <f>$B$60*'תמהיל יצור'!AE15/10^3</f>
        <v>2.5514775000000003</v>
      </c>
      <c r="P16" s="142">
        <f>$B$60*'תמהיל יצור'!AF15/10^3</f>
        <v>0.31704749999999998</v>
      </c>
      <c r="Q16" s="147">
        <f>$B$58*'תמהיל יצור'!AK15/10^3</f>
        <v>5.0648760330578515</v>
      </c>
      <c r="R16" s="143">
        <f>$B$60*'תמהיל יצור'!AL15/10^3</f>
        <v>9.9287530570234477</v>
      </c>
      <c r="S16" s="509">
        <f t="shared" si="0"/>
        <v>0.62459704958006512</v>
      </c>
    </row>
    <row r="17" spans="1:21">
      <c r="A17" s="141">
        <f t="shared" si="1"/>
        <v>2032</v>
      </c>
      <c r="B17" s="150">
        <f>$B$58*'תמהיל יצור'!H16/1000</f>
        <v>7.1793388429752056</v>
      </c>
      <c r="C17" s="146">
        <f>$B$60*'תמהיל יצור'!I16/1000</f>
        <v>10.613709209298294</v>
      </c>
      <c r="D17" s="147">
        <f>$B$58*'תמהיל יצור'!L16/10^3</f>
        <v>5.0648760330578515</v>
      </c>
      <c r="E17" s="143">
        <f>$B$60*'תמהיל יצור'!M16/10^3</f>
        <v>11.610527391116475</v>
      </c>
      <c r="F17" s="150">
        <f>$B$58*('תמהיל יצור'!P16+'תמהיל יצור'!Q16)/10^3</f>
        <v>0.25724999999999998</v>
      </c>
      <c r="G17" s="154">
        <f>$B$59*'תמהיל יצור'!R16/10^3</f>
        <v>3.1257520661157026</v>
      </c>
      <c r="H17" s="143">
        <f>$B$60*'תמהיל יצור'!S16/10^3</f>
        <v>11.96679784566193</v>
      </c>
      <c r="I17" s="150">
        <f>$B$58*('תמהיל יצור'!V16+'תמהיל יצור'!W16)/10^3</f>
        <v>0.20789999999999997</v>
      </c>
      <c r="J17" s="144">
        <f>$B$60*'תמהיל יצור'!X16/10^3</f>
        <v>11.03171966384375</v>
      </c>
      <c r="K17" s="144">
        <f>$B$60*'תמהיל יצור'!Y16/10^3</f>
        <v>2.5514775000000003</v>
      </c>
      <c r="L17" s="144">
        <f>$B$60*'תמהיל יצור'!Z16/10^3</f>
        <v>0.31704749999999998</v>
      </c>
      <c r="M17" s="152">
        <f>$B$58*'תמהיל יצור'!AC16/10^3</f>
        <v>0</v>
      </c>
      <c r="N17" s="142">
        <f>$B$60*'תמהיל יצור'!AD16/10^3</f>
        <v>11.129729663843749</v>
      </c>
      <c r="O17" s="142">
        <f>$B$60*'תמהיל יצור'!AE16/10^3</f>
        <v>2.5514775000000003</v>
      </c>
      <c r="P17" s="142">
        <f>$B$60*'תמהיל יצור'!AF16/10^3</f>
        <v>0.31704749999999998</v>
      </c>
      <c r="Q17" s="147">
        <f>$B$58*'תמהיל יצור'!AK16/10^3</f>
        <v>5.0648760330578515</v>
      </c>
      <c r="R17" s="143">
        <f>$B$60*'תמהיל יצור'!AL16/10^3</f>
        <v>10.261298025926715</v>
      </c>
      <c r="S17" s="509">
        <f t="shared" si="0"/>
        <v>0.600574086134678</v>
      </c>
    </row>
    <row r="18" spans="1:21">
      <c r="A18" s="141">
        <f t="shared" si="1"/>
        <v>2033</v>
      </c>
      <c r="B18" s="150">
        <f>$B$58*'תמהיל יצור'!H17/1000</f>
        <v>7.1793388429752056</v>
      </c>
      <c r="C18" s="146">
        <f>$B$60*'תמהיל יצור'!I17/1000</f>
        <v>10.991662085222073</v>
      </c>
      <c r="D18" s="147">
        <f>$B$58*'תמהיל יצור'!L17/10^3</f>
        <v>5.0648760330578515</v>
      </c>
      <c r="E18" s="143">
        <f>$B$60*'תמהיל יצור'!M17/10^3</f>
        <v>11.988480267040254</v>
      </c>
      <c r="F18" s="150">
        <f>$B$58*('תמהיל יצור'!P17+'תמהיל יצור'!Q17)/10^3</f>
        <v>0.25724999999999998</v>
      </c>
      <c r="G18" s="154">
        <f>$B$59*'תמהיל יצור'!R17/10^3</f>
        <v>3.1257520661157026</v>
      </c>
      <c r="H18" s="143">
        <f>$B$60*'תמהיל יצור'!S17/10^3</f>
        <v>12.34475072158571</v>
      </c>
      <c r="I18" s="150">
        <f>$B$58*('תמהיל יצור'!V17+'תמהיל יצור'!W17)/10^3</f>
        <v>0.20789999999999997</v>
      </c>
      <c r="J18" s="144">
        <f>$B$60*'תמהיל יצור'!X17/10^3</f>
        <v>11.409672539767529</v>
      </c>
      <c r="K18" s="144">
        <f>$B$60*'תמהיל יצור'!Y17/10^3</f>
        <v>2.5514775000000003</v>
      </c>
      <c r="L18" s="144">
        <f>$B$60*'תמהיל יצור'!Z17/10^3</f>
        <v>0.31704749999999998</v>
      </c>
      <c r="M18" s="152">
        <f>$B$58*'תמהיל יצור'!AC17/10^3</f>
        <v>0</v>
      </c>
      <c r="N18" s="142">
        <f>$B$60*'תמהיל יצור'!AD17/10^3</f>
        <v>11.507682539767528</v>
      </c>
      <c r="O18" s="142">
        <f>$B$60*'תמהיל יצור'!AE17/10^3</f>
        <v>2.5514775000000003</v>
      </c>
      <c r="P18" s="142">
        <f>$B$60*'תמהיל יצור'!AF17/10^3</f>
        <v>0.31704749999999998</v>
      </c>
      <c r="Q18" s="147">
        <f>$B$58*'תמהיל יצור'!AK17/10^3</f>
        <v>5.0648760330578515</v>
      </c>
      <c r="R18" s="143">
        <f>$B$60*'תמהיל יצור'!AL17/10^3</f>
        <v>10.602821708990373</v>
      </c>
      <c r="S18" s="509">
        <f t="shared" si="0"/>
        <v>0.57747508282180582</v>
      </c>
    </row>
    <row r="19" spans="1:21">
      <c r="A19" s="141">
        <f t="shared" si="1"/>
        <v>2034</v>
      </c>
      <c r="B19" s="150">
        <f>$B$58*'תמהיל יצור'!H18/1000</f>
        <v>7.1793388429752056</v>
      </c>
      <c r="C19" s="146">
        <f>$B$60*'תמהיל יצור'!I18/1000</f>
        <v>11.379819688795795</v>
      </c>
      <c r="D19" s="147">
        <f>$B$58*'תמהיל יצור'!L18/10^3</f>
        <v>5.0648760330578515</v>
      </c>
      <c r="E19" s="143">
        <f>$B$60*'תמהיל יצור'!M18/10^3</f>
        <v>12.376637870613974</v>
      </c>
      <c r="F19" s="150">
        <f>$B$58*('תמהיל יצור'!P18+'תמהיל יצור'!Q18)/10^3</f>
        <v>0.25724999999999998</v>
      </c>
      <c r="G19" s="154">
        <f>$B$59*'תמהיל יצור'!R18/10^3</f>
        <v>3.1257520661157026</v>
      </c>
      <c r="H19" s="143">
        <f>$B$60*'תמהיל יצור'!S18/10^3</f>
        <v>12.732908325159432</v>
      </c>
      <c r="I19" s="150">
        <f>$B$58*('תמהיל יצור'!V18+'תמהיל יצור'!W18)/10^3</f>
        <v>0.20789999999999997</v>
      </c>
      <c r="J19" s="144">
        <f>$B$60*'תמהיל יצור'!X18/10^3</f>
        <v>11.797830143341251</v>
      </c>
      <c r="K19" s="144">
        <f>$B$60*'תמהיל יצור'!Y18/10^3</f>
        <v>2.5514775000000003</v>
      </c>
      <c r="L19" s="144">
        <f>$B$60*'תמהיל יצור'!Z18/10^3</f>
        <v>0.31704749999999998</v>
      </c>
      <c r="M19" s="152">
        <f>$B$58*'תמהיל יצור'!AC18/10^3</f>
        <v>0</v>
      </c>
      <c r="N19" s="142">
        <f>$B$60*'תמהיל יצור'!AD18/10^3</f>
        <v>11.89584014334125</v>
      </c>
      <c r="O19" s="142">
        <f>$B$60*'תמהיל יצור'!AE18/10^3</f>
        <v>2.5514775000000003</v>
      </c>
      <c r="P19" s="142">
        <f>$B$60*'תמהיל יצור'!AF18/10^3</f>
        <v>0.31704749999999998</v>
      </c>
      <c r="Q19" s="147">
        <f>$B$58*'תמהיל יצור'!AK18/10^3</f>
        <v>5.0648760330578515</v>
      </c>
      <c r="R19" s="143">
        <f>$B$60*'תמהיל יצור'!AL18/10^3</f>
        <v>10.953566531496746</v>
      </c>
      <c r="S19" s="509">
        <f t="shared" si="0"/>
        <v>0.55526450271327477</v>
      </c>
    </row>
    <row r="20" spans="1:21">
      <c r="A20" s="141">
        <f t="shared" si="1"/>
        <v>2035</v>
      </c>
      <c r="B20" s="150">
        <f>$B$58*'תמהיל יצור'!H19/1000</f>
        <v>7.1793388429752056</v>
      </c>
      <c r="C20" s="146">
        <f>$B$60*'תמהיל יצור'!I19/1000</f>
        <v>11.778457547666006</v>
      </c>
      <c r="D20" s="147">
        <f>$B$58*'תמהיל יצור'!L19/10^3</f>
        <v>5.0648760330578515</v>
      </c>
      <c r="E20" s="143">
        <f>$B$60*'תמהיל יצור'!M19/10^3</f>
        <v>12.775275729484187</v>
      </c>
      <c r="F20" s="150">
        <f>$B$58*('תמהיל יצור'!P19+'תמהיל יצור'!Q19)/10^3</f>
        <v>0.25724999999999998</v>
      </c>
      <c r="G20" s="154">
        <f>$B$59*'תמהיל יצור'!R19/10^3</f>
        <v>3.1257520661157026</v>
      </c>
      <c r="H20" s="143">
        <f>$B$60*'תמהיל יצור'!S19/10^3</f>
        <v>13.131546184029641</v>
      </c>
      <c r="I20" s="150">
        <f>$B$58*('תמהיל יצור'!V19+'תמהיל יצור'!W19)/10^3</f>
        <v>0.20789999999999997</v>
      </c>
      <c r="J20" s="144">
        <f>$B$60*'תמהיל יצור'!X19/10^3</f>
        <v>12.196468002211462</v>
      </c>
      <c r="K20" s="144">
        <f>$B$60*'תמהיל יצור'!Y19/10^3</f>
        <v>2.5514775000000003</v>
      </c>
      <c r="L20" s="144">
        <f>$B$60*'תמהיל יצור'!Z19/10^3</f>
        <v>0.31704749999999998</v>
      </c>
      <c r="M20" s="152">
        <f>$B$58*'תמהיל יצור'!AC19/10^3</f>
        <v>0</v>
      </c>
      <c r="N20" s="142">
        <f>$B$60*'תמהיל יצור'!AD19/10^3</f>
        <v>12.294478002211461</v>
      </c>
      <c r="O20" s="142">
        <f>$B$60*'תמהיל יצור'!AE19/10^3</f>
        <v>2.5514775000000003</v>
      </c>
      <c r="P20" s="142">
        <f>$B$60*'תמהיל יצור'!AF19/10^3</f>
        <v>0.31704749999999998</v>
      </c>
      <c r="Q20" s="147">
        <f>$B$58*'תמהיל יצור'!AK19/10^3</f>
        <v>5.0648760330578515</v>
      </c>
      <c r="R20" s="143">
        <f>$B$60*'תמהיל יצור'!AL19/10^3</f>
        <v>11.313781464210793</v>
      </c>
      <c r="S20" s="509">
        <f t="shared" si="0"/>
        <v>0.53390817568584104</v>
      </c>
    </row>
    <row r="21" spans="1:21">
      <c r="A21" s="141">
        <f t="shared" si="1"/>
        <v>2036</v>
      </c>
      <c r="B21" s="150">
        <f>$B$58*'תמהיל יצור'!H20/1000</f>
        <v>7.1793388429752056</v>
      </c>
      <c r="C21" s="146">
        <f>$B$60*'תמהיל יצור'!I20/1000</f>
        <v>12.187858628725715</v>
      </c>
      <c r="D21" s="147">
        <f>$B$58*'תמהיל יצור'!L20/10^3</f>
        <v>5.0648760330578515</v>
      </c>
      <c r="E21" s="143">
        <f>$B$60*'תמהיל יצור'!M20/10^3</f>
        <v>13.184676810543895</v>
      </c>
      <c r="F21" s="150">
        <f>$B$58*('תמהיל יצור'!P20+'תמהיל יצור'!Q20)/10^3</f>
        <v>0.25724999999999998</v>
      </c>
      <c r="G21" s="154">
        <f>$B$59*'תמהיל יצור'!R20/10^3</f>
        <v>3.1257520661157026</v>
      </c>
      <c r="H21" s="143">
        <f>$B$60*'תמהיל יצור'!S20/10^3</f>
        <v>13.540947265089351</v>
      </c>
      <c r="I21" s="150">
        <f>$B$58*('תמהיל יצור'!V20+'תמהיל יצור'!W20)/10^3</f>
        <v>0.20789999999999997</v>
      </c>
      <c r="J21" s="144">
        <f>$B$60*'תמהיל יצור'!X20/10^3</f>
        <v>12.605869083271172</v>
      </c>
      <c r="K21" s="144">
        <f>$B$60*'תמהיל יצור'!Y20/10^3</f>
        <v>2.5514775000000003</v>
      </c>
      <c r="L21" s="144">
        <f>$B$60*'תמהיל יצור'!Z20/10^3</f>
        <v>0.31704749999999998</v>
      </c>
      <c r="M21" s="152">
        <f>$B$58*'תמהיל יצור'!AC20/10^3</f>
        <v>0</v>
      </c>
      <c r="N21" s="142">
        <f>$B$60*'תמהיל יצור'!AD20/10^3</f>
        <v>12.703879083271172</v>
      </c>
      <c r="O21" s="142">
        <f>$B$60*'תמהיל יצור'!AE20/10^3</f>
        <v>2.5514775000000003</v>
      </c>
      <c r="P21" s="142">
        <f>$B$60*'תמהיל יצור'!AF20/10^3</f>
        <v>0.31704749999999998</v>
      </c>
      <c r="Q21" s="147">
        <f>$B$58*'תמהיל יצור'!AK20/10^3</f>
        <v>5.0648760330578515</v>
      </c>
      <c r="R21" s="143">
        <f>$B$60*'תמהיל יצור'!AL20/10^3</f>
        <v>11.683722200108122</v>
      </c>
      <c r="S21" s="509">
        <f t="shared" si="0"/>
        <v>0.51337324585177024</v>
      </c>
    </row>
    <row r="22" spans="1:21">
      <c r="A22" s="141">
        <f t="shared" si="1"/>
        <v>2037</v>
      </c>
      <c r="B22" s="150">
        <f>$B$58*'תמהיל יצור'!H21/1000</f>
        <v>7.1793388429752056</v>
      </c>
      <c r="C22" s="146">
        <f>$B$60*'תמהיל יצור'!I21/1000</f>
        <v>12.608313538974036</v>
      </c>
      <c r="D22" s="147">
        <f>$B$58*'תמהיל יצור'!L21/10^3</f>
        <v>5.0648760330578515</v>
      </c>
      <c r="E22" s="143">
        <f>$B$60*'תמהיל יצור'!M21/10^3</f>
        <v>13.605131720792217</v>
      </c>
      <c r="F22" s="150">
        <f>$B$58*('תמהיל יצור'!P21+'תמהיל יצור'!Q21)/10^3</f>
        <v>0.25724999999999998</v>
      </c>
      <c r="G22" s="154">
        <f>$B$59*'תמהיל יצור'!R21/10^3</f>
        <v>3.1257520661157026</v>
      </c>
      <c r="H22" s="143">
        <f>$B$60*'תמהיל יצור'!S21/10^3</f>
        <v>13.961402175337671</v>
      </c>
      <c r="I22" s="150">
        <f>$B$58*('תמהיל יצור'!V21+'תמהיל יצור'!W21)/10^3</f>
        <v>0.20789999999999997</v>
      </c>
      <c r="J22" s="144">
        <f>$B$60*'תמהיל יצור'!X21/10^3</f>
        <v>13.026323993519492</v>
      </c>
      <c r="K22" s="144">
        <f>$B$60*'תמהיל יצור'!Y21/10^3</f>
        <v>2.5514775000000003</v>
      </c>
      <c r="L22" s="144">
        <f>$B$60*'תמהיל יצור'!Z21/10^3</f>
        <v>0.31704749999999998</v>
      </c>
      <c r="M22" s="152">
        <f>$B$58*'תמהיל יצור'!AC21/10^3</f>
        <v>0</v>
      </c>
      <c r="N22" s="142">
        <f>$B$60*'תמהיל יצור'!AD21/10^3</f>
        <v>13.124333993519491</v>
      </c>
      <c r="O22" s="142">
        <f>$B$60*'תמהיל יצור'!AE21/10^3</f>
        <v>2.5514775000000003</v>
      </c>
      <c r="P22" s="142">
        <f>$B$60*'תמהיל יצור'!AF21/10^3</f>
        <v>0.31704749999999998</v>
      </c>
      <c r="Q22" s="147">
        <f>$B$58*'תמהיל יצור'!AK21/10^3</f>
        <v>5.0648760330578515</v>
      </c>
      <c r="R22" s="143">
        <f>$B$60*'תמהיל יצור'!AL21/10^3</f>
        <v>12.063651335874674</v>
      </c>
      <c r="S22" s="509">
        <f t="shared" si="0"/>
        <v>0.49362812101131748</v>
      </c>
    </row>
    <row r="23" spans="1:21">
      <c r="A23" s="141">
        <f t="shared" si="1"/>
        <v>2038</v>
      </c>
      <c r="B23" s="150">
        <f>$B$58*'תמהיל יצור'!H22/1000</f>
        <v>7.1793388429752056</v>
      </c>
      <c r="C23" s="146">
        <f>$B$60*'תמהיל יצור'!I22/1000</f>
        <v>13.04012073179906</v>
      </c>
      <c r="D23" s="147">
        <f>$B$58*'תמהיל יצור'!L22/10^3</f>
        <v>5.0648760330578515</v>
      </c>
      <c r="E23" s="143">
        <f>$B$60*'תמהיל יצור'!M22/10^3</f>
        <v>14.036938913617243</v>
      </c>
      <c r="F23" s="150">
        <f>$B$58*('תמהיל יצור'!P22+'תמהיל יצור'!Q22)/10^3</f>
        <v>0.25724999999999998</v>
      </c>
      <c r="G23" s="154">
        <f>$B$59*'תמהיל יצור'!R22/10^3</f>
        <v>3.1257520661157026</v>
      </c>
      <c r="H23" s="143">
        <f>$B$60*'תמהיל יצור'!S22/10^3</f>
        <v>14.393209368162697</v>
      </c>
      <c r="I23" s="150">
        <f>$B$58*('תמהיל יצור'!V22+'תמהיל יצור'!W22)/10^3</f>
        <v>0.20789999999999997</v>
      </c>
      <c r="J23" s="144">
        <f>$B$60*'תמהיל יצור'!X22/10^3</f>
        <v>13.458131186344517</v>
      </c>
      <c r="K23" s="144">
        <f>$B$60*'תמהיל יצור'!Y22/10^3</f>
        <v>2.5514775000000003</v>
      </c>
      <c r="L23" s="144">
        <f>$B$60*'תמהיל יצור'!Z22/10^3</f>
        <v>0.31704749999999998</v>
      </c>
      <c r="M23" s="152">
        <f>$B$58*'תמהיל יצור'!AC22/10^3</f>
        <v>0</v>
      </c>
      <c r="N23" s="142">
        <f>$B$60*'תמהיל יצור'!AD22/10^3</f>
        <v>13.556141186344517</v>
      </c>
      <c r="O23" s="142">
        <f>$B$60*'תמהיל יצור'!AE22/10^3</f>
        <v>2.5514775000000003</v>
      </c>
      <c r="P23" s="142">
        <f>$B$60*'תמהיל יצור'!AF22/10^3</f>
        <v>0.31704749999999998</v>
      </c>
      <c r="Q23" s="147">
        <f>$B$58*'תמהיל יצור'!AK22/10^3</f>
        <v>5.0648760330578515</v>
      </c>
      <c r="R23" s="143">
        <f>$B$60*'תמהיל יצור'!AL22/10^3</f>
        <v>12.453838558306929</v>
      </c>
      <c r="S23" s="509">
        <f t="shared" si="0"/>
        <v>0.47464242404934376</v>
      </c>
    </row>
    <row r="24" spans="1:21">
      <c r="A24" s="141">
        <f t="shared" si="1"/>
        <v>2039</v>
      </c>
      <c r="B24" s="150">
        <f>$B$58*'תמהיל יצור'!H23/1000</f>
        <v>7.1793388429752056</v>
      </c>
      <c r="C24" s="146">
        <f>$B$60*'תמהיל יצור'!I23/1000</f>
        <v>13.483586718830361</v>
      </c>
      <c r="D24" s="147">
        <f>$B$58*'תמהיל יצור'!L23/10^3</f>
        <v>5.0648760330578515</v>
      </c>
      <c r="E24" s="143">
        <f>$B$60*'תמהיל יצור'!M23/10^3</f>
        <v>14.480404900648544</v>
      </c>
      <c r="F24" s="150">
        <f>$B$58*('תמהיל יצור'!P23+'תמהיל יצור'!Q23)/10^3</f>
        <v>0.25724999999999998</v>
      </c>
      <c r="G24" s="154">
        <f>$B$59*'תמהיל יצור'!R23/10^3</f>
        <v>3.1257520661157026</v>
      </c>
      <c r="H24" s="143">
        <f>$B$60*'תמהיל יצור'!S23/10^3</f>
        <v>14.836675355193998</v>
      </c>
      <c r="I24" s="150">
        <f>$B$58*('תמהיל יצור'!V23+'תמהיל יצור'!W23)/10^3</f>
        <v>0.20789999999999997</v>
      </c>
      <c r="J24" s="144">
        <f>$B$60*'תמהיל יצור'!X23/10^3</f>
        <v>13.901597173375817</v>
      </c>
      <c r="K24" s="144">
        <f>$B$60*'תמהיל יצור'!Y23/10^3</f>
        <v>2.5514775000000003</v>
      </c>
      <c r="L24" s="144">
        <f>$B$60*'תמהיל יצור'!Z23/10^3</f>
        <v>0.31704749999999998</v>
      </c>
      <c r="M24" s="152">
        <f>$B$58*'תמהיל יצור'!AC23/10^3</f>
        <v>0</v>
      </c>
      <c r="N24" s="142">
        <f>$B$60*'תמהיל יצור'!AD23/10^3</f>
        <v>13.999607173375818</v>
      </c>
      <c r="O24" s="142">
        <f>$B$60*'תמהיל יצור'!AE23/10^3</f>
        <v>2.5514775000000003</v>
      </c>
      <c r="P24" s="142">
        <f>$B$60*'תמהיל יצור'!AF23/10^3</f>
        <v>0.31704749999999998</v>
      </c>
      <c r="Q24" s="147">
        <f>$B$58*'תמהיל יצור'!AK23/10^3</f>
        <v>5.0648760330578515</v>
      </c>
      <c r="R24" s="143">
        <f>$B$60*'תמהיל יצור'!AL23/10^3</f>
        <v>12.85456083574485</v>
      </c>
      <c r="S24" s="509">
        <f t="shared" si="0"/>
        <v>0.45638694620129205</v>
      </c>
    </row>
    <row r="25" spans="1:21">
      <c r="A25" s="141">
        <f t="shared" si="1"/>
        <v>2040</v>
      </c>
      <c r="B25" s="150">
        <f>$B$58*'תמהיל יצור'!H24/1000</f>
        <v>4.751033057851239</v>
      </c>
      <c r="C25" s="146">
        <f>$B$60*'תמהיל יצור'!I24/1000</f>
        <v>15.083799014784235</v>
      </c>
      <c r="D25" s="147">
        <f>$B$58*'תמהיל יצור'!L24/10^3</f>
        <v>3.3517561983471071</v>
      </c>
      <c r="E25" s="143">
        <f>$B$60*'תמהיל יצור'!M24/10^3</f>
        <v>15.743458105693326</v>
      </c>
      <c r="F25" s="150">
        <f>$B$58*('תמהיל יצור'!P24+'תמהיל יצור'!Q24)/10^3</f>
        <v>0.17023897058823531</v>
      </c>
      <c r="G25" s="154">
        <f>$B$59*'תמהיל יצור'!R24/10^3</f>
        <v>1.3688684978123482</v>
      </c>
      <c r="H25" s="143">
        <f>$B$60*'תמהיל יצור'!S24/10^3</f>
        <v>16.406785478687979</v>
      </c>
      <c r="I25" s="150">
        <f>$B$58*('תמהיל יצור'!V24+'תמהיל יצור'!W24)/10^3</f>
        <v>0.20789999999999997</v>
      </c>
      <c r="J25" s="144">
        <f>$B$60*'תמהיל יצור'!X24/10^3</f>
        <v>14.357036742056966</v>
      </c>
      <c r="K25" s="144">
        <f>$B$60*'תמהיל יצור'!Y24/10^3</f>
        <v>2.5514775000000003</v>
      </c>
      <c r="L25" s="144">
        <f>$B$60*'תמהיל יצור'!Z24/10^3</f>
        <v>0.31704749999999998</v>
      </c>
      <c r="M25" s="152">
        <f>$B$58*'תמהיל יצור'!AC24/10^3</f>
        <v>0</v>
      </c>
      <c r="N25" s="142">
        <f>$B$60*'תמהיל יצור'!AD24/10^3</f>
        <v>14.455046742056965</v>
      </c>
      <c r="O25" s="142">
        <f>$B$60*'תמהיל יצור'!AE24/10^3</f>
        <v>2.5514775000000003</v>
      </c>
      <c r="P25" s="142">
        <f>$B$60*'תמהיל יצור'!AF24/10^3</f>
        <v>0.31704749999999998</v>
      </c>
      <c r="Q25" s="147">
        <f>$B$58*'תמהיל יצור'!AK24/10^3</f>
        <v>3.3517561983471071</v>
      </c>
      <c r="R25" s="143">
        <f>$B$60*'תמהיל יצור'!AL24/10^3</f>
        <v>14.073716251037235</v>
      </c>
      <c r="S25" s="509">
        <f t="shared" ref="S25:S30" si="2">1/((1+$S$3)^($A25-2019))</f>
        <v>0.43883360211662686</v>
      </c>
    </row>
    <row r="26" spans="1:21">
      <c r="A26" s="141">
        <f t="shared" si="1"/>
        <v>2041</v>
      </c>
      <c r="B26" s="150">
        <f>$B$58*'תמהיל יצור'!H25/1000</f>
        <v>4.751033057851239</v>
      </c>
      <c r="C26" s="146">
        <f>$B$60*'תמהיל יצור'!I25/1000</f>
        <v>15.55153545181977</v>
      </c>
      <c r="D26" s="147">
        <f>$B$58*'תמהיל יצור'!L25/10^3</f>
        <v>3.3517561983471071</v>
      </c>
      <c r="E26" s="143">
        <f>$B$60*'תמהיל יצור'!M25/10^3</f>
        <v>16.211194542728862</v>
      </c>
      <c r="F26" s="150">
        <f>$B$58*('תמהיל יצור'!P25+'תמהיל יצור'!Q25)/10^3</f>
        <v>0.17023897058823531</v>
      </c>
      <c r="G26" s="154">
        <f>$B$59*'תמהיל יצור'!R25/10^3</f>
        <v>1.3688684978123482</v>
      </c>
      <c r="H26" s="143">
        <f>$B$60*'תמהיל יצור'!S25/10^3</f>
        <v>16.874521915723516</v>
      </c>
      <c r="I26" s="150">
        <f>$B$58*('תמהיל יצור'!V25+'תמהיל יצור'!W25)/10^3</f>
        <v>0.13758088235294116</v>
      </c>
      <c r="J26" s="144">
        <f>$B$60*'תמהיל יצור'!X25/10^3</f>
        <v>14.857923620268968</v>
      </c>
      <c r="K26" s="144">
        <f>$B$60*'תמהיל יצור'!Y25/10^3</f>
        <v>2.5514775000000003</v>
      </c>
      <c r="L26" s="144">
        <f>$B$60*'תמהיל יצור'!Z25/10^3</f>
        <v>0.31704749999999998</v>
      </c>
      <c r="M26" s="152">
        <f>$B$58*'תמהיל יצור'!AC25/10^3</f>
        <v>0</v>
      </c>
      <c r="N26" s="142">
        <f>$B$60*'תמהיל יצור'!AD25/10^3</f>
        <v>14.9227831790925</v>
      </c>
      <c r="O26" s="142">
        <f>$B$60*'תמהיל יצור'!AE25/10^3</f>
        <v>2.5514775000000003</v>
      </c>
      <c r="P26" s="142">
        <f>$B$60*'תמהיל יצור'!AF25/10^3</f>
        <v>0.31704749999999998</v>
      </c>
      <c r="Q26" s="147">
        <f>$B$58*'תמהיל יצור'!AK25/10^3</f>
        <v>3.3517561983471071</v>
      </c>
      <c r="R26" s="143">
        <f>$B$60*'תמהיל יצור'!AL25/10^3</f>
        <v>14.496369657997054</v>
      </c>
      <c r="S26" s="509">
        <f t="shared" si="2"/>
        <v>0.42195538665060278</v>
      </c>
    </row>
    <row r="27" spans="1:21">
      <c r="A27" s="141">
        <f t="shared" si="1"/>
        <v>2042</v>
      </c>
      <c r="B27" s="150">
        <f>$B$58*'תמהיל יצור'!H26/1000</f>
        <v>4.751033057851239</v>
      </c>
      <c r="C27" s="146">
        <f>$B$60*'תמהיל יצור'!I26/1000</f>
        <v>16.031900772655266</v>
      </c>
      <c r="D27" s="147">
        <f>$B$58*'תמהיל יצור'!L26/10^3</f>
        <v>3.3517561983471071</v>
      </c>
      <c r="E27" s="143">
        <f>$B$60*'תמהיל יצור'!M26/10^3</f>
        <v>16.691559863564354</v>
      </c>
      <c r="F27" s="150">
        <f>$B$58*('תמהיל יצור'!P26+'תמהיל יצור'!Q26)/10^3</f>
        <v>0.17023897058823531</v>
      </c>
      <c r="G27" s="154">
        <f>$B$59*'תמהיל יצור'!R26/10^3</f>
        <v>1.3688684978123482</v>
      </c>
      <c r="H27" s="143">
        <f>$B$60*'תמהיל יצור'!S26/10^3</f>
        <v>17.354887236559009</v>
      </c>
      <c r="I27" s="150">
        <f>$B$58*('תמהיל יצור'!V26+'תמהיל יצור'!W26)/10^3</f>
        <v>0.13758088235294116</v>
      </c>
      <c r="J27" s="144">
        <f>$B$60*'תמהיל יצור'!X26/10^3</f>
        <v>15.338288941104462</v>
      </c>
      <c r="K27" s="144">
        <f>$B$60*'תמהיל יצור'!Y26/10^3</f>
        <v>2.5514775000000003</v>
      </c>
      <c r="L27" s="144">
        <f>$B$60*'תמהיל יצור'!Z26/10^3</f>
        <v>0.31704749999999998</v>
      </c>
      <c r="M27" s="152">
        <f>$B$58*'תמהיל יצור'!AC26/10^3</f>
        <v>0</v>
      </c>
      <c r="N27" s="142">
        <f>$B$60*'תמהיל יצור'!AD26/10^3</f>
        <v>15.403148499927992</v>
      </c>
      <c r="O27" s="142">
        <f>$B$60*'תמהיל יצור'!AE26/10^3</f>
        <v>2.5514775000000003</v>
      </c>
      <c r="P27" s="142">
        <f>$B$60*'תמהיל יצור'!AF26/10^3</f>
        <v>0.31704749999999998</v>
      </c>
      <c r="Q27" s="147">
        <f>$B$58*'תמהיל יצור'!AK26/10^3</f>
        <v>3.3517561983471071</v>
      </c>
      <c r="R27" s="143">
        <f>$B$60*'תמהיל יצור'!AL26/10^3</f>
        <v>14.930434706944792</v>
      </c>
      <c r="S27" s="509">
        <f t="shared" si="2"/>
        <v>0.40572633331788732</v>
      </c>
    </row>
    <row r="28" spans="1:21">
      <c r="A28" s="141">
        <f t="shared" si="1"/>
        <v>2043</v>
      </c>
      <c r="B28" s="150">
        <f>$B$58*'תמהיל יצור'!H27/1000</f>
        <v>4.751033057851239</v>
      </c>
      <c r="C28" s="146">
        <f>$B$60*'תמהיל יצור'!I27/1000</f>
        <v>16.525235957153317</v>
      </c>
      <c r="D28" s="147">
        <f>$B$58*'תמהיל יצור'!L27/10^3</f>
        <v>3.3517561983471071</v>
      </c>
      <c r="E28" s="143">
        <f>$B$60*'תמהיל יצור'!M27/10^3</f>
        <v>17.184895048062408</v>
      </c>
      <c r="F28" s="150">
        <f>$B$58*('תמהיל יצור'!P27+'תמהיל יצור'!Q27)/10^3</f>
        <v>0.17023897058823531</v>
      </c>
      <c r="G28" s="154">
        <f>$B$59*'תמהיל יצור'!R27/10^3</f>
        <v>1.3688684978123482</v>
      </c>
      <c r="H28" s="143">
        <f>$B$60*'תמהיל יצור'!S27/10^3</f>
        <v>17.848222421057059</v>
      </c>
      <c r="I28" s="150">
        <f>$B$58*('תמהיל יצור'!V27+'תמהיל יצור'!W27)/10^3</f>
        <v>0.13758088235294116</v>
      </c>
      <c r="J28" s="144">
        <f>$B$60*'תמהיל יצור'!X27/10^3</f>
        <v>15.831624125602515</v>
      </c>
      <c r="K28" s="144">
        <f>$B$60*'תמהיל יצור'!Y27/10^3</f>
        <v>2.5514775000000003</v>
      </c>
      <c r="L28" s="144">
        <f>$B$60*'תמהיל יצור'!Z27/10^3</f>
        <v>0.31704749999999998</v>
      </c>
      <c r="M28" s="152">
        <f>$B$58*'תמהיל יצור'!AC27/10^3</f>
        <v>0</v>
      </c>
      <c r="N28" s="142">
        <f>$B$60*'תמהיל יצור'!AD27/10^3</f>
        <v>15.896483684426046</v>
      </c>
      <c r="O28" s="142">
        <f>$B$60*'תמהיל יצור'!AE27/10^3</f>
        <v>2.5514775000000003</v>
      </c>
      <c r="P28" s="142">
        <f>$B$60*'תמהיל יצור'!AF27/10^3</f>
        <v>0.31704749999999998</v>
      </c>
      <c r="Q28" s="147">
        <f>$B$58*'תמהיל יצור'!AK27/10^3</f>
        <v>3.3517561983471071</v>
      </c>
      <c r="R28" s="143">
        <f>$B$60*'תמהיל יצור'!AL27/10^3</f>
        <v>15.376219512214115</v>
      </c>
      <c r="S28" s="509">
        <f t="shared" si="2"/>
        <v>0.39012147434412242</v>
      </c>
    </row>
    <row r="29" spans="1:21">
      <c r="A29" s="141">
        <f t="shared" si="1"/>
        <v>2044</v>
      </c>
      <c r="B29" s="150">
        <f>$B$58*'תמהיל יצור'!H28/1000</f>
        <v>4.751033057851239</v>
      </c>
      <c r="C29" s="146">
        <f>$B$60*'תמהיל יצור'!I28/1000</f>
        <v>17.031891191632816</v>
      </c>
      <c r="D29" s="147">
        <f>$B$58*'תמהיל יצור'!L28/10^3</f>
        <v>3.3517561983471071</v>
      </c>
      <c r="E29" s="143">
        <f>$B$60*'תמהיל יצור'!M28/10^3</f>
        <v>17.691550282541911</v>
      </c>
      <c r="F29" s="150">
        <f>$B$58*('תמהיל יצור'!P28+'תמהיל יצור'!Q28)/10^3</f>
        <v>0.17023897058823531</v>
      </c>
      <c r="G29" s="154">
        <f>$B$59*'תמהיל יצור'!R28/10^3</f>
        <v>1.3688684978123482</v>
      </c>
      <c r="H29" s="143">
        <f>$B$60*'תמהיל יצור'!S28/10^3</f>
        <v>18.354877655536562</v>
      </c>
      <c r="I29" s="150">
        <f>$B$58*('תמהיל יצור'!V28+'תמהיל יצור'!W28)/10^3</f>
        <v>0.13758088235294116</v>
      </c>
      <c r="J29" s="144">
        <f>$B$60*'תמהיל יצור'!X28/10^3</f>
        <v>16.338279360082016</v>
      </c>
      <c r="K29" s="144">
        <f>$B$60*'תמהיל יצור'!Y28/10^3</f>
        <v>2.5514775000000003</v>
      </c>
      <c r="L29" s="144">
        <f>$B$60*'תמהיל יצור'!Z28/10^3</f>
        <v>0.31704749999999998</v>
      </c>
      <c r="M29" s="152">
        <f>$B$58*'תמהיל יצור'!AC28/10^3</f>
        <v>0</v>
      </c>
      <c r="N29" s="142">
        <f>$B$60*'תמהיל יצור'!AD28/10^3</f>
        <v>16.403138918905547</v>
      </c>
      <c r="O29" s="142">
        <f>$B$60*'תמהיל יצור'!AE28/10^3</f>
        <v>2.5514775000000003</v>
      </c>
      <c r="P29" s="142">
        <f>$B$60*'תמהיל יצור'!AF28/10^3</f>
        <v>0.31704749999999998</v>
      </c>
      <c r="Q29" s="147">
        <f>$B$58*'תמהיל יצור'!AK28/10^3</f>
        <v>3.3517561983471071</v>
      </c>
      <c r="R29" s="143">
        <f>$B$60*'תמהיל יצור'!AL28/10^3</f>
        <v>15.83404050722571</v>
      </c>
      <c r="S29" s="509">
        <f t="shared" si="2"/>
        <v>0.37511680225396377</v>
      </c>
    </row>
    <row r="30" spans="1:21" ht="16" thickBot="1">
      <c r="A30" s="141">
        <f t="shared" si="1"/>
        <v>2045</v>
      </c>
      <c r="B30" s="150">
        <f>$B$58*'תמהיל יצור'!H29/1000</f>
        <v>2.3227272727272723</v>
      </c>
      <c r="C30" s="146">
        <f>$B$60*'תמהיל יצור'!I29/1000</f>
        <v>18.696998844715996</v>
      </c>
      <c r="D30" s="147">
        <f>$B$58*'תמהיל יצור'!L29/10^3</f>
        <v>1.6386363636363634</v>
      </c>
      <c r="E30" s="143">
        <f>$B$60*'תמהיל יצור'!M29/10^3</f>
        <v>19.019498844715997</v>
      </c>
      <c r="F30" s="150">
        <f>$B$58*('תמהיל יצור'!P29+'תמהיל יצור'!Q29)/10^3</f>
        <v>8.3227941176470588E-2</v>
      </c>
      <c r="G30" s="154">
        <f>$B$59*'תמהיל יצור'!R29/10^3</f>
        <v>0.32717647058823529</v>
      </c>
      <c r="H30" s="143">
        <f>$B$60*'תמהיל יצור'!S29/10^3</f>
        <v>19.552821638833642</v>
      </c>
      <c r="I30" s="150">
        <f>$B$58*('תמהיל יצור'!V29+'תמהיל יצור'!W29)/10^3</f>
        <v>0.13758088235294116</v>
      </c>
      <c r="J30" s="144">
        <f>$B$60*'תמהיל יצור'!X29/10^3</f>
        <v>16.858614285892465</v>
      </c>
      <c r="K30" s="144">
        <f>$B$60*'תמהיל יצור'!Y29/10^3</f>
        <v>2.5514775000000003</v>
      </c>
      <c r="L30" s="144">
        <f>$B$60*'תמהיל יצור'!Z29/10^3</f>
        <v>0.31704749999999998</v>
      </c>
      <c r="M30" s="152">
        <f>$B$58*'תמהיל יצור'!AC29/10^3</f>
        <v>0</v>
      </c>
      <c r="N30" s="142">
        <f>$B$60*'תמהיל יצור'!AD29/10^3</f>
        <v>16.923473844715996</v>
      </c>
      <c r="O30" s="142">
        <f>$B$60*'תמהיל יצור'!AE29/10^3</f>
        <v>2.5514775000000003</v>
      </c>
      <c r="P30" s="142">
        <f>$B$60*'תמהיל יצור'!AF29/10^3</f>
        <v>0.31704749999999998</v>
      </c>
      <c r="Q30" s="147">
        <f>$B$58*'תמהיל יצור'!AK29/10^3</f>
        <v>1.6386363636363634</v>
      </c>
      <c r="R30" s="143">
        <f>$B$60*'תמהיל יצור'!AL29/10^3</f>
        <v>17.111836305466259</v>
      </c>
      <c r="S30" s="509">
        <f t="shared" si="2"/>
        <v>0.36068923293650368</v>
      </c>
    </row>
    <row r="31" spans="1:21" ht="16" thickBot="1">
      <c r="A31" s="8" t="s">
        <v>391</v>
      </c>
      <c r="B31" s="516">
        <f t="shared" ref="B31:R31" si="3">SUM(B5:B30)</f>
        <v>169.66466942148745</v>
      </c>
      <c r="C31" s="516">
        <f t="shared" si="3"/>
        <v>301.27774263396225</v>
      </c>
      <c r="D31" s="516">
        <f t="shared" si="3"/>
        <v>119.69493801652894</v>
      </c>
      <c r="E31" s="516">
        <f t="shared" si="3"/>
        <v>324.83490172487126</v>
      </c>
      <c r="F31" s="516">
        <f t="shared" si="3"/>
        <v>25.168526160670876</v>
      </c>
      <c r="G31" s="516">
        <f t="shared" si="3"/>
        <v>57.275485901798739</v>
      </c>
      <c r="H31" s="516">
        <f t="shared" si="3"/>
        <v>334.39566719947015</v>
      </c>
      <c r="I31" s="517">
        <f t="shared" si="3"/>
        <v>23.923056307729695</v>
      </c>
      <c r="J31" s="690">
        <f t="shared" si="3"/>
        <v>312.61400310187668</v>
      </c>
      <c r="K31" s="690">
        <f t="shared" ref="K31:L31" si="4">SUM(K5:K30)</f>
        <v>51.029549999999986</v>
      </c>
      <c r="L31" s="690">
        <f t="shared" si="4"/>
        <v>6.3409500000000012</v>
      </c>
      <c r="M31" s="691">
        <f t="shared" si="3"/>
        <v>20.110537190082642</v>
      </c>
      <c r="N31" s="691">
        <f t="shared" si="3"/>
        <v>314.4113335430531</v>
      </c>
      <c r="O31" s="691">
        <f t="shared" ref="O31:P31" si="5">SUM(O5:O30)</f>
        <v>51.029549999999986</v>
      </c>
      <c r="P31" s="691">
        <f t="shared" si="5"/>
        <v>6.3409500000000012</v>
      </c>
      <c r="Q31" s="529">
        <f t="shared" si="3"/>
        <v>119.69493801652894</v>
      </c>
      <c r="R31" s="517">
        <f t="shared" si="3"/>
        <v>293.03856488396229</v>
      </c>
      <c r="S31" s="25"/>
      <c r="T31" s="25"/>
      <c r="U31" s="25"/>
    </row>
    <row r="32" spans="1:21" ht="16" thickBot="1">
      <c r="A32" s="8" t="s">
        <v>392</v>
      </c>
      <c r="B32" s="518">
        <f t="shared" ref="B32:N32" si="6">SUMPRODUCT($S5:$S30,B5:B30)</f>
        <v>108.06026904820854</v>
      </c>
      <c r="C32" s="518">
        <f t="shared" si="6"/>
        <v>171.42171756932439</v>
      </c>
      <c r="D32" s="518">
        <f t="shared" si="6"/>
        <v>76.234299397023847</v>
      </c>
      <c r="E32" s="518">
        <f t="shared" si="6"/>
        <v>186.42538897631147</v>
      </c>
      <c r="F32" s="518">
        <f t="shared" si="6"/>
        <v>20.995278078704395</v>
      </c>
      <c r="G32" s="518">
        <f t="shared" si="6"/>
        <v>34.24624980572289</v>
      </c>
      <c r="H32" s="518">
        <f t="shared" si="6"/>
        <v>191.53837811335518</v>
      </c>
      <c r="I32" s="668">
        <f t="shared" si="6"/>
        <v>20.148219645634299</v>
      </c>
      <c r="J32" s="693">
        <f t="shared" si="6"/>
        <v>181.93989408412656</v>
      </c>
      <c r="K32" s="693">
        <f t="shared" ref="K32:L32" si="7">SUMPRODUCT($S5:$S30,K5:K30)</f>
        <v>27.507930176544885</v>
      </c>
      <c r="L32" s="693">
        <f t="shared" si="7"/>
        <v>3.4181451698665231</v>
      </c>
      <c r="M32" s="693">
        <f t="shared" si="6"/>
        <v>18.039507780343772</v>
      </c>
      <c r="N32" s="693">
        <f t="shared" si="6"/>
        <v>182.9340011063349</v>
      </c>
      <c r="O32" s="693">
        <f t="shared" ref="O32:P32" si="8">SUMPRODUCT($S5:$S30,O5:O30)</f>
        <v>27.507930176544885</v>
      </c>
      <c r="P32" s="694">
        <f t="shared" si="8"/>
        <v>3.4181451698665231</v>
      </c>
      <c r="Q32" s="527">
        <f>SUMPRODUCT($S5:$S30,Q5:Q30)</f>
        <v>76.234299397023847</v>
      </c>
      <c r="R32" s="523">
        <f>SUMPRODUCT($S5:$S30,R5:R30)</f>
        <v>169.44563759647036</v>
      </c>
      <c r="S32" s="25"/>
      <c r="T32" s="25"/>
      <c r="U32" s="25"/>
    </row>
    <row r="33" spans="1:21" ht="14.25" customHeight="1" thickBot="1">
      <c r="A33" s="62" t="s">
        <v>393</v>
      </c>
      <c r="B33" s="531">
        <f>SUM(B31:C31)</f>
        <v>470.94241205544972</v>
      </c>
      <c r="C33" s="519"/>
      <c r="D33" s="520">
        <f>SUM(D31:E31)</f>
        <v>444.52983974140022</v>
      </c>
      <c r="E33" s="523"/>
      <c r="F33" s="521">
        <f>SUM(F31:H31)</f>
        <v>416.83967926193975</v>
      </c>
      <c r="G33" s="521"/>
      <c r="H33" s="521"/>
      <c r="I33" s="681">
        <f>SUM(I31:L31)</f>
        <v>393.90755940960639</v>
      </c>
      <c r="J33" s="688"/>
      <c r="K33" s="688"/>
      <c r="L33" s="692"/>
      <c r="M33" s="688">
        <f>SUM(M31:P31)</f>
        <v>391.89237073313575</v>
      </c>
      <c r="N33" s="682"/>
      <c r="O33" s="682"/>
      <c r="P33" s="683"/>
      <c r="Q33" s="519">
        <f>SUM(Q31:R31)</f>
        <v>412.7335029004912</v>
      </c>
      <c r="R33" s="524"/>
      <c r="S33" s="508"/>
      <c r="T33" s="508"/>
      <c r="U33" s="508"/>
    </row>
    <row r="34" spans="1:21" ht="14.25" customHeight="1" thickBot="1">
      <c r="A34" s="27" t="s">
        <v>394</v>
      </c>
      <c r="B34" s="532">
        <f>SUM(B32:C32)</f>
        <v>279.48198661753293</v>
      </c>
      <c r="C34" s="522"/>
      <c r="D34" s="533">
        <f>SUM(D32:E32)</f>
        <v>262.65968837333531</v>
      </c>
      <c r="E34" s="523"/>
      <c r="F34" s="519">
        <f>SUM(F32:H32)</f>
        <v>246.77990599778246</v>
      </c>
      <c r="G34" s="522"/>
      <c r="H34" s="522"/>
      <c r="I34" s="681">
        <f>SUM(I32:L32)</f>
        <v>233.01418907617227</v>
      </c>
      <c r="J34" s="687"/>
      <c r="K34" s="687"/>
      <c r="L34" s="689"/>
      <c r="M34" s="688">
        <f>SUM(M32:P32)</f>
        <v>231.89958423309008</v>
      </c>
      <c r="N34" s="685"/>
      <c r="O34" s="685"/>
      <c r="P34" s="686"/>
      <c r="Q34" s="519">
        <f>SUM(Q32:R32)</f>
        <v>245.67993699349421</v>
      </c>
      <c r="R34" s="524"/>
      <c r="S34" s="508"/>
      <c r="T34" s="508"/>
      <c r="U34" s="508"/>
    </row>
    <row r="35" spans="1:21" ht="14.25" customHeight="1" thickBot="1">
      <c r="A35" s="27" t="s">
        <v>388</v>
      </c>
      <c r="B35" s="526">
        <f>B33-D33</f>
        <v>26.412572314049498</v>
      </c>
      <c r="C35" s="522"/>
      <c r="D35" s="523">
        <v>0</v>
      </c>
      <c r="E35" s="523"/>
      <c r="F35" s="522">
        <f>F33-D33</f>
        <v>-27.690160479460474</v>
      </c>
      <c r="G35" s="522"/>
      <c r="H35" s="522"/>
      <c r="I35" s="684">
        <f>I33-D33</f>
        <v>-50.622280331793831</v>
      </c>
      <c r="J35" s="687"/>
      <c r="K35" s="687"/>
      <c r="L35" s="689"/>
      <c r="M35" s="687">
        <f>M33-D33</f>
        <v>-52.637469008264475</v>
      </c>
      <c r="N35" s="685"/>
      <c r="O35" s="685"/>
      <c r="P35" s="686"/>
      <c r="Q35" s="522">
        <f>Q33-D33</f>
        <v>-31.796336840909021</v>
      </c>
      <c r="R35" s="524"/>
      <c r="S35" s="508"/>
      <c r="T35" s="508"/>
      <c r="U35" s="508"/>
    </row>
    <row r="36" spans="1:21" ht="14.25" customHeight="1" thickBot="1">
      <c r="A36" s="27" t="s">
        <v>395</v>
      </c>
      <c r="B36" s="526">
        <f>B34-D34</f>
        <v>16.822298244197611</v>
      </c>
      <c r="C36" s="522"/>
      <c r="D36" s="518">
        <v>0</v>
      </c>
      <c r="E36" s="527"/>
      <c r="F36" s="528">
        <f>F34-D34</f>
        <v>-15.87978237555285</v>
      </c>
      <c r="G36" s="527"/>
      <c r="H36" s="527"/>
      <c r="I36" s="684">
        <f>I34-D34</f>
        <v>-29.645499297163042</v>
      </c>
      <c r="J36" s="687"/>
      <c r="K36" s="687"/>
      <c r="L36" s="689"/>
      <c r="M36" s="688">
        <f>M34-D34</f>
        <v>-30.760104140245232</v>
      </c>
      <c r="N36" s="682"/>
      <c r="O36" s="682"/>
      <c r="P36" s="683"/>
      <c r="Q36" s="522">
        <f>Q34-D34</f>
        <v>-16.979751379841105</v>
      </c>
      <c r="R36" s="524"/>
      <c r="S36" s="513"/>
      <c r="T36" s="513"/>
      <c r="U36" s="513"/>
    </row>
    <row r="37" spans="1:21" ht="16" thickBot="1">
      <c r="S37" s="508"/>
    </row>
    <row r="38" spans="1:21" ht="16" thickBot="1">
      <c r="A38" s="1014" t="s">
        <v>134</v>
      </c>
      <c r="B38" s="1009"/>
      <c r="C38" s="1009"/>
      <c r="D38" s="1009"/>
      <c r="E38" s="1009"/>
      <c r="F38" s="1009"/>
      <c r="G38" s="1009"/>
      <c r="H38" s="1009"/>
      <c r="I38" s="1009"/>
      <c r="J38" s="1009"/>
      <c r="K38" s="1009"/>
      <c r="L38" s="1009"/>
      <c r="M38" s="970"/>
      <c r="N38" s="970"/>
      <c r="O38" s="970"/>
      <c r="P38" s="970"/>
      <c r="Q38" s="1009"/>
      <c r="R38" s="1010"/>
      <c r="S38" s="508"/>
    </row>
    <row r="39" spans="1:21" ht="16" thickBot="1">
      <c r="A39" s="347"/>
      <c r="B39" s="1043" t="s">
        <v>135</v>
      </c>
      <c r="C39" s="1043"/>
      <c r="D39" s="1043" t="s">
        <v>136</v>
      </c>
      <c r="E39" s="1043"/>
      <c r="F39" s="1044" t="s">
        <v>4</v>
      </c>
      <c r="G39" s="1045"/>
      <c r="H39" s="1062"/>
      <c r="I39" s="1045" t="s">
        <v>29</v>
      </c>
      <c r="J39" s="1045"/>
      <c r="K39" s="552"/>
      <c r="L39" s="552"/>
      <c r="M39" s="1044" t="s">
        <v>30</v>
      </c>
      <c r="N39" s="1045"/>
      <c r="O39" s="552"/>
      <c r="P39" s="553"/>
      <c r="Q39" s="1048" t="s">
        <v>85</v>
      </c>
      <c r="R39" s="1049"/>
      <c r="S39" s="508"/>
    </row>
    <row r="40" spans="1:21" ht="17" thickBot="1">
      <c r="A40" s="155" t="s">
        <v>132</v>
      </c>
      <c r="B40" s="808">
        <f>B32/($A30-$A5+1)</f>
        <v>4.1561641941618666</v>
      </c>
      <c r="C40" s="809"/>
      <c r="D40" s="808">
        <f>D32/($A30-$A5+1)</f>
        <v>2.9320884383470709</v>
      </c>
      <c r="E40" s="809"/>
      <c r="F40" s="808">
        <f>F32/($A30-$A5+1)</f>
        <v>0.80751069533478437</v>
      </c>
      <c r="G40" s="810"/>
      <c r="H40" s="809"/>
      <c r="I40" s="808">
        <f>I32/($A30-$A5+1)</f>
        <v>0.77493152483208838</v>
      </c>
      <c r="J40" s="811"/>
      <c r="K40" s="811"/>
      <c r="L40" s="811"/>
      <c r="M40" s="808">
        <f>M32/($A30-$A5+1)</f>
        <v>0.69382722232091432</v>
      </c>
      <c r="N40" s="810"/>
      <c r="O40" s="810"/>
      <c r="P40" s="809"/>
      <c r="Q40" s="810">
        <f>Q32/($A30-$A5+1)</f>
        <v>2.9320884383470709</v>
      </c>
      <c r="R40" s="812"/>
      <c r="S40" s="513"/>
      <c r="T40" s="1"/>
    </row>
    <row r="41" spans="1:21" ht="16" thickBot="1">
      <c r="A41" s="74" t="s">
        <v>48</v>
      </c>
      <c r="B41" s="813">
        <f>B32/'תמהיל יצור'!$C$30</f>
        <v>3.9406532713630101E-2</v>
      </c>
      <c r="C41" s="814"/>
      <c r="D41" s="815">
        <f>D32/'תמהיל יצור'!$C$30</f>
        <v>2.7800499106191107E-2</v>
      </c>
      <c r="E41" s="816"/>
      <c r="F41" s="815">
        <f>F32/'תמהיל יצור'!$C$30</f>
        <v>7.6563858273490191E-3</v>
      </c>
      <c r="G41" s="817"/>
      <c r="H41" s="817"/>
      <c r="I41" s="815">
        <f>I32/'תמהיל יצור'!$C$30</f>
        <v>7.3474875047079618E-3</v>
      </c>
      <c r="J41" s="817"/>
      <c r="K41" s="817"/>
      <c r="L41" s="817"/>
      <c r="M41" s="815">
        <f>M32/'תמהיל יצור'!$C$30</f>
        <v>6.5784997552316088E-3</v>
      </c>
      <c r="N41" s="817"/>
      <c r="O41" s="817"/>
      <c r="P41" s="816"/>
      <c r="Q41" s="817">
        <f>Q32/'תמהיל יצור'!$C$30</f>
        <v>2.7800499106191107E-2</v>
      </c>
      <c r="R41" s="816"/>
      <c r="S41" s="508"/>
    </row>
    <row r="42" spans="1:21" ht="16" thickBot="1">
      <c r="A42" s="76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508"/>
    </row>
    <row r="43" spans="1:21" ht="16" thickBot="1">
      <c r="A43" s="1026" t="s">
        <v>148</v>
      </c>
      <c r="B43" s="1027"/>
      <c r="C43" s="1027"/>
      <c r="D43" s="1027"/>
      <c r="E43" s="1027"/>
      <c r="F43" s="1027"/>
      <c r="G43" s="1027"/>
      <c r="H43" s="1027"/>
      <c r="I43" s="1027"/>
      <c r="J43" s="1027"/>
      <c r="K43" s="1027"/>
      <c r="L43" s="1027"/>
      <c r="M43" s="1027"/>
      <c r="N43" s="1027"/>
      <c r="O43" s="1027"/>
      <c r="P43" s="1027"/>
      <c r="Q43" s="1027"/>
      <c r="R43" s="1028"/>
      <c r="S43" s="508"/>
    </row>
    <row r="44" spans="1:21" ht="16" thickBot="1">
      <c r="A44" s="84" t="s">
        <v>36</v>
      </c>
      <c r="B44" s="85">
        <f>'הנחות עבודה'!B54</f>
        <v>11.1</v>
      </c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8"/>
      <c r="S44" s="513"/>
    </row>
    <row r="45" spans="1:21" ht="16" thickBot="1">
      <c r="A45" s="347"/>
      <c r="B45" s="1043" t="s">
        <v>135</v>
      </c>
      <c r="C45" s="1043"/>
      <c r="D45" s="1043" t="s">
        <v>136</v>
      </c>
      <c r="E45" s="1043"/>
      <c r="F45" s="1044" t="s">
        <v>4</v>
      </c>
      <c r="G45" s="1045"/>
      <c r="H45" s="1045"/>
      <c r="I45" s="1046" t="s">
        <v>29</v>
      </c>
      <c r="J45" s="1047"/>
      <c r="K45" s="559"/>
      <c r="L45" s="559"/>
      <c r="M45" s="1046" t="s">
        <v>30</v>
      </c>
      <c r="N45" s="1047"/>
      <c r="O45" s="559"/>
      <c r="P45" s="560"/>
      <c r="Q45" s="1048" t="s">
        <v>85</v>
      </c>
      <c r="R45" s="1049"/>
    </row>
    <row r="46" spans="1:21" ht="16" thickBot="1">
      <c r="A46" s="8" t="s">
        <v>144</v>
      </c>
      <c r="B46" s="1074">
        <f>B15+C15</f>
        <v>17.066690400689538</v>
      </c>
      <c r="C46" s="1075"/>
      <c r="D46" s="1074">
        <f>D15+E15</f>
        <v>15.949045772590361</v>
      </c>
      <c r="E46" s="1075"/>
      <c r="F46" s="1074">
        <f>H15+G15+F15</f>
        <v>14.623442260193666</v>
      </c>
      <c r="G46" s="1078"/>
      <c r="H46" s="1078"/>
      <c r="I46" s="1074">
        <f>J15+I15+K15+L15</f>
        <v>13.381787012259785</v>
      </c>
      <c r="J46" s="1078"/>
      <c r="K46" s="653"/>
      <c r="L46" s="653"/>
      <c r="M46" s="1085">
        <f>N15+M15+O15+P15</f>
        <v>13.271897012259783</v>
      </c>
      <c r="N46" s="1086"/>
      <c r="O46" s="802"/>
      <c r="P46" s="801"/>
      <c r="Q46" s="1078">
        <f>R15+Q15</f>
        <v>14.669826783456889</v>
      </c>
      <c r="R46" s="1075"/>
    </row>
    <row r="47" spans="1:21" ht="16" thickBot="1">
      <c r="A47" s="156" t="s">
        <v>133</v>
      </c>
      <c r="B47" s="1081">
        <f>(B15+C15)/$B$44</f>
        <v>1.5375396757377962</v>
      </c>
      <c r="C47" s="1082"/>
      <c r="D47" s="1081">
        <f>(D15+E15)/$B$44</f>
        <v>1.4368509705036363</v>
      </c>
      <c r="E47" s="1082"/>
      <c r="F47" s="1081">
        <f>(H15+G15+F15)/B44</f>
        <v>1.3174272306480781</v>
      </c>
      <c r="G47" s="1083"/>
      <c r="H47" s="1082"/>
      <c r="I47" s="1081">
        <f>(I15+J15)/$B$44</f>
        <v>0.94714072182520592</v>
      </c>
      <c r="J47" s="1083"/>
      <c r="K47" s="804"/>
      <c r="L47" s="805"/>
      <c r="M47" s="1081">
        <f>(M15+N15)/$B$44</f>
        <v>0.93724072182520579</v>
      </c>
      <c r="N47" s="1083"/>
      <c r="O47" s="804"/>
      <c r="P47" s="805"/>
      <c r="Q47" s="1081">
        <f>(Q15+R15)/$B$44</f>
        <v>1.3216060165276478</v>
      </c>
      <c r="R47" s="1082"/>
    </row>
    <row r="48" spans="1:21" ht="16" thickBot="1">
      <c r="A48" s="157"/>
      <c r="B48" s="803"/>
      <c r="C48" s="803"/>
      <c r="D48" s="803"/>
      <c r="E48" s="803"/>
      <c r="F48" s="803"/>
      <c r="G48" s="803"/>
      <c r="H48" s="803"/>
      <c r="I48" s="803"/>
      <c r="J48" s="803"/>
      <c r="K48" s="803"/>
      <c r="L48" s="803"/>
      <c r="M48" s="803"/>
      <c r="N48" s="803"/>
      <c r="O48" s="803"/>
      <c r="P48" s="803"/>
      <c r="Q48" s="803"/>
      <c r="R48" s="803"/>
    </row>
    <row r="49" spans="1:19" ht="16" thickBot="1">
      <c r="A49" s="1026" t="s">
        <v>149</v>
      </c>
      <c r="B49" s="1027"/>
      <c r="C49" s="1027"/>
      <c r="D49" s="1027"/>
      <c r="E49" s="1027"/>
      <c r="F49" s="1027"/>
      <c r="G49" s="1027"/>
      <c r="H49" s="1027"/>
      <c r="I49" s="1027"/>
      <c r="J49" s="1027"/>
      <c r="K49" s="1027"/>
      <c r="L49" s="1027"/>
      <c r="M49" s="1027"/>
      <c r="N49" s="1027"/>
      <c r="O49" s="1027"/>
      <c r="P49" s="1027"/>
      <c r="Q49" s="1027"/>
      <c r="R49" s="1028"/>
    </row>
    <row r="50" spans="1:19" ht="16" thickBot="1">
      <c r="A50" s="84" t="s">
        <v>86</v>
      </c>
      <c r="B50" s="85">
        <f>'הנחות עבודה'!B55</f>
        <v>13.2</v>
      </c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8"/>
    </row>
    <row r="51" spans="1:19" ht="16" thickBot="1">
      <c r="A51" s="347"/>
      <c r="B51" s="1043" t="s">
        <v>135</v>
      </c>
      <c r="C51" s="1043"/>
      <c r="D51" s="1043" t="s">
        <v>136</v>
      </c>
      <c r="E51" s="1043"/>
      <c r="F51" s="1044" t="s">
        <v>4</v>
      </c>
      <c r="G51" s="1045"/>
      <c r="H51" s="1062"/>
      <c r="I51" s="1045" t="s">
        <v>29</v>
      </c>
      <c r="J51" s="1045"/>
      <c r="K51" s="552"/>
      <c r="L51" s="552"/>
      <c r="M51" s="1046" t="s">
        <v>30</v>
      </c>
      <c r="N51" s="1047"/>
      <c r="O51" s="559"/>
      <c r="P51" s="560"/>
      <c r="Q51" s="1048" t="s">
        <v>85</v>
      </c>
      <c r="R51" s="1049"/>
    </row>
    <row r="52" spans="1:19" ht="16" thickBot="1">
      <c r="A52" s="65" t="s">
        <v>145</v>
      </c>
      <c r="B52" s="1074">
        <f>B25+C25</f>
        <v>19.834832072635475</v>
      </c>
      <c r="C52" s="1075"/>
      <c r="D52" s="1074">
        <f>D25+E25</f>
        <v>19.095214304040432</v>
      </c>
      <c r="E52" s="1075"/>
      <c r="F52" s="1076">
        <f>F25+G25+H25</f>
        <v>17.945892947088563</v>
      </c>
      <c r="G52" s="1077"/>
      <c r="H52" s="1077"/>
      <c r="I52" s="1074">
        <f>I25+J25+K25+L25</f>
        <v>17.433461742056966</v>
      </c>
      <c r="J52" s="1078"/>
      <c r="K52" s="653"/>
      <c r="L52" s="653"/>
      <c r="M52" s="1076">
        <f>N25+M25+O25+P25</f>
        <v>17.323571742056966</v>
      </c>
      <c r="N52" s="1077"/>
      <c r="O52" s="561"/>
      <c r="P52" s="562"/>
      <c r="Q52" s="1077">
        <f>Q25+R25</f>
        <v>17.42547244938434</v>
      </c>
      <c r="R52" s="1079"/>
    </row>
    <row r="53" spans="1:19" ht="16" thickBot="1">
      <c r="A53" s="65" t="s">
        <v>351</v>
      </c>
      <c r="B53" s="1080">
        <f>B52/B50</f>
        <v>1.5026387933814755</v>
      </c>
      <c r="C53" s="1073"/>
      <c r="D53" s="1080">
        <f>D52/B50</f>
        <v>1.4466071442454873</v>
      </c>
      <c r="E53" s="1073"/>
      <c r="F53" s="1080">
        <f>F52/B50</f>
        <v>1.3595373444764063</v>
      </c>
      <c r="G53" s="1072"/>
      <c r="H53" s="1072"/>
      <c r="I53" s="1080">
        <f>I52/B50</f>
        <v>1.3207167986406794</v>
      </c>
      <c r="J53" s="1072"/>
      <c r="K53" s="806"/>
      <c r="L53" s="806"/>
      <c r="M53" s="1080">
        <f>M52/B50</f>
        <v>1.3123917986406792</v>
      </c>
      <c r="N53" s="1072"/>
      <c r="O53" s="806"/>
      <c r="P53" s="807"/>
      <c r="Q53" s="1072">
        <f>Q52/B50</f>
        <v>1.3201115491957836</v>
      </c>
      <c r="R53" s="1073"/>
    </row>
    <row r="56" spans="1:19" ht="16" thickBot="1">
      <c r="A56" s="158" t="s">
        <v>273</v>
      </c>
    </row>
    <row r="57" spans="1:19" ht="34">
      <c r="A57" s="343"/>
      <c r="B57" s="339" t="s">
        <v>362</v>
      </c>
      <c r="C57" s="164"/>
    </row>
    <row r="58" spans="1:19">
      <c r="A58" s="239" t="str">
        <f>'הנחות עבודה'!A75</f>
        <v>יחידות פחמיות לאחר הפחתת פליטות. הערה מס' 1</v>
      </c>
      <c r="B58" s="120">
        <f>'הנחות עבודה'!C91*1000</f>
        <v>350</v>
      </c>
    </row>
    <row r="59" spans="1:19">
      <c r="A59" s="239" t="str">
        <f>'הנחות עבודה'!A76</f>
        <v>יחידות פחמיות לאחר הסבה לגז עם הפחתת פליטות. הערה מס' 2</v>
      </c>
      <c r="B59" s="120">
        <f>'הנחות עבודה'!C92*1000</f>
        <v>270</v>
      </c>
    </row>
    <row r="60" spans="1:19" ht="16" thickBot="1">
      <c r="A60" s="240" t="str">
        <f>'הנחות עבודה'!A79</f>
        <v>יחידת גז משוקללת</v>
      </c>
      <c r="B60" s="378">
        <f>'הנחות עבודה'!C93*1000</f>
        <v>165</v>
      </c>
    </row>
    <row r="61" spans="1:19" ht="16" thickBot="1">
      <c r="A61" s="9"/>
      <c r="B61" s="9"/>
      <c r="C61" s="18"/>
      <c r="S61" s="9"/>
    </row>
    <row r="62" spans="1:19" ht="16" thickBot="1">
      <c r="A62" s="345" t="s">
        <v>275</v>
      </c>
      <c r="B62" s="346"/>
      <c r="C62" s="18"/>
    </row>
    <row r="63" spans="1:19">
      <c r="A63" s="238" t="s">
        <v>130</v>
      </c>
      <c r="B63" s="340">
        <v>69</v>
      </c>
      <c r="C63" s="18"/>
      <c r="D63" s="18"/>
    </row>
    <row r="64" spans="1:19" ht="16" thickBot="1">
      <c r="A64" s="240" t="s">
        <v>131</v>
      </c>
      <c r="B64" s="341">
        <v>45</v>
      </c>
      <c r="C64" s="18"/>
      <c r="D64" s="18"/>
    </row>
  </sheetData>
  <mergeCells count="53">
    <mergeCell ref="Q45:R45"/>
    <mergeCell ref="A43:R43"/>
    <mergeCell ref="Q47:R47"/>
    <mergeCell ref="Q46:R46"/>
    <mergeCell ref="M52:N52"/>
    <mergeCell ref="B46:C46"/>
    <mergeCell ref="D46:E46"/>
    <mergeCell ref="F46:H46"/>
    <mergeCell ref="I46:J46"/>
    <mergeCell ref="M46:N46"/>
    <mergeCell ref="B45:C45"/>
    <mergeCell ref="D45:E45"/>
    <mergeCell ref="F45:H45"/>
    <mergeCell ref="I45:J45"/>
    <mergeCell ref="M45:N45"/>
    <mergeCell ref="A49:R49"/>
    <mergeCell ref="U3:AD3"/>
    <mergeCell ref="A2:R2"/>
    <mergeCell ref="B3:C3"/>
    <mergeCell ref="D3:E3"/>
    <mergeCell ref="F3:H3"/>
    <mergeCell ref="Q3:R3"/>
    <mergeCell ref="I3:L3"/>
    <mergeCell ref="M3:P3"/>
    <mergeCell ref="Q39:R39"/>
    <mergeCell ref="A38:R38"/>
    <mergeCell ref="B39:C39"/>
    <mergeCell ref="D39:E39"/>
    <mergeCell ref="F39:H39"/>
    <mergeCell ref="I39:J39"/>
    <mergeCell ref="M39:N39"/>
    <mergeCell ref="Q51:R51"/>
    <mergeCell ref="D47:E47"/>
    <mergeCell ref="B47:C47"/>
    <mergeCell ref="F47:H47"/>
    <mergeCell ref="I47:J47"/>
    <mergeCell ref="M47:N47"/>
    <mergeCell ref="B51:C51"/>
    <mergeCell ref="D51:E51"/>
    <mergeCell ref="F51:H51"/>
    <mergeCell ref="I51:J51"/>
    <mergeCell ref="M51:N51"/>
    <mergeCell ref="Q53:R53"/>
    <mergeCell ref="B52:C52"/>
    <mergeCell ref="D52:E52"/>
    <mergeCell ref="F52:H52"/>
    <mergeCell ref="I52:J52"/>
    <mergeCell ref="Q52:R52"/>
    <mergeCell ref="B53:C53"/>
    <mergeCell ref="D53:E53"/>
    <mergeCell ref="F53:H53"/>
    <mergeCell ref="I53:J53"/>
    <mergeCell ref="M53:N5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AN66"/>
  <sheetViews>
    <sheetView rightToLeft="1" topLeftCell="D1" zoomScaleNormal="80" workbookViewId="0">
      <selection activeCell="D32" sqref="D32"/>
    </sheetView>
  </sheetViews>
  <sheetFormatPr baseColWidth="10" defaultColWidth="8.83203125" defaultRowHeight="15"/>
  <cols>
    <col min="1" max="1" width="42.1640625" customWidth="1"/>
    <col min="2" max="2" width="17.1640625" customWidth="1"/>
    <col min="3" max="3" width="15.6640625" customWidth="1"/>
    <col min="4" max="4" width="16.5" customWidth="1"/>
    <col min="5" max="5" width="11.6640625" customWidth="1"/>
    <col min="6" max="7" width="9.33203125" bestFit="1" customWidth="1"/>
    <col min="8" max="8" width="10.33203125" bestFit="1" customWidth="1"/>
    <col min="19" max="19" width="28.1640625" bestFit="1" customWidth="1"/>
    <col min="21" max="21" width="28.1640625" bestFit="1" customWidth="1"/>
    <col min="22" max="23" width="5.6640625" bestFit="1" customWidth="1"/>
    <col min="24" max="24" width="5.33203125" bestFit="1" customWidth="1"/>
    <col min="25" max="25" width="19.33203125" bestFit="1" customWidth="1"/>
    <col min="26" max="26" width="13.1640625" bestFit="1" customWidth="1"/>
    <col min="27" max="29" width="11.33203125" bestFit="1" customWidth="1"/>
  </cols>
  <sheetData>
    <row r="1" spans="1:40" ht="30" thickBot="1">
      <c r="A1" s="225" t="s">
        <v>276</v>
      </c>
      <c r="B1" s="225"/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  <c r="AK1" s="226"/>
      <c r="AL1" s="226"/>
      <c r="AM1" s="226"/>
      <c r="AN1" s="226"/>
    </row>
    <row r="2" spans="1:40">
      <c r="A2" s="1084" t="s">
        <v>277</v>
      </c>
      <c r="B2" s="1084"/>
      <c r="C2" s="1084"/>
      <c r="D2" s="1084"/>
      <c r="E2" s="1084"/>
      <c r="F2" s="1084"/>
      <c r="G2" s="1084"/>
      <c r="H2" s="1084"/>
      <c r="I2" s="1084"/>
      <c r="J2" s="1084"/>
      <c r="K2" s="1084"/>
      <c r="L2" s="1084"/>
      <c r="M2" s="1084"/>
      <c r="N2" s="1084"/>
      <c r="O2" s="1084"/>
      <c r="P2" s="1084"/>
      <c r="Q2" s="1084"/>
      <c r="R2" s="1084"/>
      <c r="S2" s="284" t="s">
        <v>12</v>
      </c>
    </row>
    <row r="3" spans="1:40" ht="16" thickBot="1">
      <c r="A3" s="141"/>
      <c r="B3" s="1043" t="s">
        <v>135</v>
      </c>
      <c r="C3" s="1043"/>
      <c r="D3" s="1043" t="s">
        <v>136</v>
      </c>
      <c r="E3" s="1043"/>
      <c r="F3" s="1043" t="s">
        <v>4</v>
      </c>
      <c r="G3" s="1043"/>
      <c r="H3" s="1043"/>
      <c r="I3" s="1051" t="s">
        <v>29</v>
      </c>
      <c r="J3" s="1063"/>
      <c r="K3" s="1063"/>
      <c r="L3" s="1064"/>
      <c r="M3" s="1087" t="s">
        <v>30</v>
      </c>
      <c r="N3" s="1088"/>
      <c r="O3" s="1088"/>
      <c r="P3" s="1089"/>
      <c r="Q3" s="1065">
        <v>0.25</v>
      </c>
      <c r="R3" s="1065"/>
      <c r="S3" s="515">
        <f>'הנחות עבודה'!$B$37</f>
        <v>0.04</v>
      </c>
      <c r="U3" s="1060" t="s">
        <v>332</v>
      </c>
      <c r="V3" s="1061"/>
      <c r="W3" s="1061"/>
      <c r="X3" s="1061"/>
      <c r="Y3" s="1061"/>
      <c r="Z3" s="1061"/>
      <c r="AA3" s="1061"/>
      <c r="AB3" s="1061"/>
      <c r="AC3" s="1061"/>
      <c r="AD3" s="1061"/>
    </row>
    <row r="4" spans="1:40" ht="33" thickBot="1">
      <c r="A4" s="141" t="s">
        <v>6</v>
      </c>
      <c r="B4" s="705" t="s">
        <v>0</v>
      </c>
      <c r="C4" s="192" t="str">
        <f>E4</f>
        <v>מתקני גז קיימים</v>
      </c>
      <c r="D4" s="705" t="s">
        <v>0</v>
      </c>
      <c r="E4" s="704" t="str">
        <f>H4</f>
        <v>מתקני גז קיימים</v>
      </c>
      <c r="F4" s="550" t="s">
        <v>0</v>
      </c>
      <c r="G4" s="557" t="s">
        <v>16</v>
      </c>
      <c r="H4" s="701" t="str">
        <f>J4</f>
        <v>מתקני גז קיימים</v>
      </c>
      <c r="I4" s="677" t="s">
        <v>0</v>
      </c>
      <c r="J4" s="678" t="s">
        <v>433</v>
      </c>
      <c r="K4" s="678" t="s">
        <v>434</v>
      </c>
      <c r="L4" s="678" t="s">
        <v>435</v>
      </c>
      <c r="M4" s="679" t="s">
        <v>0</v>
      </c>
      <c r="N4" s="678" t="str">
        <f>J4</f>
        <v>מתקני גז קיימים</v>
      </c>
      <c r="O4" s="678" t="s">
        <v>434</v>
      </c>
      <c r="P4" s="680" t="s">
        <v>435</v>
      </c>
      <c r="Q4" s="703" t="s">
        <v>0</v>
      </c>
      <c r="R4" s="704" t="str">
        <f>C4</f>
        <v>מתקני גז קיימים</v>
      </c>
      <c r="S4" s="511" t="s">
        <v>384</v>
      </c>
      <c r="U4" s="65"/>
      <c r="V4" s="101">
        <v>2015</v>
      </c>
      <c r="W4" s="101">
        <v>2017</v>
      </c>
      <c r="X4" s="101"/>
      <c r="Y4" s="101" t="s">
        <v>92</v>
      </c>
      <c r="Z4" s="101" t="s">
        <v>128</v>
      </c>
      <c r="AA4" s="102" t="str">
        <f>Q39</f>
        <v xml:space="preserve">25% מתחדשות </v>
      </c>
      <c r="AB4" s="101" t="str">
        <f>F39</f>
        <v>הסבה</v>
      </c>
      <c r="AC4" s="101" t="str">
        <f>I39</f>
        <v>שימור</v>
      </c>
      <c r="AD4" s="101" t="str">
        <f>M39</f>
        <v>גריטה</v>
      </c>
    </row>
    <row r="5" spans="1:40" ht="16" thickBot="1">
      <c r="A5" s="706">
        <v>2020</v>
      </c>
      <c r="B5" s="702">
        <f>$B$58*'תמהיל יצור'!H4/1000</f>
        <v>0.61537190082644622</v>
      </c>
      <c r="C5" s="700">
        <f>$B$60*'תמהיל יצור'!I4/1000</f>
        <v>0.71972323223140511</v>
      </c>
      <c r="D5" s="699">
        <f>$B$58*'תמהיל יצור'!L4/10^3</f>
        <v>0.43413223140495871</v>
      </c>
      <c r="E5" s="700">
        <f>$B$60*'תמהיל יצור'!M4/10^3</f>
        <v>0.8151761247933883</v>
      </c>
      <c r="F5" s="699">
        <f>$B$58*('תמהיל יצור'!P4+'תמהיל יצור'!Q4)/10^3</f>
        <v>0.43413223140495871</v>
      </c>
      <c r="G5" s="699">
        <f>$B$59*'תמהיל יצור'!R4/10^3</f>
        <v>0</v>
      </c>
      <c r="H5" s="700">
        <f>$B$60*'תמהיל יצור'!S4/10^3</f>
        <v>0.8151761247933883</v>
      </c>
      <c r="I5" s="514">
        <f>$B$58*('תמהיל יצור'!V4+'תמהיל יצור'!W4)/10^3</f>
        <v>0.43413223140495871</v>
      </c>
      <c r="J5" s="514">
        <f>$B$60*'תמהיל יצור'!X4/10^3</f>
        <v>0.81517612479338841</v>
      </c>
      <c r="K5" s="514">
        <f>$B$60*'תמהיל יצור'!Y4/10^3</f>
        <v>0</v>
      </c>
      <c r="L5" s="514">
        <f>$B$60*'תמהיל יצור'!Z4/10^3</f>
        <v>0</v>
      </c>
      <c r="M5" s="698">
        <f>$B$58*'תמהיל יצור'!AC4/10^3</f>
        <v>0.43413223140495871</v>
      </c>
      <c r="N5" s="699">
        <f>$B$60*'תמהיל יצור'!AD4/10^3</f>
        <v>0.8151761247933883</v>
      </c>
      <c r="O5" s="699">
        <f>$B$60*'תמהיל יצור'!AE4/10^3</f>
        <v>0</v>
      </c>
      <c r="P5" s="699">
        <f>$B$60*'תמהיל יצור'!AF4/10^3</f>
        <v>0</v>
      </c>
      <c r="Q5" s="702">
        <f>$B$58*'תמהיל יצור'!AK4/10^3</f>
        <v>0.43413223140495871</v>
      </c>
      <c r="R5" s="700">
        <f>$B$60*'תמהיל יצור'!AL4/10^3</f>
        <v>0.81517612479338841</v>
      </c>
      <c r="S5" s="509">
        <f t="shared" ref="S5:S24" si="0">1/((1+$S$3)^($A5-2019))</f>
        <v>0.96153846153846145</v>
      </c>
      <c r="U5" s="101" t="s">
        <v>146</v>
      </c>
      <c r="V5" s="159">
        <f>B63</f>
        <v>2.2999999999999998</v>
      </c>
      <c r="W5" s="159">
        <f>B64</f>
        <v>1.9</v>
      </c>
      <c r="X5" s="159"/>
      <c r="Y5" s="160">
        <f>B40</f>
        <v>0.35624264521387433</v>
      </c>
      <c r="Z5" s="160">
        <f>D40</f>
        <v>0.25132186614403468</v>
      </c>
      <c r="AA5" s="160">
        <f>Q40</f>
        <v>0.25132186614403468</v>
      </c>
      <c r="AB5" s="160">
        <f>F40</f>
        <v>6.9215202457267186E-2</v>
      </c>
      <c r="AC5" s="160">
        <f>I40</f>
        <v>6.6422702128464683E-2</v>
      </c>
      <c r="AD5" s="160">
        <f>M40</f>
        <v>5.9470904770364069E-2</v>
      </c>
    </row>
    <row r="6" spans="1:40">
      <c r="A6" s="706">
        <f>A5+1</f>
        <v>2021</v>
      </c>
      <c r="B6" s="695">
        <f>$B$58*'תמהיל יצור'!H5/1000</f>
        <v>0.61537190082644622</v>
      </c>
      <c r="C6" s="696">
        <f>$B$60*'תמהיל יצור'!I5/1000</f>
        <v>0.72483089823140512</v>
      </c>
      <c r="D6" s="514">
        <f>$B$58*'תמהיל יצור'!L5/10^3</f>
        <v>0.43413223140495871</v>
      </c>
      <c r="E6" s="696">
        <f>$B$60*'תמהיל יצור'!M5/10^3</f>
        <v>0.82028379079338842</v>
      </c>
      <c r="F6" s="514">
        <f>$B$58*('תמהיל יצור'!P5+'תמהיל יצור'!Q5)/10^3</f>
        <v>0.43413223140495871</v>
      </c>
      <c r="G6" s="514">
        <f>$B$59*'תמהיל יצור'!R5/10^3</f>
        <v>0</v>
      </c>
      <c r="H6" s="696">
        <f>$B$60*'תמהיל יצור'!S5/10^3</f>
        <v>0.82028379079338842</v>
      </c>
      <c r="I6" s="514">
        <f>$B$58*('תמהיל יצור'!V5+'תמהיל יצור'!W5)/10^3</f>
        <v>0.43413223140495871</v>
      </c>
      <c r="J6" s="514">
        <f>$B$60*'תמהיל יצור'!X5/10^3</f>
        <v>0.82028379079338842</v>
      </c>
      <c r="K6" s="514">
        <f>$B$60*'תמהיל יצור'!Y5/10^3</f>
        <v>0</v>
      </c>
      <c r="L6" s="514">
        <f>$B$60*'תמהיל יצור'!Z5/10^3</f>
        <v>0</v>
      </c>
      <c r="M6" s="697">
        <f>$B$58*'תמהיל יצור'!AC5/10^3</f>
        <v>0.43413223140495871</v>
      </c>
      <c r="N6" s="514">
        <f>$B$60*'תמהיל יצור'!AD5/10^3</f>
        <v>0.82028379079338842</v>
      </c>
      <c r="O6" s="514">
        <f>$B$60*'תמהיל יצור'!AE5/10^3</f>
        <v>0</v>
      </c>
      <c r="P6" s="514">
        <f>$B$60*'תמהיל יצור'!AF5/10^3</f>
        <v>0</v>
      </c>
      <c r="Q6" s="695">
        <f>$B$58*'תמהיל יצור'!AK5/10^3</f>
        <v>0.43413223140495871</v>
      </c>
      <c r="R6" s="696">
        <f>$B$60*'תמהיל יצור'!AL5/10^3</f>
        <v>0.82028379079338842</v>
      </c>
      <c r="S6" s="509">
        <f t="shared" si="0"/>
        <v>0.92455621301775137</v>
      </c>
    </row>
    <row r="7" spans="1:40">
      <c r="A7" s="706">
        <f t="shared" ref="A7:A30" si="1">A6+1</f>
        <v>2022</v>
      </c>
      <c r="B7" s="695">
        <f>$B$58*'תמהיל יצור'!H6/1000</f>
        <v>0.61537190082644622</v>
      </c>
      <c r="C7" s="696">
        <f>$B$60*'תמהיל יצור'!I6/1000</f>
        <v>0.75908593023140503</v>
      </c>
      <c r="D7" s="514">
        <f>$B$58*'תמהיל יצור'!L6/10^3</f>
        <v>0.43413223140495871</v>
      </c>
      <c r="E7" s="696">
        <f>$B$60*'תמהיל יצור'!M6/10^3</f>
        <v>0.85453882279338833</v>
      </c>
      <c r="F7" s="514">
        <f>$B$58*('תמהיל יצור'!P6+'תמהיל יצור'!Q6)/10^3</f>
        <v>0.29475147666504614</v>
      </c>
      <c r="G7" s="514">
        <f>$B$59*'תמהיל יצור'!R6/10^3</f>
        <v>5.0904132231404962E-2</v>
      </c>
      <c r="H7" s="696">
        <f>$B$60*'תמהיל יצור'!S6/10^3</f>
        <v>0.86607792111618853</v>
      </c>
      <c r="I7" s="514">
        <f>$B$58*('תמהיל יצור'!V6+'תמהיל יצור'!W6)/10^3</f>
        <v>0.28729338842975205</v>
      </c>
      <c r="J7" s="514">
        <f>$B$60*'תמהיל יצור'!X6/10^3</f>
        <v>0.93187394676033053</v>
      </c>
      <c r="K7" s="514">
        <f>$B$60*'תמהיל יצור'!Y6/10^3</f>
        <v>0</v>
      </c>
      <c r="L7" s="514">
        <f>$B$60*'תמהיל יצור'!Z6/10^3</f>
        <v>0</v>
      </c>
      <c r="M7" s="697">
        <f>$B$58*'תמהיל יצור'!AC6/10^3</f>
        <v>0.28729338842975205</v>
      </c>
      <c r="N7" s="514">
        <f>$B$60*'תמהיל יצור'!AD6/10^3</f>
        <v>0.93187394676033053</v>
      </c>
      <c r="O7" s="514">
        <f>$B$60*'תמהיל יצור'!AE6/10^3</f>
        <v>0</v>
      </c>
      <c r="P7" s="514">
        <f>$B$60*'תמהיל יצור'!AF6/10^3</f>
        <v>0</v>
      </c>
      <c r="Q7" s="695">
        <f>$B$58*'תמהיל יצור'!AK6/10^3</f>
        <v>0.43413223140495871</v>
      </c>
      <c r="R7" s="696">
        <f>$B$60*'תמהיל יצור'!AL6/10^3</f>
        <v>0.85453882279338833</v>
      </c>
      <c r="S7" s="509">
        <f t="shared" si="0"/>
        <v>0.88899635867091487</v>
      </c>
    </row>
    <row r="8" spans="1:40">
      <c r="A8" s="706">
        <f t="shared" si="1"/>
        <v>2023</v>
      </c>
      <c r="B8" s="695">
        <f>$B$58*'תמהיל יצור'!H7/1000</f>
        <v>0.61537190082644622</v>
      </c>
      <c r="C8" s="696">
        <f>$B$60*'תמהיל יצור'!I7/1000</f>
        <v>0.78188390823140508</v>
      </c>
      <c r="D8" s="514">
        <f>$B$58*'תמהיל יצור'!L7/10^3</f>
        <v>0.43413223140495871</v>
      </c>
      <c r="E8" s="696">
        <f>$B$60*'תמהיל יצור'!M7/10^3</f>
        <v>0.87733680079338827</v>
      </c>
      <c r="F8" s="514">
        <f>$B$58*('תמהיל יצור'!P7+'תמהיל יצור'!Q7)/10^3</f>
        <v>0.29475147666504614</v>
      </c>
      <c r="G8" s="514">
        <f>$B$59*'תמהיל יצור'!R7/10^3</f>
        <v>5.0904132231404962E-2</v>
      </c>
      <c r="H8" s="696">
        <f>$B$60*'תמהיל יצור'!S7/10^3</f>
        <v>0.88887589911618847</v>
      </c>
      <c r="I8" s="514">
        <f>$B$58*('תמהיל יצור'!V7+'תמהיל יצור'!W7)/10^3</f>
        <v>0.28729338842975205</v>
      </c>
      <c r="J8" s="514">
        <f>$B$60*'תמהיל יצור'!X7/10^3</f>
        <v>0.95467192476033058</v>
      </c>
      <c r="K8" s="514">
        <f>$B$60*'תמהיל יצור'!Y7/10^3</f>
        <v>0</v>
      </c>
      <c r="L8" s="514">
        <f>$B$60*'תמהיל יצור'!Z7/10^3</f>
        <v>0</v>
      </c>
      <c r="M8" s="697">
        <f>$B$58*'תמהיל יצור'!AC7/10^3</f>
        <v>0.28729338842975205</v>
      </c>
      <c r="N8" s="514">
        <f>$B$60*'תמהיל יצור'!AD7/10^3</f>
        <v>0.95467192476033047</v>
      </c>
      <c r="O8" s="514">
        <f>$B$60*'תמהיל יצור'!AE7/10^3</f>
        <v>0</v>
      </c>
      <c r="P8" s="514">
        <f>$B$60*'תמהיל יצור'!AF7/10^3</f>
        <v>0</v>
      </c>
      <c r="Q8" s="695">
        <f>$B$58*'תמהיל יצור'!AK7/10^3</f>
        <v>0.43413223140495871</v>
      </c>
      <c r="R8" s="696">
        <f>$B$60*'תמהיל יצור'!AL7/10^3</f>
        <v>0.8522008967933884</v>
      </c>
      <c r="S8" s="509">
        <f t="shared" si="0"/>
        <v>0.85480419102972571</v>
      </c>
      <c r="Y8" s="163"/>
      <c r="Z8" s="163"/>
      <c r="AA8" s="163"/>
      <c r="AB8" s="163"/>
      <c r="AC8" s="163"/>
    </row>
    <row r="9" spans="1:40">
      <c r="A9" s="706">
        <f t="shared" si="1"/>
        <v>2024</v>
      </c>
      <c r="B9" s="695">
        <f>$B$58*'תמהיל יצור'!H8/1000</f>
        <v>0.61537190082644622</v>
      </c>
      <c r="C9" s="696">
        <f>$B$60*'תמהיל יצור'!I8/1000</f>
        <v>0.81800650023140509</v>
      </c>
      <c r="D9" s="514">
        <f>$B$58*'תמהיל יצור'!L8/10^3</f>
        <v>0.43413223140495871</v>
      </c>
      <c r="E9" s="696">
        <f>$B$60*'תמהיל יצור'!M8/10^3</f>
        <v>0.91345939279338839</v>
      </c>
      <c r="F9" s="514">
        <f>$B$58*('תמהיל יצור'!P8+'תמהיל יצור'!Q8)/10^3</f>
        <v>0.15537072192513368</v>
      </c>
      <c r="G9" s="514">
        <f>$B$59*'תמהיל יצור'!R8/10^3</f>
        <v>0.10180826446280992</v>
      </c>
      <c r="H9" s="696">
        <f>$B$60*'תמהיל יצור'!S8/10^3</f>
        <v>0.93653758943898879</v>
      </c>
      <c r="I9" s="514">
        <f>$B$58*('תמהיל יצור'!V8+'תמהיל יצור'!W8)/10^3</f>
        <v>0.14648189839572193</v>
      </c>
      <c r="J9" s="514">
        <f>$B$60*'תמהיל יצור'!X8/10^3</f>
        <v>0.97339423484491971</v>
      </c>
      <c r="K9" s="514">
        <f>$B$60*'תמהיל יצור'!Y8/10^3</f>
        <v>8.1441099999999989E-2</v>
      </c>
      <c r="L9" s="514">
        <f>$B$60*'תמהיל יצור'!Z8/10^3</f>
        <v>1.0119899999999999E-2</v>
      </c>
      <c r="M9" s="697">
        <f>$B$58*'תמהיל יצור'!AC8/10^3</f>
        <v>0.14045454545454544</v>
      </c>
      <c r="N9" s="514">
        <f>$B$60*'תמהיל יצור'!AD8/10^3</f>
        <v>0.97656864072727267</v>
      </c>
      <c r="O9" s="514">
        <f>$B$60*'תמהיל יצור'!AE8/10^3</f>
        <v>8.1441099999999989E-2</v>
      </c>
      <c r="P9" s="514">
        <f>$B$60*'תמהיל יצור'!AF8/10^3</f>
        <v>1.0119899999999999E-2</v>
      </c>
      <c r="Q9" s="695">
        <f>$B$58*'תמהיל יצור'!AK8/10^3</f>
        <v>0.43413223140495871</v>
      </c>
      <c r="R9" s="696">
        <f>$B$60*'תמהיל יצור'!AL8/10^3</f>
        <v>0.86154564879338846</v>
      </c>
      <c r="S9" s="509">
        <f t="shared" si="0"/>
        <v>0.82192710675935154</v>
      </c>
    </row>
    <row r="10" spans="1:40">
      <c r="A10" s="706">
        <f t="shared" si="1"/>
        <v>2025</v>
      </c>
      <c r="B10" s="695">
        <f>$B$58*'תמהיל יצור'!H9/1000</f>
        <v>0.61537190082644622</v>
      </c>
      <c r="C10" s="696">
        <f>$B$60*'תמהיל יצור'!I9/1000</f>
        <v>0.84189483623140504</v>
      </c>
      <c r="D10" s="514">
        <f>$B$58*'תמהיל יצור'!L9/10^3</f>
        <v>0.43413223140495871</v>
      </c>
      <c r="E10" s="696">
        <f>$B$60*'תמהיל יצור'!M9/10^3</f>
        <v>0.93734772879338846</v>
      </c>
      <c r="F10" s="514">
        <f>$B$58*('תמהיל יצור'!P9+'תמהיל יצור'!Q9)/10^3</f>
        <v>0.15537072192513368</v>
      </c>
      <c r="G10" s="514">
        <f>$B$59*'תמהיל יצור'!R9/10^3</f>
        <v>0.10180826446280992</v>
      </c>
      <c r="H10" s="696">
        <f>$B$60*'תמהיל יצור'!S9/10^3</f>
        <v>0.96042592543898897</v>
      </c>
      <c r="I10" s="514">
        <f>$B$58*('תמהיל יצור'!V9+'תמהיל יצור'!W9)/10^3</f>
        <v>0.14648189839572193</v>
      </c>
      <c r="J10" s="514">
        <f>$B$60*'תמהיל יצור'!X9/10^3</f>
        <v>0.99728257084491989</v>
      </c>
      <c r="K10" s="514">
        <f>$B$60*'תמהיל יצור'!Y9/10^3</f>
        <v>8.1441099999999989E-2</v>
      </c>
      <c r="L10" s="514">
        <f>$B$60*'תמהיל יצור'!Z9/10^3</f>
        <v>1.0119899999999999E-2</v>
      </c>
      <c r="M10" s="697">
        <f>$B$58*'תמהיל יצור'!AC9/10^3</f>
        <v>0.14045454545454544</v>
      </c>
      <c r="N10" s="514">
        <f>$B$60*'תמהיל יצור'!AD9/10^3</f>
        <v>1.0004569767272726</v>
      </c>
      <c r="O10" s="514">
        <f>$B$60*'תמהיל יצור'!AE9/10^3</f>
        <v>8.1441099999999989E-2</v>
      </c>
      <c r="P10" s="514">
        <f>$B$60*'תמהיל יצור'!AF9/10^3</f>
        <v>1.0119899999999999E-2</v>
      </c>
      <c r="Q10" s="695">
        <f>$B$58*'תמהיל יצור'!AK9/10^3</f>
        <v>0.43413223140495871</v>
      </c>
      <c r="R10" s="696">
        <f>$B$60*'תמהיל יצור'!AL9/10^3</f>
        <v>0.8703367687933885</v>
      </c>
      <c r="S10" s="509">
        <f t="shared" si="0"/>
        <v>0.79031452573014571</v>
      </c>
    </row>
    <row r="11" spans="1:40">
      <c r="A11" s="706">
        <f t="shared" si="1"/>
        <v>2026</v>
      </c>
      <c r="B11" s="695">
        <f>$B$58*'תמהיל יצור'!H10/1000</f>
        <v>0.61537190082644622</v>
      </c>
      <c r="C11" s="696">
        <f>$B$60*'תמהיל יצור'!I10/1000</f>
        <v>0.87337658523940487</v>
      </c>
      <c r="D11" s="514">
        <f>$B$58*'תמהיל יצור'!L10/10^3</f>
        <v>0.43413223140495871</v>
      </c>
      <c r="E11" s="696">
        <f>$B$60*'תמהיל יצור'!M10/10^3</f>
        <v>0.96882947780138828</v>
      </c>
      <c r="F11" s="514">
        <f>$B$58*('תמהיל יצור'!P10+'תמהיל יצור'!Q10)/10^3</f>
        <v>2.205E-2</v>
      </c>
      <c r="G11" s="514">
        <f>$B$59*'תמהיל יצור'!R10/10^3</f>
        <v>0.150499173553719</v>
      </c>
      <c r="H11" s="696">
        <f>$B$60*'תמהיל יצור'!S10/10^3</f>
        <v>1.0029450728427107</v>
      </c>
      <c r="I11" s="514">
        <f>$B$58*('תמהיל יצור'!V10+'תמהיל יצור'!W10)/10^3</f>
        <v>1.2054705882352941E-2</v>
      </c>
      <c r="J11" s="514">
        <f>$B$60*'תמהיל יצור'!X10/10^3</f>
        <v>1.0080016412432939</v>
      </c>
      <c r="K11" s="514">
        <f>$B$60*'תמהיל יצור'!Y10/10^3</f>
        <v>0.16288219999999998</v>
      </c>
      <c r="L11" s="514">
        <f>$B$60*'תמהיל יצור'!Z10/10^3</f>
        <v>2.0239799999999999E-2</v>
      </c>
      <c r="M11" s="697">
        <f>$B$58*'תמהיל יצור'!AC10/10^3</f>
        <v>0</v>
      </c>
      <c r="N11" s="514">
        <f>$B$60*'תמהיל יצור'!AD10/10^3</f>
        <v>1.0143504530079999</v>
      </c>
      <c r="O11" s="514">
        <f>$B$60*'תמהיל יצור'!AE10/10^3</f>
        <v>0.16288219999999998</v>
      </c>
      <c r="P11" s="514">
        <f>$B$60*'תמהיל יצור'!AF10/10^3</f>
        <v>2.0239799999999999E-2</v>
      </c>
      <c r="Q11" s="695">
        <f>$B$58*'תמהיל יצור'!AK10/10^3</f>
        <v>0.43413223140495871</v>
      </c>
      <c r="R11" s="696">
        <f>$B$60*'תמהיל יצור'!AL10/10^3</f>
        <v>0.87248111951338847</v>
      </c>
      <c r="S11" s="509">
        <f t="shared" si="0"/>
        <v>0.75991781320206331</v>
      </c>
    </row>
    <row r="12" spans="1:40">
      <c r="A12" s="706">
        <f t="shared" si="1"/>
        <v>2027</v>
      </c>
      <c r="B12" s="695">
        <f>$B$58*'תמהיל יצור'!H11/1000</f>
        <v>0.61537190082644622</v>
      </c>
      <c r="C12" s="696">
        <f>$B$60*'תמהיל יצור'!I11/1000</f>
        <v>0.89157266090465281</v>
      </c>
      <c r="D12" s="514">
        <f>$B$58*'תמהיל יצור'!L11/10^3</f>
        <v>0.43413223140495871</v>
      </c>
      <c r="E12" s="696">
        <f>$B$60*'תמהיל יצור'!M11/10^3</f>
        <v>0.98702555346663612</v>
      </c>
      <c r="F12" s="514">
        <f>$B$58*('תמהיל יצור'!P11+'תמהיל יצור'!Q11)/10^3</f>
        <v>2.205E-2</v>
      </c>
      <c r="G12" s="514">
        <f>$B$59*'תמהיל יצור'!R11/10^3</f>
        <v>0.150499173553719</v>
      </c>
      <c r="H12" s="696">
        <f>$B$60*'תמהיל יצור'!S11/10^3</f>
        <v>1.0211411485079585</v>
      </c>
      <c r="I12" s="514">
        <f>$B$58*('תמהיל יצור'!V11+'תמהיל יצור'!W11)/10^3</f>
        <v>1.2054705882352941E-2</v>
      </c>
      <c r="J12" s="514">
        <f>$B$60*'תמהיל יצור'!X11/10^3</f>
        <v>1.0261977169085417</v>
      </c>
      <c r="K12" s="514">
        <f>$B$60*'תמהיל יצור'!Y11/10^3</f>
        <v>0.16288219999999998</v>
      </c>
      <c r="L12" s="514">
        <f>$B$60*'תמהיל יצור'!Z11/10^3</f>
        <v>2.0239799999999999E-2</v>
      </c>
      <c r="M12" s="697">
        <f>$B$58*'תמהיל יצור'!AC11/10^3</f>
        <v>0</v>
      </c>
      <c r="N12" s="514">
        <f>$B$60*'תמהיל יצור'!AD11/10^3</f>
        <v>1.0325465286732476</v>
      </c>
      <c r="O12" s="514">
        <f>$B$60*'תמהיל יצור'!AE11/10^3</f>
        <v>0.16288219999999998</v>
      </c>
      <c r="P12" s="514">
        <f>$B$60*'תמהיל יצור'!AF11/10^3</f>
        <v>2.0239799999999999E-2</v>
      </c>
      <c r="Q12" s="695">
        <f>$B$58*'תמהיל יצור'!AK11/10^3</f>
        <v>0.43413223140495871</v>
      </c>
      <c r="R12" s="696">
        <f>$B$60*'תמהיל יצור'!AL11/10^3</f>
        <v>0.87394010893889229</v>
      </c>
      <c r="S12" s="509">
        <f t="shared" si="0"/>
        <v>0.73069020500198378</v>
      </c>
    </row>
    <row r="13" spans="1:40">
      <c r="A13" s="706">
        <f t="shared" si="1"/>
        <v>2028</v>
      </c>
      <c r="B13" s="695">
        <f>$B$58*'תמהיל יצור'!H12/1000</f>
        <v>0.61537190082644622</v>
      </c>
      <c r="C13" s="696">
        <f>$B$60*'תמהיל יצור'!I12/1000</f>
        <v>0.90987836723758142</v>
      </c>
      <c r="D13" s="514">
        <f>$B$58*'תמהיל יצור'!L12/10^3</f>
        <v>0.43413223140495871</v>
      </c>
      <c r="E13" s="696">
        <f>$B$60*'תמהיל יצור'!M12/10^3</f>
        <v>1.0053312597995647</v>
      </c>
      <c r="F13" s="514">
        <f>$B$58*('תמהיל יצור'!P12+'תמהיל יצור'!Q12)/10^3</f>
        <v>2.205E-2</v>
      </c>
      <c r="G13" s="514">
        <f>$B$59*'תמהיל יצור'!R12/10^3</f>
        <v>0.150499173553719</v>
      </c>
      <c r="H13" s="696">
        <f>$B$60*'תמהיל יצור'!S12/10^3</f>
        <v>1.0394468548408873</v>
      </c>
      <c r="I13" s="514">
        <f>$B$58*('תמהיל יצור'!V12+'תמהיל יצור'!W12)/10^3</f>
        <v>1.7819999999999999E-2</v>
      </c>
      <c r="J13" s="514">
        <f>$B$60*'תמהיל יצור'!X12/10^3</f>
        <v>0.94990603500617632</v>
      </c>
      <c r="K13" s="514">
        <f>$B$60*'תמהיל יצור'!Y12/10^3</f>
        <v>0.24432330000000005</v>
      </c>
      <c r="L13" s="514">
        <f>$B$60*'תמהיל יצור'!Z12/10^3</f>
        <v>3.0359699999999996E-2</v>
      </c>
      <c r="M13" s="697">
        <f>$B$58*'תמהיל יצור'!AC12/10^3</f>
        <v>0</v>
      </c>
      <c r="N13" s="514">
        <f>$B$60*'תמהיל יצור'!AD12/10^3</f>
        <v>0.9592912350061763</v>
      </c>
      <c r="O13" s="514">
        <f>$B$60*'תמהיל יצור'!AE12/10^3</f>
        <v>0.24432330000000005</v>
      </c>
      <c r="P13" s="514">
        <f>$B$60*'תמהיל יצור'!AF12/10^3</f>
        <v>3.0359699999999996E-2</v>
      </c>
      <c r="Q13" s="695">
        <f>$B$58*'תמהיל יצור'!AK12/10^3</f>
        <v>0.43413223140495871</v>
      </c>
      <c r="R13" s="696">
        <f>$B$60*'תמהיל יצור'!AL12/10^3</f>
        <v>0.87467516432832271</v>
      </c>
      <c r="S13" s="509">
        <f t="shared" si="0"/>
        <v>0.70258673557883045</v>
      </c>
    </row>
    <row r="14" spans="1:40">
      <c r="A14" s="706">
        <f t="shared" si="1"/>
        <v>2029</v>
      </c>
      <c r="B14" s="695">
        <f>$B$58*'תמהיל יצור'!H13/1000</f>
        <v>0.61537190082644622</v>
      </c>
      <c r="C14" s="696">
        <f>$B$60*'תמהיל יצור'!I13/1000</f>
        <v>0.92828635935508519</v>
      </c>
      <c r="D14" s="514">
        <f>$B$58*'תמהיל יצור'!L13/10^3</f>
        <v>0.43413223140495871</v>
      </c>
      <c r="E14" s="696">
        <f>$B$60*'תמהיל יצור'!M13/10^3</f>
        <v>1.0237392519170685</v>
      </c>
      <c r="F14" s="514">
        <f>$B$58*('תמהיל יצור'!P13+'תמהיל יצור'!Q13)/10^3</f>
        <v>2.205E-2</v>
      </c>
      <c r="G14" s="514">
        <f>$B$59*'תמהיל יצור'!R13/10^3</f>
        <v>0.150499173553719</v>
      </c>
      <c r="H14" s="696">
        <f>$B$60*'תמהיל יצור'!S13/10^3</f>
        <v>1.0578548469583908</v>
      </c>
      <c r="I14" s="514">
        <f>$B$58*('תמהיל יצור'!V13+'תמהיל יצור'!W13)/10^3</f>
        <v>1.7819999999999999E-2</v>
      </c>
      <c r="J14" s="514">
        <f>$B$60*'תמהיל יצור'!X13/10^3</f>
        <v>0.96831402712368009</v>
      </c>
      <c r="K14" s="514">
        <f>$B$60*'תמהיל יצור'!Y13/10^3</f>
        <v>0.24432330000000005</v>
      </c>
      <c r="L14" s="514">
        <f>$B$60*'תמהיל יצור'!Z13/10^3</f>
        <v>3.0359699999999996E-2</v>
      </c>
      <c r="M14" s="697">
        <f>$B$58*'תמהיל יצור'!AC13/10^3</f>
        <v>0</v>
      </c>
      <c r="N14" s="514">
        <f>$B$60*'תמהיל יצור'!AD13/10^3</f>
        <v>0.97769922712367996</v>
      </c>
      <c r="O14" s="514">
        <f>$B$60*'תמהיל יצור'!AE13/10^3</f>
        <v>0.24432330000000005</v>
      </c>
      <c r="P14" s="514">
        <f>$B$60*'תמהיל יצור'!AF13/10^3</f>
        <v>3.0359699999999996E-2</v>
      </c>
      <c r="Q14" s="695">
        <f>$B$58*'תמהיל יצור'!AK13/10^3</f>
        <v>0.43413223140495871</v>
      </c>
      <c r="R14" s="696">
        <f>$B$60*'תמהיל יצור'!AL13/10^3</f>
        <v>0.87464612964044008</v>
      </c>
      <c r="S14" s="509">
        <f t="shared" si="0"/>
        <v>0.67556416882579851</v>
      </c>
    </row>
    <row r="15" spans="1:40">
      <c r="A15" s="706">
        <f t="shared" si="1"/>
        <v>2030</v>
      </c>
      <c r="B15" s="695">
        <f>$B$58*'תמהיל יצור'!H14/1000</f>
        <v>0.61537190082644622</v>
      </c>
      <c r="C15" s="696">
        <f>$B$60*'תמהיל יצור'!I14/1000</f>
        <v>0.94678881582961461</v>
      </c>
      <c r="D15" s="514">
        <f>$B$58*'תמהיל יצור'!L14/10^3</f>
        <v>0.43413223140495871</v>
      </c>
      <c r="E15" s="696">
        <f>$B$60*'תמהיל יצור'!M14/10^3</f>
        <v>1.042241708391598</v>
      </c>
      <c r="F15" s="514">
        <f>$B$58*('תמהיל יצור'!P14+'תמהיל יצור'!Q14)/10^3</f>
        <v>2.205E-2</v>
      </c>
      <c r="G15" s="514">
        <f>$B$59*'תמהיל יצור'!R14/10^3</f>
        <v>0.150499173553719</v>
      </c>
      <c r="H15" s="696">
        <f>$B$60*'תמהיל יצור'!S14/10^3</f>
        <v>1.0763573034329204</v>
      </c>
      <c r="I15" s="514">
        <f>$B$58*('תמהיל יצור'!V14+'תמהיל יצור'!W14)/10^3</f>
        <v>1.7819999999999999E-2</v>
      </c>
      <c r="J15" s="514">
        <f>$B$60*'תמהיל יצור'!X14/10^3</f>
        <v>0.98681648359820973</v>
      </c>
      <c r="K15" s="514">
        <f>$B$60*'תמהיל יצור'!Y14/10^3</f>
        <v>0.24432330000000005</v>
      </c>
      <c r="L15" s="514">
        <f>$B$60*'תמהיל יצור'!Z14/10^3</f>
        <v>3.0359699999999996E-2</v>
      </c>
      <c r="M15" s="697">
        <f>$B$58*'תמהיל יצור'!AC14/10^3</f>
        <v>0</v>
      </c>
      <c r="N15" s="514">
        <f>$B$60*'תמהיל יצור'!AD14/10^3</f>
        <v>0.9962016835982096</v>
      </c>
      <c r="O15" s="514">
        <f>$B$60*'תמהיל יצור'!AE14/10^3</f>
        <v>0.24432330000000005</v>
      </c>
      <c r="P15" s="514">
        <f>$B$60*'תמהיל יצור'!AF14/10^3</f>
        <v>3.0359699999999996E-2</v>
      </c>
      <c r="Q15" s="695">
        <f>$B$58*'תמהיל יצור'!AK14/10^3</f>
        <v>0.43413223140495871</v>
      </c>
      <c r="R15" s="696">
        <f>$B$60*'תמהיל יצור'!AL14/10^3</f>
        <v>0.91974679912911994</v>
      </c>
      <c r="S15" s="509">
        <f t="shared" si="0"/>
        <v>0.6495809315632679</v>
      </c>
    </row>
    <row r="16" spans="1:40">
      <c r="A16" s="706">
        <f t="shared" si="1"/>
        <v>2031</v>
      </c>
      <c r="B16" s="695">
        <f>$B$58*'תמהיל יצור'!H15/1000</f>
        <v>0.61537190082644622</v>
      </c>
      <c r="C16" s="696">
        <f>$B$60*'תמהיל יצור'!I15/1000</f>
        <v>0.98110270228676633</v>
      </c>
      <c r="D16" s="514">
        <f>$B$58*'תמהיל יצור'!L15/10^3</f>
        <v>0.43413223140495871</v>
      </c>
      <c r="E16" s="696">
        <f>$B$60*'תמהיל יצור'!M15/10^3</f>
        <v>1.0765555948487497</v>
      </c>
      <c r="F16" s="514">
        <f>$B$58*('תמהיל יצור'!P15+'תמהיל יצור'!Q15)/10^3</f>
        <v>2.205E-2</v>
      </c>
      <c r="G16" s="514">
        <f>$B$59*'תמהיל יצור'!R15/10^3</f>
        <v>0.150499173553719</v>
      </c>
      <c r="H16" s="696">
        <f>$B$60*'תמהיל יצור'!S15/10^3</f>
        <v>1.1106711898900719</v>
      </c>
      <c r="I16" s="514">
        <f>$B$58*('תמהיל יצור'!V15+'תמהיל יצור'!W15)/10^3</f>
        <v>1.7819999999999999E-2</v>
      </c>
      <c r="J16" s="514">
        <f>$B$60*'תמהיל יצור'!X15/10^3</f>
        <v>1.0211303700553616</v>
      </c>
      <c r="K16" s="514">
        <f>$B$60*'תמהיל יצור'!Y15/10^3</f>
        <v>0.24432330000000005</v>
      </c>
      <c r="L16" s="514">
        <f>$B$60*'תמהיל יצור'!Z15/10^3</f>
        <v>3.0359699999999996E-2</v>
      </c>
      <c r="M16" s="697">
        <f>$B$58*'תמהיל יצור'!AC15/10^3</f>
        <v>0</v>
      </c>
      <c r="N16" s="514">
        <f>$B$60*'תמהיל יצור'!AD15/10^3</f>
        <v>1.0305155700553614</v>
      </c>
      <c r="O16" s="514">
        <f>$B$60*'תמהיל יצור'!AE15/10^3</f>
        <v>0.24432330000000005</v>
      </c>
      <c r="P16" s="514">
        <f>$B$60*'תמהיל יצור'!AF15/10^3</f>
        <v>3.0359699999999996E-2</v>
      </c>
      <c r="Q16" s="695">
        <f>$B$58*'תמהיל יצור'!AK15/10^3</f>
        <v>0.43413223140495871</v>
      </c>
      <c r="R16" s="696">
        <f>$B$60*'תמהיל יצור'!AL15/10^3</f>
        <v>0.95075332303618476</v>
      </c>
      <c r="S16" s="509">
        <f t="shared" si="0"/>
        <v>0.62459704958006512</v>
      </c>
    </row>
    <row r="17" spans="1:21">
      <c r="A17" s="706">
        <f t="shared" si="1"/>
        <v>2032</v>
      </c>
      <c r="B17" s="695">
        <f>$B$58*'תמהיל יצור'!H16/1000</f>
        <v>0.61537190082644622</v>
      </c>
      <c r="C17" s="696">
        <f>$B$60*'תמהיל יצור'!I16/1000</f>
        <v>1.0163430636782609</v>
      </c>
      <c r="D17" s="514">
        <f>$B$58*'תמהיל יצור'!L16/10^3</f>
        <v>0.43413223140495871</v>
      </c>
      <c r="E17" s="696">
        <f>$B$60*'תמהיל יצור'!M16/10^3</f>
        <v>1.1117959562402444</v>
      </c>
      <c r="F17" s="514">
        <f>$B$58*('תמהיל יצור'!P16+'תמהיל יצור'!Q16)/10^3</f>
        <v>2.205E-2</v>
      </c>
      <c r="G17" s="514">
        <f>$B$59*'תמהיל יצור'!R16/10^3</f>
        <v>0.150499173553719</v>
      </c>
      <c r="H17" s="696">
        <f>$B$60*'תמהיל יצור'!S16/10^3</f>
        <v>1.1459115512815667</v>
      </c>
      <c r="I17" s="514">
        <f>$B$58*('תמהיל יצור'!V16+'תמהיל יצור'!W16)/10^3</f>
        <v>1.7819999999999999E-2</v>
      </c>
      <c r="J17" s="514">
        <f>$B$60*'תמהיל יצור'!X16/10^3</f>
        <v>1.056370731446856</v>
      </c>
      <c r="K17" s="514">
        <f>$B$60*'תמהיל יצור'!Y16/10^3</f>
        <v>0.24432330000000005</v>
      </c>
      <c r="L17" s="514">
        <f>$B$60*'תמהיל יצור'!Z16/10^3</f>
        <v>3.0359699999999996E-2</v>
      </c>
      <c r="M17" s="697">
        <f>$B$58*'תמהיל יצור'!AC16/10^3</f>
        <v>0</v>
      </c>
      <c r="N17" s="514">
        <f>$B$60*'תמהיל יצור'!AD16/10^3</f>
        <v>1.0657559314468561</v>
      </c>
      <c r="O17" s="514">
        <f>$B$60*'תמהיל יצור'!AE16/10^3</f>
        <v>0.24432330000000005</v>
      </c>
      <c r="P17" s="514">
        <f>$B$60*'תמהיל יצור'!AF16/10^3</f>
        <v>3.0359699999999996E-2</v>
      </c>
      <c r="Q17" s="695">
        <f>$B$58*'תמהיל יצור'!AK16/10^3</f>
        <v>0.43413223140495871</v>
      </c>
      <c r="R17" s="696">
        <f>$B$60*'תמהיל יצור'!AL16/10^3</f>
        <v>0.98259702308873997</v>
      </c>
      <c r="S17" s="509">
        <f t="shared" si="0"/>
        <v>0.600574086134678</v>
      </c>
    </row>
    <row r="18" spans="1:21">
      <c r="A18" s="706">
        <f t="shared" si="1"/>
        <v>2033</v>
      </c>
      <c r="B18" s="695">
        <f>$B$58*'תמהיל יצור'!H17/1000</f>
        <v>0.61537190082644622</v>
      </c>
      <c r="C18" s="696">
        <f>$B$60*'תמהיל יצור'!I17/1000</f>
        <v>1.0525349148273258</v>
      </c>
      <c r="D18" s="514">
        <f>$B$58*'תמהיל יצור'!L17/10^3</f>
        <v>0.43413223140495871</v>
      </c>
      <c r="E18" s="696">
        <f>$B$60*'תמהיל יצור'!M17/10^3</f>
        <v>1.1479878073893093</v>
      </c>
      <c r="F18" s="514">
        <f>$B$58*('תמהיל יצור'!P17+'תמהיל יצור'!Q17)/10^3</f>
        <v>2.205E-2</v>
      </c>
      <c r="G18" s="514">
        <f>$B$59*'תמהיל יצור'!R17/10^3</f>
        <v>0.150499173553719</v>
      </c>
      <c r="H18" s="696">
        <f>$B$60*'תמהיל יצור'!S17/10^3</f>
        <v>1.1821034024306316</v>
      </c>
      <c r="I18" s="514">
        <f>$B$58*('תמהיל יצור'!V17+'תמהיל יצור'!W17)/10^3</f>
        <v>1.7819999999999999E-2</v>
      </c>
      <c r="J18" s="514">
        <f>$B$60*'תמהיל יצור'!X17/10^3</f>
        <v>1.0925625825959209</v>
      </c>
      <c r="K18" s="514">
        <f>$B$60*'תמהיל יצור'!Y17/10^3</f>
        <v>0.24432330000000005</v>
      </c>
      <c r="L18" s="514">
        <f>$B$60*'תמהיל יצור'!Z17/10^3</f>
        <v>3.0359699999999996E-2</v>
      </c>
      <c r="M18" s="697">
        <f>$B$58*'תמהיל יצור'!AC17/10^3</f>
        <v>0</v>
      </c>
      <c r="N18" s="514">
        <f>$B$60*'תמהיל יצור'!AD17/10^3</f>
        <v>1.101947782595921</v>
      </c>
      <c r="O18" s="514">
        <f>$B$60*'תמהיל יצור'!AE17/10^3</f>
        <v>0.24432330000000005</v>
      </c>
      <c r="P18" s="514">
        <f>$B$60*'תמהיל יצור'!AF17/10^3</f>
        <v>3.0359699999999996E-2</v>
      </c>
      <c r="Q18" s="695">
        <f>$B$58*'תמהיל יצור'!AK17/10^3</f>
        <v>0.43413223140495871</v>
      </c>
      <c r="R18" s="696">
        <f>$B$60*'תמהיל יצור'!AL17/10^3</f>
        <v>1.0153005030427145</v>
      </c>
      <c r="S18" s="509">
        <f t="shared" si="0"/>
        <v>0.57747508282180582</v>
      </c>
    </row>
    <row r="19" spans="1:21">
      <c r="A19" s="706">
        <f t="shared" si="1"/>
        <v>2034</v>
      </c>
      <c r="B19" s="695">
        <f>$B$58*'תמהיל יצור'!H18/1000</f>
        <v>0.61537190082644622</v>
      </c>
      <c r="C19" s="696">
        <f>$B$60*'תמהיל יצור'!I18/1000</f>
        <v>1.0897039459574156</v>
      </c>
      <c r="D19" s="514">
        <f>$B$58*'תמהיל יצור'!L18/10^3</f>
        <v>0.43413223140495871</v>
      </c>
      <c r="E19" s="696">
        <f>$B$60*'תמהיל יצור'!M18/10^3</f>
        <v>1.1851568385193989</v>
      </c>
      <c r="F19" s="514">
        <f>$B$58*('תמהיל יצור'!P18+'תמהיל יצור'!Q18)/10^3</f>
        <v>2.205E-2</v>
      </c>
      <c r="G19" s="514">
        <f>$B$59*'תמהיל יצור'!R18/10^3</f>
        <v>0.150499173553719</v>
      </c>
      <c r="H19" s="696">
        <f>$B$60*'תמהיל יצור'!S18/10^3</f>
        <v>1.2192724335607212</v>
      </c>
      <c r="I19" s="514">
        <f>$B$58*('תמהיל יצור'!V18+'תמהיל יצור'!W18)/10^3</f>
        <v>1.7819999999999999E-2</v>
      </c>
      <c r="J19" s="514">
        <f>$B$60*'תמהיל יצור'!X18/10^3</f>
        <v>1.1297316137260107</v>
      </c>
      <c r="K19" s="514">
        <f>$B$60*'תמהיל יצור'!Y18/10^3</f>
        <v>0.24432330000000005</v>
      </c>
      <c r="L19" s="514">
        <f>$B$60*'תמהיל יצור'!Z18/10^3</f>
        <v>3.0359699999999996E-2</v>
      </c>
      <c r="M19" s="697">
        <f>$B$58*'תמהיל יצור'!AC18/10^3</f>
        <v>0</v>
      </c>
      <c r="N19" s="514">
        <f>$B$60*'תמהיל יצור'!AD18/10^3</f>
        <v>1.1391168137260106</v>
      </c>
      <c r="O19" s="514">
        <f>$B$60*'תמהיל יצור'!AE18/10^3</f>
        <v>0.24432330000000005</v>
      </c>
      <c r="P19" s="514">
        <f>$B$60*'תמהיל יצור'!AF18/10^3</f>
        <v>3.0359699999999996E-2</v>
      </c>
      <c r="Q19" s="695">
        <f>$B$58*'תמהיל יצור'!AK18/10^3</f>
        <v>0.43413223140495871</v>
      </c>
      <c r="R19" s="696">
        <f>$B$60*'תמהיל יצור'!AL18/10^3</f>
        <v>1.0488869769554461</v>
      </c>
      <c r="S19" s="509">
        <f t="shared" si="0"/>
        <v>0.55526450271327477</v>
      </c>
    </row>
    <row r="20" spans="1:21">
      <c r="A20" s="706">
        <f t="shared" si="1"/>
        <v>2035</v>
      </c>
      <c r="B20" s="695">
        <f>$B$58*'תמהיל יצור'!H19/1000</f>
        <v>0.61537190082644622</v>
      </c>
      <c r="C20" s="696">
        <f>$B$60*'תמהיל יצור'!I19/1000</f>
        <v>1.1278765409280176</v>
      </c>
      <c r="D20" s="514">
        <f>$B$58*'תמהיל יצור'!L19/10^3</f>
        <v>0.43413223140495871</v>
      </c>
      <c r="E20" s="696">
        <f>$B$60*'תמהיל יצור'!M19/10^3</f>
        <v>1.2233294334900011</v>
      </c>
      <c r="F20" s="514">
        <f>$B$58*('תמהיל יצור'!P19+'תמהיל יצור'!Q19)/10^3</f>
        <v>2.205E-2</v>
      </c>
      <c r="G20" s="514">
        <f>$B$59*'תמהיל יצור'!R19/10^3</f>
        <v>0.150499173553719</v>
      </c>
      <c r="H20" s="696">
        <f>$B$60*'תמהיל יצור'!S19/10^3</f>
        <v>1.2574450285313232</v>
      </c>
      <c r="I20" s="514">
        <f>$B$58*('תמהיל יצור'!V19+'תמהיל יצור'!W19)/10^3</f>
        <v>1.7819999999999999E-2</v>
      </c>
      <c r="J20" s="514">
        <f>$B$60*'תמהיל יצור'!X19/10^3</f>
        <v>1.1679042086966129</v>
      </c>
      <c r="K20" s="514">
        <f>$B$60*'תמהיל יצור'!Y19/10^3</f>
        <v>0.24432330000000005</v>
      </c>
      <c r="L20" s="514">
        <f>$B$60*'תמהיל יצור'!Z19/10^3</f>
        <v>3.0359699999999996E-2</v>
      </c>
      <c r="M20" s="697">
        <f>$B$58*'תמהיל יצור'!AC19/10^3</f>
        <v>0</v>
      </c>
      <c r="N20" s="514">
        <f>$B$60*'תמהיל יצור'!AD19/10^3</f>
        <v>1.1772894086966128</v>
      </c>
      <c r="O20" s="514">
        <f>$B$60*'תמהיל יצור'!AE19/10^3</f>
        <v>0.24432330000000005</v>
      </c>
      <c r="P20" s="514">
        <f>$B$60*'תמהיל יצור'!AF19/10^3</f>
        <v>3.0359699999999996E-2</v>
      </c>
      <c r="Q20" s="695">
        <f>$B$58*'תמהיל יצור'!AK19/10^3</f>
        <v>0.43413223140495871</v>
      </c>
      <c r="R20" s="696">
        <f>$B$60*'תמהיל יצור'!AL19/10^3</f>
        <v>1.0833802856638215</v>
      </c>
      <c r="S20" s="509">
        <f t="shared" si="0"/>
        <v>0.53390817568584104</v>
      </c>
    </row>
    <row r="21" spans="1:21">
      <c r="A21" s="706">
        <f t="shared" si="1"/>
        <v>2036</v>
      </c>
      <c r="B21" s="695">
        <f>$B$58*'תמהיל יצור'!H20/1000</f>
        <v>0.61537190082644622</v>
      </c>
      <c r="C21" s="696">
        <f>$B$60*'תמהיל יצור'!I20/1000</f>
        <v>1.1670797959628263</v>
      </c>
      <c r="D21" s="514">
        <f>$B$58*'תמהיל יצור'!L20/10^3</f>
        <v>0.43413223140495871</v>
      </c>
      <c r="E21" s="696">
        <f>$B$60*'תמהיל יצור'!M20/10^3</f>
        <v>1.2625326885248094</v>
      </c>
      <c r="F21" s="514">
        <f>$B$58*('תמהיל יצור'!P20+'תמהיל יצור'!Q20)/10^3</f>
        <v>2.205E-2</v>
      </c>
      <c r="G21" s="514">
        <f>$B$59*'תמהיל יצור'!R20/10^3</f>
        <v>0.150499173553719</v>
      </c>
      <c r="H21" s="696">
        <f>$B$60*'תמהיל יצור'!S20/10^3</f>
        <v>1.2966482835661317</v>
      </c>
      <c r="I21" s="514">
        <f>$B$58*('תמהיל יצור'!V20+'תמהיל יצור'!W20)/10^3</f>
        <v>1.7819999999999999E-2</v>
      </c>
      <c r="J21" s="514">
        <f>$B$60*'תמהיל יצור'!X20/10^3</f>
        <v>1.2071074637314214</v>
      </c>
      <c r="K21" s="514">
        <f>$B$60*'תמהיל יצור'!Y20/10^3</f>
        <v>0.24432330000000005</v>
      </c>
      <c r="L21" s="514">
        <f>$B$60*'תמהיל יצור'!Z20/10^3</f>
        <v>3.0359699999999996E-2</v>
      </c>
      <c r="M21" s="697">
        <f>$B$58*'תמהיל יצור'!AC20/10^3</f>
        <v>0</v>
      </c>
      <c r="N21" s="514">
        <f>$B$60*'תמהיל יצור'!AD20/10^3</f>
        <v>1.2164926637314213</v>
      </c>
      <c r="O21" s="514">
        <f>$B$60*'תמהיל יצור'!AE20/10^3</f>
        <v>0.24432330000000005</v>
      </c>
      <c r="P21" s="514">
        <f>$B$60*'תמהיל יצור'!AF20/10^3</f>
        <v>3.0359699999999996E-2</v>
      </c>
      <c r="Q21" s="695">
        <f>$B$58*'תמהיל יצור'!AK20/10^3</f>
        <v>0.43413223140495871</v>
      </c>
      <c r="R21" s="696">
        <f>$B$60*'תמהיל יצור'!AL20/10^3</f>
        <v>1.118804913707323</v>
      </c>
      <c r="S21" s="509">
        <f t="shared" si="0"/>
        <v>0.51337324585177024</v>
      </c>
    </row>
    <row r="22" spans="1:21">
      <c r="A22" s="706">
        <f t="shared" si="1"/>
        <v>2037</v>
      </c>
      <c r="B22" s="695">
        <f>$B$58*'תמהיל יצור'!H21/1000</f>
        <v>0.61537190082644622</v>
      </c>
      <c r="C22" s="696">
        <f>$B$60*'תמהיל יצור'!I21/1000</f>
        <v>1.2073415388835744</v>
      </c>
      <c r="D22" s="514">
        <f>$B$58*'תמהיל יצור'!L21/10^3</f>
        <v>0.43413223140495871</v>
      </c>
      <c r="E22" s="696">
        <f>$B$60*'תמהיל יצור'!M21/10^3</f>
        <v>1.302794431445558</v>
      </c>
      <c r="F22" s="514">
        <f>$B$58*('תמהיל יצור'!P21+'תמהיל יצור'!Q21)/10^3</f>
        <v>2.205E-2</v>
      </c>
      <c r="G22" s="514">
        <f>$B$59*'תמהיל יצור'!R21/10^3</f>
        <v>0.150499173553719</v>
      </c>
      <c r="H22" s="696">
        <f>$B$60*'תמהיל יצור'!S21/10^3</f>
        <v>1.3369100264868801</v>
      </c>
      <c r="I22" s="514">
        <f>$B$58*('תמהיל יצור'!V21+'תמהיל יצור'!W21)/10^3</f>
        <v>1.7819999999999999E-2</v>
      </c>
      <c r="J22" s="514">
        <f>$B$60*'תמהיל יצור'!X21/10^3</f>
        <v>1.2473692066521695</v>
      </c>
      <c r="K22" s="514">
        <f>$B$60*'תמהיל יצור'!Y21/10^3</f>
        <v>0.24432330000000005</v>
      </c>
      <c r="L22" s="514">
        <f>$B$60*'תמהיל יצור'!Z21/10^3</f>
        <v>3.0359699999999996E-2</v>
      </c>
      <c r="M22" s="697">
        <f>$B$58*'תמהיל יצור'!AC21/10^3</f>
        <v>0</v>
      </c>
      <c r="N22" s="514">
        <f>$B$60*'תמהיל יצור'!AD21/10^3</f>
        <v>1.2567544066521696</v>
      </c>
      <c r="O22" s="514">
        <f>$B$60*'תמהיל יצור'!AE21/10^3</f>
        <v>0.24432330000000005</v>
      </c>
      <c r="P22" s="514">
        <f>$B$60*'תמהיל יצור'!AF21/10^3</f>
        <v>3.0359699999999996E-2</v>
      </c>
      <c r="Q22" s="695">
        <f>$B$58*'תמהיל יצור'!AK21/10^3</f>
        <v>0.43413223140495871</v>
      </c>
      <c r="R22" s="696">
        <f>$B$60*'תמהיל יצור'!AL21/10^3</f>
        <v>1.1551860067079993</v>
      </c>
      <c r="S22" s="509">
        <f t="shared" si="0"/>
        <v>0.49362812101131748</v>
      </c>
    </row>
    <row r="23" spans="1:21">
      <c r="A23" s="706">
        <f t="shared" si="1"/>
        <v>2038</v>
      </c>
      <c r="B23" s="695">
        <f>$B$58*'תמהיל יצור'!H22/1000</f>
        <v>0.61537190082644622</v>
      </c>
      <c r="C23" s="696">
        <f>$B$60*'תמהיל יצור'!I22/1000</f>
        <v>1.2486903488631829</v>
      </c>
      <c r="D23" s="514">
        <f>$B$58*'תמהיל יצור'!L22/10^3</f>
        <v>0.43413223140495871</v>
      </c>
      <c r="E23" s="696">
        <f>$B$60*'תמהיל יצור'!M22/10^3</f>
        <v>1.3441432414251662</v>
      </c>
      <c r="F23" s="514">
        <f>$B$58*('תמהיל יצור'!P22+'תמהיל יצור'!Q22)/10^3</f>
        <v>2.205E-2</v>
      </c>
      <c r="G23" s="514">
        <f>$B$59*'תמהיל יצור'!R22/10^3</f>
        <v>0.150499173553719</v>
      </c>
      <c r="H23" s="696">
        <f>$B$60*'תמהיל יצור'!S22/10^3</f>
        <v>1.3782588364664887</v>
      </c>
      <c r="I23" s="514">
        <f>$B$58*('תמהיל יצור'!V22+'תמהיל יצור'!W22)/10^3</f>
        <v>1.7819999999999999E-2</v>
      </c>
      <c r="J23" s="514">
        <f>$B$60*'תמהיל יצור'!X22/10^3</f>
        <v>1.2887180166317782</v>
      </c>
      <c r="K23" s="514">
        <f>$B$60*'תמהיל יצור'!Y22/10^3</f>
        <v>0.24432330000000005</v>
      </c>
      <c r="L23" s="514">
        <f>$B$60*'תמהיל יצור'!Z22/10^3</f>
        <v>3.0359699999999996E-2</v>
      </c>
      <c r="M23" s="697">
        <f>$B$58*'תמהיל יצור'!AC22/10^3</f>
        <v>0</v>
      </c>
      <c r="N23" s="514">
        <f>$B$60*'תמהיל יצור'!AD22/10^3</f>
        <v>1.2981032166317781</v>
      </c>
      <c r="O23" s="514">
        <f>$B$60*'תמהיל יצור'!AE22/10^3</f>
        <v>0.24432330000000005</v>
      </c>
      <c r="P23" s="514">
        <f>$B$60*'תמהיל יצור'!AF22/10^3</f>
        <v>3.0359699999999996E-2</v>
      </c>
      <c r="Q23" s="695">
        <f>$B$58*'תמהיל יצור'!AK22/10^3</f>
        <v>0.43413223140495871</v>
      </c>
      <c r="R23" s="696">
        <f>$B$60*'תמהיל יצור'!AL22/10^3</f>
        <v>1.1925493892196939</v>
      </c>
      <c r="S23" s="509">
        <f t="shared" si="0"/>
        <v>0.47464242404934376</v>
      </c>
    </row>
    <row r="24" spans="1:21">
      <c r="A24" s="706">
        <f t="shared" si="1"/>
        <v>2039</v>
      </c>
      <c r="B24" s="695">
        <f>$B$58*'תמהיל יצור'!H23/1000</f>
        <v>0.61537190082644622</v>
      </c>
      <c r="C24" s="696">
        <f>$B$60*'תמהיל יצור'!I23/1000</f>
        <v>1.2911555767122409</v>
      </c>
      <c r="D24" s="514">
        <f>$B$58*'תמהיל יצור'!L23/10^3</f>
        <v>0.43413223140495871</v>
      </c>
      <c r="E24" s="696">
        <f>$B$60*'תמהיל יצור'!M23/10^3</f>
        <v>1.3866084692742242</v>
      </c>
      <c r="F24" s="514">
        <f>$B$58*('תמהיל יצור'!P23+'תמהיל יצור'!Q23)/10^3</f>
        <v>2.205E-2</v>
      </c>
      <c r="G24" s="514">
        <f>$B$59*'תמהיל יצור'!R23/10^3</f>
        <v>0.150499173553719</v>
      </c>
      <c r="H24" s="696">
        <f>$B$60*'תמהיל יצור'!S23/10^3</f>
        <v>1.4207240643155468</v>
      </c>
      <c r="I24" s="514">
        <f>$B$58*('תמהיל יצור'!V23+'תמהיל יצור'!W23)/10^3</f>
        <v>1.7819999999999999E-2</v>
      </c>
      <c r="J24" s="514">
        <f>$B$60*'תמהיל יצור'!X23/10^3</f>
        <v>1.331183244480836</v>
      </c>
      <c r="K24" s="514">
        <f>$B$60*'תמהיל יצור'!Y23/10^3</f>
        <v>0.24432330000000005</v>
      </c>
      <c r="L24" s="514">
        <f>$B$60*'תמהיל יצור'!Z23/10^3</f>
        <v>3.0359699999999996E-2</v>
      </c>
      <c r="M24" s="697">
        <f>$B$58*'תמהיל יצור'!AC23/10^3</f>
        <v>0</v>
      </c>
      <c r="N24" s="514">
        <f>$B$60*'תמהיל יצור'!AD23/10^3</f>
        <v>1.3405684444808359</v>
      </c>
      <c r="O24" s="514">
        <f>$B$60*'תמהיל יצור'!AE23/10^3</f>
        <v>0.24432330000000005</v>
      </c>
      <c r="P24" s="514">
        <f>$B$60*'תמהיל יצור'!AF23/10^3</f>
        <v>3.0359699999999996E-2</v>
      </c>
      <c r="Q24" s="695">
        <f>$B$58*'תמהיל יצור'!AK23/10^3</f>
        <v>0.43413223140495871</v>
      </c>
      <c r="R24" s="696">
        <f>$B$60*'תמהיל יצור'!AL23/10^3</f>
        <v>1.230921583059204</v>
      </c>
      <c r="S24" s="509">
        <f t="shared" si="0"/>
        <v>0.45638694620129205</v>
      </c>
    </row>
    <row r="25" spans="1:21">
      <c r="A25" s="706">
        <f t="shared" si="1"/>
        <v>2040</v>
      </c>
      <c r="B25" s="695">
        <f>$B$58*'תמהיל יצור'!H24/1000</f>
        <v>0.40723140495867766</v>
      </c>
      <c r="C25" s="696">
        <f>$B$60*'תמהיל יצור'!I24/1000</f>
        <v>1.444388026870248</v>
      </c>
      <c r="D25" s="514">
        <f>$B$58*'תמהיל יצור'!L24/10^3</f>
        <v>0.28729338842975205</v>
      </c>
      <c r="E25" s="696">
        <f>$B$60*'תמהיל יצור'!M24/10^3</f>
        <v>1.5075553822421488</v>
      </c>
      <c r="F25" s="514">
        <f>$B$58*('תמהיל יצור'!P24+'תמהיל יצור'!Q24)/10^3</f>
        <v>1.4591911764705883E-2</v>
      </c>
      <c r="G25" s="514">
        <f>$B$59*'תמהיל יצור'!R24/10^3</f>
        <v>6.5908483228001941E-2</v>
      </c>
      <c r="H25" s="696">
        <f>$B$60*'תמהיל יצור'!S24/10^3</f>
        <v>1.571074003413758</v>
      </c>
      <c r="I25" s="514">
        <f>$B$58*('תמהיל יצור'!V24+'תמהיל יצור'!W24)/10^3</f>
        <v>1.7819999999999999E-2</v>
      </c>
      <c r="J25" s="514">
        <f>$B$60*'תמהיל יצור'!X24/10^3</f>
        <v>1.3747950334818186</v>
      </c>
      <c r="K25" s="514">
        <f>$B$60*'תמהיל יצור'!Y24/10^3</f>
        <v>0.24432330000000005</v>
      </c>
      <c r="L25" s="514">
        <f>$B$60*'תמהיל יצור'!Z24/10^3</f>
        <v>3.0359699999999996E-2</v>
      </c>
      <c r="M25" s="697">
        <f>$B$58*'תמהיל יצור'!AC24/10^3</f>
        <v>0</v>
      </c>
      <c r="N25" s="514">
        <f>$B$60*'תמהיל יצור'!AD24/10^3</f>
        <v>1.3841802334818185</v>
      </c>
      <c r="O25" s="514">
        <f>$B$60*'תמהיל יצור'!AE24/10^3</f>
        <v>0.24432330000000005</v>
      </c>
      <c r="P25" s="514">
        <f>$B$60*'תמהיל יצור'!AF24/10^3</f>
        <v>3.0359699999999996E-2</v>
      </c>
      <c r="Q25" s="695">
        <f>$B$58*'תמהיל יצור'!AK24/10^3</f>
        <v>0.28729338842975205</v>
      </c>
      <c r="R25" s="696">
        <f>$B$60*'תמהיל יצור'!AL24/10^3</f>
        <v>1.347664950099323</v>
      </c>
      <c r="S25" s="509">
        <f t="shared" ref="S25:S30" si="2">1/((1+$S$3)^($A25-2019))</f>
        <v>0.43883360211662686</v>
      </c>
    </row>
    <row r="26" spans="1:21">
      <c r="A26" s="706">
        <f t="shared" si="1"/>
        <v>2041</v>
      </c>
      <c r="B26" s="695">
        <f>$B$58*'תמהיל יצור'!H25/1000</f>
        <v>0.40723140495867766</v>
      </c>
      <c r="C26" s="696">
        <f>$B$60*'תמהיל יצור'!I25/1000</f>
        <v>1.4891773341742569</v>
      </c>
      <c r="D26" s="514">
        <f>$B$58*'תמהיל יצור'!L25/10^3</f>
        <v>0.28729338842975205</v>
      </c>
      <c r="E26" s="696">
        <f>$B$60*'תמהיל יצור'!M25/10^3</f>
        <v>1.5523446895461577</v>
      </c>
      <c r="F26" s="514">
        <f>$B$58*('תמהיל יצור'!P25+'תמהיל יצור'!Q25)/10^3</f>
        <v>1.4591911764705883E-2</v>
      </c>
      <c r="G26" s="514">
        <f>$B$59*'תמהיל יצור'!R25/10^3</f>
        <v>6.5908483228001941E-2</v>
      </c>
      <c r="H26" s="696">
        <f>$B$60*'תמהיל יצור'!S25/10^3</f>
        <v>1.6158633107177669</v>
      </c>
      <c r="I26" s="514">
        <f>$B$58*('תמהיל יצור'!V25+'תמהיל יצור'!W25)/10^3</f>
        <v>1.1792647058823529E-2</v>
      </c>
      <c r="J26" s="514">
        <f>$B$60*'תמהיל יצור'!X25/10^3</f>
        <v>1.4227587466681801</v>
      </c>
      <c r="K26" s="514">
        <f>$B$60*'תמהיל יצור'!Y25/10^3</f>
        <v>0.24432330000000005</v>
      </c>
      <c r="L26" s="514">
        <f>$B$60*'תמהיל יצור'!Z25/10^3</f>
        <v>3.0359699999999996E-2</v>
      </c>
      <c r="M26" s="697">
        <f>$B$58*'תמהיל יצור'!AC25/10^3</f>
        <v>0</v>
      </c>
      <c r="N26" s="514">
        <f>$B$60*'תמהיל יצור'!AD25/10^3</f>
        <v>1.4289695407858274</v>
      </c>
      <c r="O26" s="514">
        <f>$B$60*'תמהיל יצור'!AE25/10^3</f>
        <v>0.24432330000000005</v>
      </c>
      <c r="P26" s="514">
        <f>$B$60*'תמהיל יצור'!AF25/10^3</f>
        <v>3.0359699999999996E-2</v>
      </c>
      <c r="Q26" s="695">
        <f>$B$58*'תמהיל יצור'!AK25/10^3</f>
        <v>0.28729338842975205</v>
      </c>
      <c r="R26" s="696">
        <f>$B$60*'תמהיל יצור'!AL25/10^3</f>
        <v>1.3881372157354757</v>
      </c>
      <c r="S26" s="509">
        <f t="shared" si="2"/>
        <v>0.42195538665060278</v>
      </c>
    </row>
    <row r="27" spans="1:21">
      <c r="A27" s="706">
        <f t="shared" si="1"/>
        <v>2042</v>
      </c>
      <c r="B27" s="695">
        <f>$B$58*'תמהיל יצור'!H26/1000</f>
        <v>0.40723140495867766</v>
      </c>
      <c r="C27" s="696">
        <f>$B$60*'תמהיל יצור'!I26/1000</f>
        <v>1.5351759527754738</v>
      </c>
      <c r="D27" s="514">
        <f>$B$58*'תמהיל יצור'!L26/10^3</f>
        <v>0.28729338842975205</v>
      </c>
      <c r="E27" s="696">
        <f>$B$60*'תמהיל יצור'!M26/10^3</f>
        <v>1.5983433081473748</v>
      </c>
      <c r="F27" s="514">
        <f>$B$58*('תמהיל יצור'!P26+'תמהיל יצור'!Q26)/10^3</f>
        <v>1.4591911764705883E-2</v>
      </c>
      <c r="G27" s="514">
        <f>$B$59*'תמהיל יצור'!R26/10^3</f>
        <v>6.5908483228001941E-2</v>
      </c>
      <c r="H27" s="696">
        <f>$B$60*'תמהיל יצור'!S26/10^3</f>
        <v>1.6618619293189838</v>
      </c>
      <c r="I27" s="514">
        <f>$B$58*('תמהיל יצור'!V26+'תמהיל יצור'!W26)/10^3</f>
        <v>1.1792647058823529E-2</v>
      </c>
      <c r="J27" s="514">
        <f>$B$60*'תמהיל יצור'!X26/10^3</f>
        <v>1.468757365269397</v>
      </c>
      <c r="K27" s="514">
        <f>$B$60*'תמהיל יצור'!Y26/10^3</f>
        <v>0.24432330000000005</v>
      </c>
      <c r="L27" s="514">
        <f>$B$60*'תמהיל יצור'!Z26/10^3</f>
        <v>3.0359699999999996E-2</v>
      </c>
      <c r="M27" s="697">
        <f>$B$58*'תמהיל יצור'!AC26/10^3</f>
        <v>0</v>
      </c>
      <c r="N27" s="514">
        <f>$B$60*'תמהיל יצור'!AD26/10^3</f>
        <v>1.4749681593870441</v>
      </c>
      <c r="O27" s="514">
        <f>$B$60*'תמהיל יצור'!AE26/10^3</f>
        <v>0.24432330000000005</v>
      </c>
      <c r="P27" s="514">
        <f>$B$60*'תמהיל יצור'!AF26/10^3</f>
        <v>3.0359699999999996E-2</v>
      </c>
      <c r="Q27" s="695">
        <f>$B$58*'תמהיל יצור'!AK26/10^3</f>
        <v>0.28729338842975205</v>
      </c>
      <c r="R27" s="696">
        <f>$B$60*'תמהיל יצור'!AL26/10^3</f>
        <v>1.4297022325438045</v>
      </c>
      <c r="S27" s="509">
        <f t="shared" si="2"/>
        <v>0.40572633331788732</v>
      </c>
    </row>
    <row r="28" spans="1:21">
      <c r="A28" s="706">
        <f t="shared" si="1"/>
        <v>2043</v>
      </c>
      <c r="B28" s="695">
        <f>$B$58*'תמהיל יצור'!H27/1000</f>
        <v>0.40723140495867766</v>
      </c>
      <c r="C28" s="696">
        <f>$B$60*'תמהיל יצור'!I27/1000</f>
        <v>1.5824165340789238</v>
      </c>
      <c r="D28" s="514">
        <f>$B$58*'תמהיל יצור'!L27/10^3</f>
        <v>0.28729338842975205</v>
      </c>
      <c r="E28" s="696">
        <f>$B$60*'תמהיל יצור'!M27/10^3</f>
        <v>1.6455838894508248</v>
      </c>
      <c r="F28" s="514">
        <f>$B$58*('תמהיל יצור'!P27+'תמהיל יצור'!Q27)/10^3</f>
        <v>1.4591911764705883E-2</v>
      </c>
      <c r="G28" s="514">
        <f>$B$59*'תמהיל יצור'!R27/10^3</f>
        <v>6.5908483228001941E-2</v>
      </c>
      <c r="H28" s="696">
        <f>$B$60*'תמהיל יצור'!S27/10^3</f>
        <v>1.7091025106224338</v>
      </c>
      <c r="I28" s="514">
        <f>$B$58*('תמהיל יצור'!V27+'תמהיל יצור'!W27)/10^3</f>
        <v>1.1792647058823529E-2</v>
      </c>
      <c r="J28" s="514">
        <f>$B$60*'תמהיל יצור'!X27/10^3</f>
        <v>1.515997946572847</v>
      </c>
      <c r="K28" s="514">
        <f>$B$60*'תמהיל יצור'!Y27/10^3</f>
        <v>0.24432330000000005</v>
      </c>
      <c r="L28" s="514">
        <f>$B$60*'תמהיל יצור'!Z27/10^3</f>
        <v>3.0359699999999996E-2</v>
      </c>
      <c r="M28" s="697">
        <f>$B$58*'תמהיל יצור'!AC27/10^3</f>
        <v>0</v>
      </c>
      <c r="N28" s="514">
        <f>$B$60*'תמהיל יצור'!AD27/10^3</f>
        <v>1.5222087406904943</v>
      </c>
      <c r="O28" s="514">
        <f>$B$60*'תמהיל יצור'!AE27/10^3</f>
        <v>0.24432330000000005</v>
      </c>
      <c r="P28" s="514">
        <f>$B$60*'תמהיל יצור'!AF27/10^3</f>
        <v>3.0359699999999996E-2</v>
      </c>
      <c r="Q28" s="695">
        <f>$B$58*'תמהיל יצור'!AK27/10^3</f>
        <v>0.28729338842975205</v>
      </c>
      <c r="R28" s="696">
        <f>$B$60*'תמהיל יצור'!AL27/10^3</f>
        <v>1.4723895048059576</v>
      </c>
      <c r="S28" s="509">
        <f t="shared" si="2"/>
        <v>0.39012147434412242</v>
      </c>
    </row>
    <row r="29" spans="1:21">
      <c r="A29" s="706">
        <f t="shared" si="1"/>
        <v>2044</v>
      </c>
      <c r="B29" s="695">
        <f>$B$58*'תמהיל יצור'!H28/1000</f>
        <v>0.40723140495867766</v>
      </c>
      <c r="C29" s="696">
        <f>$B$60*'תמהיל יצור'!I28/1000</f>
        <v>1.6309326110775668</v>
      </c>
      <c r="D29" s="514">
        <f>$B$58*'תמהיל יצור'!L28/10^3</f>
        <v>0.28729338842975205</v>
      </c>
      <c r="E29" s="696">
        <f>$B$60*'תמהיל יצור'!M28/10^3</f>
        <v>1.6940999664494678</v>
      </c>
      <c r="F29" s="514">
        <f>$B$58*('תמהיל יצור'!P28+'תמהיל יצור'!Q28)/10^3</f>
        <v>1.4591911764705883E-2</v>
      </c>
      <c r="G29" s="514">
        <f>$B$59*'תמהיל יצור'!R28/10^3</f>
        <v>6.5908483228001941E-2</v>
      </c>
      <c r="H29" s="696">
        <f>$B$60*'תמהיל יצור'!S28/10^3</f>
        <v>1.7576185876210768</v>
      </c>
      <c r="I29" s="514">
        <f>$B$58*('תמהיל יצור'!V28+'תמהיל יצור'!W28)/10^3</f>
        <v>1.1792647058823529E-2</v>
      </c>
      <c r="J29" s="514">
        <f>$B$60*'תמהיל יצור'!X28/10^3</f>
        <v>1.5645140235714901</v>
      </c>
      <c r="K29" s="514">
        <f>$B$60*'תמהיל יצור'!Y28/10^3</f>
        <v>0.24432330000000005</v>
      </c>
      <c r="L29" s="514">
        <f>$B$60*'תמהיל יצור'!Z28/10^3</f>
        <v>3.0359699999999996E-2</v>
      </c>
      <c r="M29" s="697">
        <f>$B$58*'תמהיל יצור'!AC28/10^3</f>
        <v>0</v>
      </c>
      <c r="N29" s="514">
        <f>$B$60*'תמהיל יצור'!AD28/10^3</f>
        <v>1.5707248176891371</v>
      </c>
      <c r="O29" s="514">
        <f>$B$60*'תמהיל יצור'!AE28/10^3</f>
        <v>0.24432330000000005</v>
      </c>
      <c r="P29" s="514">
        <f>$B$60*'תמהיל יצור'!AF28/10^3</f>
        <v>3.0359699999999996E-2</v>
      </c>
      <c r="Q29" s="695">
        <f>$B$58*'תמהיל יצור'!AK28/10^3</f>
        <v>0.28729338842975205</v>
      </c>
      <c r="R29" s="696">
        <f>$B$60*'תמהיל יצור'!AL28/10^3</f>
        <v>1.5162293334191892</v>
      </c>
      <c r="S29" s="509">
        <f t="shared" si="2"/>
        <v>0.37511680225396377</v>
      </c>
    </row>
    <row r="30" spans="1:21" ht="16" customHeight="1">
      <c r="A30" s="706">
        <f t="shared" si="1"/>
        <v>2045</v>
      </c>
      <c r="B30" s="695">
        <f>$B$58*'תמהיל יצור'!H29/1000</f>
        <v>0.19909090909090907</v>
      </c>
      <c r="C30" s="696">
        <f>$B$60*'תמהיל יצור'!I29/1000</f>
        <v>1.7903792833121985</v>
      </c>
      <c r="D30" s="514">
        <f>$B$58*'תמהיל יצור'!L29/10^3</f>
        <v>0.14045454545454544</v>
      </c>
      <c r="E30" s="696">
        <f>$B$60*'תמהיל יצור'!M29/10^3</f>
        <v>1.8212611014940163</v>
      </c>
      <c r="F30" s="514">
        <f>$B$58*('תמהיל יצור'!P29+'תמהיל יצור'!Q29)/10^3</f>
        <v>7.1338235294117645E-3</v>
      </c>
      <c r="G30" s="514">
        <f>$B$59*'תמהיל יצור'!R29/10^3</f>
        <v>1.5752941176470588E-2</v>
      </c>
      <c r="H30" s="696">
        <f>$B$60*'תמהיל יצור'!S29/10^3</f>
        <v>1.8723307993549789</v>
      </c>
      <c r="I30" s="514">
        <f>$B$58*('תמהיל יצור'!V29+'תמהיל יצור'!W29)/10^3</f>
        <v>1.1792647058823529E-2</v>
      </c>
      <c r="J30" s="514">
        <f>$B$60*'תמהיל יצור'!X29/10^3</f>
        <v>1.6143400346490966</v>
      </c>
      <c r="K30" s="514">
        <f>$B$60*'תמהיל יצור'!Y29/10^3</f>
        <v>0.24432330000000005</v>
      </c>
      <c r="L30" s="514">
        <f>$B$60*'תמהיל יצור'!Z29/10^3</f>
        <v>3.0359699999999996E-2</v>
      </c>
      <c r="M30" s="697">
        <f>$B$58*'תמהיל יצור'!AC29/10^3</f>
        <v>0</v>
      </c>
      <c r="N30" s="514">
        <f>$B$60*'תמהיל יצור'!AD29/10^3</f>
        <v>1.6205508287667441</v>
      </c>
      <c r="O30" s="514">
        <f>$B$60*'תמהיל יצור'!AE29/10^3</f>
        <v>0.24432330000000005</v>
      </c>
      <c r="P30" s="514">
        <f>$B$60*'תמהיל יצור'!AF29/10^3</f>
        <v>3.0359699999999996E-2</v>
      </c>
      <c r="Q30" s="695">
        <f>$B$58*'תמהיל יצור'!AK29/10^3</f>
        <v>0.14045454545454544</v>
      </c>
      <c r="R30" s="696">
        <f>$B$60*'תמהיל יצור'!AL29/10^3</f>
        <v>1.6385879613719208</v>
      </c>
      <c r="S30" s="509">
        <f t="shared" si="2"/>
        <v>0.36068923293650368</v>
      </c>
    </row>
    <row r="31" spans="1:21">
      <c r="A31" s="8" t="s">
        <v>391</v>
      </c>
      <c r="B31" s="663">
        <f t="shared" ref="B31:R31" si="3">SUM(B5:B30)</f>
        <v>14.542685950413219</v>
      </c>
      <c r="C31" s="663">
        <f t="shared" si="3"/>
        <v>28.849626264343051</v>
      </c>
      <c r="D31" s="663">
        <f t="shared" si="3"/>
        <v>10.259566115702485</v>
      </c>
      <c r="E31" s="663">
        <f t="shared" si="3"/>
        <v>31.105402710624041</v>
      </c>
      <c r="F31" s="663">
        <f t="shared" si="3"/>
        <v>2.1573022423432171</v>
      </c>
      <c r="G31" s="663">
        <f t="shared" si="3"/>
        <v>2.757708580456975</v>
      </c>
      <c r="H31" s="663">
        <f t="shared" si="3"/>
        <v>32.020918434858359</v>
      </c>
      <c r="I31" s="663">
        <f>SUM(I5:I30)</f>
        <v>2.0505476835196887</v>
      </c>
      <c r="J31" s="663">
        <f t="shared" ref="J31:L31" si="4">SUM(J5:J30)</f>
        <v>29.935159084906974</v>
      </c>
      <c r="K31" s="663">
        <f t="shared" si="4"/>
        <v>4.8864660000000022</v>
      </c>
      <c r="L31" s="663">
        <f t="shared" si="4"/>
        <v>0.6071939999999999</v>
      </c>
      <c r="M31" s="663">
        <f t="shared" si="3"/>
        <v>1.7237603305785121</v>
      </c>
      <c r="N31" s="663">
        <f t="shared" si="3"/>
        <v>30.107267090789332</v>
      </c>
      <c r="O31" s="663">
        <f t="shared" si="3"/>
        <v>4.8864660000000022</v>
      </c>
      <c r="P31" s="663">
        <f t="shared" si="3"/>
        <v>0.6071939999999999</v>
      </c>
      <c r="Q31" s="663">
        <f t="shared" si="3"/>
        <v>10.259566115702485</v>
      </c>
      <c r="R31" s="663">
        <f t="shared" si="3"/>
        <v>28.060662576767289</v>
      </c>
      <c r="S31" s="25"/>
      <c r="T31" s="25"/>
      <c r="U31" s="25"/>
    </row>
    <row r="32" spans="1:21" ht="16" thickBot="1">
      <c r="A32" s="8" t="s">
        <v>392</v>
      </c>
      <c r="B32" s="664">
        <f t="shared" ref="B32:I32" si="5">SUMPRODUCT($S5:$S30,B5:B30)</f>
        <v>9.262308775560733</v>
      </c>
      <c r="C32" s="664">
        <f t="shared" si="5"/>
        <v>16.414928106638332</v>
      </c>
      <c r="D32" s="664">
        <f t="shared" si="5"/>
        <v>6.534368519744902</v>
      </c>
      <c r="E32" s="664">
        <f t="shared" si="5"/>
        <v>17.851643308034674</v>
      </c>
      <c r="F32" s="664">
        <f t="shared" si="5"/>
        <v>1.799595263888947</v>
      </c>
      <c r="G32" s="664">
        <f t="shared" si="5"/>
        <v>1.6488935091644357</v>
      </c>
      <c r="H32" s="664">
        <f t="shared" si="5"/>
        <v>18.341250752672803</v>
      </c>
      <c r="I32" s="664">
        <f t="shared" si="5"/>
        <v>1.7269902553400818</v>
      </c>
      <c r="J32" s="664">
        <f t="shared" ref="J32:L32" si="6">SUMPRODUCT($S5:$S30,J5:J30)</f>
        <v>17.422123191086058</v>
      </c>
      <c r="K32" s="664">
        <f t="shared" si="6"/>
        <v>2.634092707814601</v>
      </c>
      <c r="L32" s="664">
        <f t="shared" si="6"/>
        <v>0.32731329505388529</v>
      </c>
      <c r="M32" s="664">
        <f>SUMPRODUCT($S5:$S30,M5:M30)</f>
        <v>1.5462435240294659</v>
      </c>
      <c r="N32" s="664">
        <f t="shared" ref="N32:P32" si="7">SUMPRODUCT($S5:$S30,N5:N30)</f>
        <v>17.517316469576318</v>
      </c>
      <c r="O32" s="664">
        <f t="shared" si="7"/>
        <v>2.634092707814601</v>
      </c>
      <c r="P32" s="664">
        <f t="shared" si="7"/>
        <v>0.32731329505388529</v>
      </c>
      <c r="Q32" s="664">
        <f>SUMPRODUCT($S5:$S30,Q5:Q30)</f>
        <v>6.534368519744902</v>
      </c>
      <c r="R32" s="664">
        <f>SUMPRODUCT($S5:$S30,R5:R30)</f>
        <v>16.22570347893474</v>
      </c>
      <c r="S32" s="25"/>
      <c r="T32" s="25"/>
      <c r="U32" s="25"/>
    </row>
    <row r="33" spans="1:21" ht="14.25" customHeight="1" thickBot="1">
      <c r="A33" s="62" t="s">
        <v>393</v>
      </c>
      <c r="B33" s="526">
        <f>SUM(B31:C31)</f>
        <v>43.392312214756274</v>
      </c>
      <c r="C33" s="524"/>
      <c r="D33" s="522">
        <f>SUM(D31:E31)</f>
        <v>41.364968826326525</v>
      </c>
      <c r="E33" s="524"/>
      <c r="F33" s="522">
        <f>SUM(F31:H31)</f>
        <v>36.93592925765855</v>
      </c>
      <c r="G33" s="522"/>
      <c r="H33" s="522"/>
      <c r="I33" s="526">
        <f>SUM(I31:L31)</f>
        <v>37.479366768426665</v>
      </c>
      <c r="J33" s="522"/>
      <c r="K33" s="522"/>
      <c r="L33" s="522"/>
      <c r="M33" s="526">
        <f>SUM(M31:P31)</f>
        <v>37.324687421367848</v>
      </c>
      <c r="N33" s="654"/>
      <c r="O33" s="654"/>
      <c r="P33" s="525"/>
      <c r="Q33" s="522">
        <f>SUM(Q31:R31)</f>
        <v>38.320228692469776</v>
      </c>
      <c r="R33" s="524"/>
      <c r="S33" s="508"/>
      <c r="T33" s="508"/>
      <c r="U33" s="508"/>
    </row>
    <row r="34" spans="1:21" ht="14.25" customHeight="1" thickBot="1">
      <c r="A34" s="27" t="s">
        <v>394</v>
      </c>
      <c r="B34" s="707">
        <f>SUM(B32:C32)</f>
        <v>25.677236882199065</v>
      </c>
      <c r="C34" s="708"/>
      <c r="D34" s="519">
        <f>SUM(D32:E32)</f>
        <v>24.386011827779576</v>
      </c>
      <c r="E34" s="674"/>
      <c r="F34" s="519">
        <f>SUM(F32:H32)</f>
        <v>21.789739525726183</v>
      </c>
      <c r="G34" s="522"/>
      <c r="H34" s="522"/>
      <c r="I34" s="668">
        <f>SUM(I32:L32)</f>
        <v>22.110519449294625</v>
      </c>
      <c r="J34" s="519"/>
      <c r="K34" s="519"/>
      <c r="L34" s="519"/>
      <c r="M34" s="668">
        <f>SUM(M32:P32)</f>
        <v>22.024965996474272</v>
      </c>
      <c r="N34" s="489"/>
      <c r="O34" s="489"/>
      <c r="P34" s="344"/>
      <c r="Q34" s="519">
        <f>SUM(Q32:R32)</f>
        <v>22.760071998679642</v>
      </c>
      <c r="R34" s="524"/>
      <c r="S34" s="508"/>
      <c r="T34" s="508"/>
      <c r="U34" s="508"/>
    </row>
    <row r="35" spans="1:21" ht="14.25" customHeight="1" thickBot="1">
      <c r="A35" s="27" t="s">
        <v>388</v>
      </c>
      <c r="B35" s="668">
        <f>B33-D33</f>
        <v>2.0273433884297489</v>
      </c>
      <c r="C35" s="674"/>
      <c r="D35" s="519">
        <v>0</v>
      </c>
      <c r="E35" s="674"/>
      <c r="F35" s="522">
        <f>F33-D33</f>
        <v>-4.4290395686679744</v>
      </c>
      <c r="G35" s="522"/>
      <c r="H35" s="522"/>
      <c r="I35" s="668">
        <f>I33-D33</f>
        <v>-3.8856020578998596</v>
      </c>
      <c r="J35" s="519"/>
      <c r="K35" s="519"/>
      <c r="L35" s="519"/>
      <c r="M35" s="668">
        <f>M33-D33</f>
        <v>-4.0402814049586766</v>
      </c>
      <c r="N35" s="489"/>
      <c r="O35" s="489"/>
      <c r="P35" s="344"/>
      <c r="Q35" s="522">
        <f>Q33-D33</f>
        <v>-3.0447401338567488</v>
      </c>
      <c r="R35" s="524"/>
      <c r="S35" s="508"/>
      <c r="T35" s="508"/>
      <c r="U35" s="508"/>
    </row>
    <row r="36" spans="1:21" ht="14.25" customHeight="1" thickBot="1">
      <c r="A36" s="27" t="s">
        <v>395</v>
      </c>
      <c r="B36" s="526">
        <f>B34-D34</f>
        <v>1.2912250544194883</v>
      </c>
      <c r="C36" s="524"/>
      <c r="D36" s="527">
        <v>0</v>
      </c>
      <c r="E36" s="527"/>
      <c r="F36" s="528">
        <f>F34-D34</f>
        <v>-2.5962723020533929</v>
      </c>
      <c r="G36" s="527"/>
      <c r="H36" s="527"/>
      <c r="I36" s="668">
        <f>I34-D34</f>
        <v>-2.2754923784849517</v>
      </c>
      <c r="J36" s="519"/>
      <c r="K36" s="519"/>
      <c r="L36" s="519"/>
      <c r="M36" s="526">
        <f>M34-D34</f>
        <v>-2.3610458313053044</v>
      </c>
      <c r="N36" s="654"/>
      <c r="O36" s="654"/>
      <c r="P36" s="525"/>
      <c r="Q36" s="522">
        <f>Q34-D34</f>
        <v>-1.6259398290999343</v>
      </c>
      <c r="R36" s="524"/>
      <c r="S36" s="513"/>
      <c r="T36" s="513"/>
      <c r="U36" s="513"/>
    </row>
    <row r="37" spans="1:21" ht="16" thickBot="1">
      <c r="S37" s="508"/>
    </row>
    <row r="38" spans="1:21" ht="16" thickBot="1">
      <c r="A38" s="1014" t="s">
        <v>134</v>
      </c>
      <c r="B38" s="1009"/>
      <c r="C38" s="1009"/>
      <c r="D38" s="1009"/>
      <c r="E38" s="1009"/>
      <c r="F38" s="1009"/>
      <c r="G38" s="1009"/>
      <c r="H38" s="1009"/>
      <c r="I38" s="1009"/>
      <c r="J38" s="1009"/>
      <c r="K38" s="1009"/>
      <c r="L38" s="1009"/>
      <c r="M38" s="970"/>
      <c r="N38" s="970"/>
      <c r="O38" s="970"/>
      <c r="P38" s="970"/>
      <c r="Q38" s="1009"/>
      <c r="R38" s="1010"/>
      <c r="S38" s="508"/>
    </row>
    <row r="39" spans="1:21" ht="16" thickBot="1">
      <c r="A39" s="347"/>
      <c r="B39" s="1043" t="s">
        <v>135</v>
      </c>
      <c r="C39" s="1043"/>
      <c r="D39" s="1043" t="s">
        <v>136</v>
      </c>
      <c r="E39" s="1043"/>
      <c r="F39" s="1044" t="s">
        <v>4</v>
      </c>
      <c r="G39" s="1045"/>
      <c r="H39" s="1062"/>
      <c r="I39" s="1045" t="s">
        <v>29</v>
      </c>
      <c r="J39" s="1045"/>
      <c r="K39" s="552"/>
      <c r="L39" s="552"/>
      <c r="M39" s="1044" t="s">
        <v>30</v>
      </c>
      <c r="N39" s="1045"/>
      <c r="O39" s="552"/>
      <c r="P39" s="553"/>
      <c r="Q39" s="1048" t="s">
        <v>85</v>
      </c>
      <c r="R39" s="1049"/>
      <c r="S39" s="508"/>
    </row>
    <row r="40" spans="1:21" ht="17" thickBot="1">
      <c r="A40" s="155" t="s">
        <v>132</v>
      </c>
      <c r="B40" s="808">
        <f>B32/($A30-$A5+1)</f>
        <v>0.35624264521387433</v>
      </c>
      <c r="C40" s="809"/>
      <c r="D40" s="808">
        <f>D32/($A30-$A5+1)</f>
        <v>0.25132186614403468</v>
      </c>
      <c r="E40" s="809"/>
      <c r="F40" s="808">
        <f>F32/($A30-$A5+1)</f>
        <v>6.9215202457267186E-2</v>
      </c>
      <c r="G40" s="810"/>
      <c r="H40" s="809"/>
      <c r="I40" s="808">
        <f>I32/($A30-$A5+1)</f>
        <v>6.6422702128464683E-2</v>
      </c>
      <c r="J40" s="811"/>
      <c r="K40" s="811"/>
      <c r="L40" s="811"/>
      <c r="M40" s="808">
        <f>M32/($A30-$A5+1)</f>
        <v>5.9470904770364069E-2</v>
      </c>
      <c r="N40" s="810"/>
      <c r="O40" s="810"/>
      <c r="P40" s="809"/>
      <c r="Q40" s="810">
        <f>Q32/($A30-$A5+1)</f>
        <v>0.25132186614403468</v>
      </c>
      <c r="R40" s="812"/>
      <c r="S40" s="513"/>
      <c r="T40" s="1"/>
    </row>
    <row r="41" spans="1:21" ht="16" thickBot="1">
      <c r="A41" s="74" t="s">
        <v>48</v>
      </c>
      <c r="B41" s="813">
        <f>B32/'תמהיל יצור'!$C$30</f>
        <v>3.377702804025438E-3</v>
      </c>
      <c r="C41" s="814"/>
      <c r="D41" s="815">
        <f>D32/'תמהיל יצור'!$C$30</f>
        <v>2.3828999233878093E-3</v>
      </c>
      <c r="E41" s="816"/>
      <c r="F41" s="815">
        <f>F32/'תמהיל יצור'!$C$30</f>
        <v>6.5626164234420116E-4</v>
      </c>
      <c r="G41" s="817"/>
      <c r="H41" s="817"/>
      <c r="I41" s="815">
        <f>I32/'תמהיל יצור'!$C$30</f>
        <v>6.2978464326068201E-4</v>
      </c>
      <c r="J41" s="817"/>
      <c r="K41" s="817"/>
      <c r="L41" s="817"/>
      <c r="M41" s="815">
        <f>M32/'תמהיל יצור'!$C$30</f>
        <v>5.6387140759128057E-4</v>
      </c>
      <c r="N41" s="817"/>
      <c r="O41" s="817"/>
      <c r="P41" s="816"/>
      <c r="Q41" s="817">
        <f>Q32/'תמהיל יצור'!$C$30</f>
        <v>2.3828999233878093E-3</v>
      </c>
      <c r="R41" s="816"/>
      <c r="S41" s="508"/>
    </row>
    <row r="42" spans="1:21" ht="16" thickBot="1">
      <c r="A42" s="76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508"/>
    </row>
    <row r="43" spans="1:21" ht="16" thickBot="1">
      <c r="A43" s="1026" t="s">
        <v>148</v>
      </c>
      <c r="B43" s="1027"/>
      <c r="C43" s="1027"/>
      <c r="D43" s="1027"/>
      <c r="E43" s="1027"/>
      <c r="F43" s="1027"/>
      <c r="G43" s="1027"/>
      <c r="H43" s="1027"/>
      <c r="I43" s="1027"/>
      <c r="J43" s="1027"/>
      <c r="K43" s="1027"/>
      <c r="L43" s="1027"/>
      <c r="M43" s="1027"/>
      <c r="N43" s="1027"/>
      <c r="O43" s="1027"/>
      <c r="P43" s="1027"/>
      <c r="Q43" s="1027"/>
      <c r="R43" s="1028"/>
      <c r="S43" s="508"/>
    </row>
    <row r="44" spans="1:21" ht="16" thickBot="1">
      <c r="A44" s="84" t="s">
        <v>36</v>
      </c>
      <c r="B44" s="85">
        <f>'הנחות עבודה'!B54</f>
        <v>11.1</v>
      </c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8"/>
      <c r="S44" s="513"/>
    </row>
    <row r="45" spans="1:21" ht="16" thickBot="1">
      <c r="A45" s="347"/>
      <c r="B45" s="1043" t="s">
        <v>135</v>
      </c>
      <c r="C45" s="1043"/>
      <c r="D45" s="1043" t="s">
        <v>136</v>
      </c>
      <c r="E45" s="1043"/>
      <c r="F45" s="1044" t="s">
        <v>4</v>
      </c>
      <c r="G45" s="1045"/>
      <c r="H45" s="1045"/>
      <c r="I45" s="1046" t="s">
        <v>29</v>
      </c>
      <c r="J45" s="1047"/>
      <c r="K45" s="559"/>
      <c r="L45" s="559"/>
      <c r="M45" s="1046" t="s">
        <v>30</v>
      </c>
      <c r="N45" s="1047"/>
      <c r="O45" s="559"/>
      <c r="P45" s="560"/>
      <c r="Q45" s="1048" t="s">
        <v>85</v>
      </c>
      <c r="R45" s="1049"/>
    </row>
    <row r="46" spans="1:21" ht="16" thickBot="1">
      <c r="A46" s="8" t="s">
        <v>144</v>
      </c>
      <c r="B46" s="1074">
        <f>B15+C15</f>
        <v>1.5621607166560607</v>
      </c>
      <c r="C46" s="1075"/>
      <c r="D46" s="1074">
        <f>D15+E15</f>
        <v>1.4763739397965567</v>
      </c>
      <c r="E46" s="1075"/>
      <c r="F46" s="1074">
        <f>H15+G15+F15</f>
        <v>1.2489064769866391</v>
      </c>
      <c r="G46" s="1078"/>
      <c r="H46" s="1078"/>
      <c r="I46" s="1074">
        <f>J15+I15+K15+L15</f>
        <v>1.2793194835982098</v>
      </c>
      <c r="J46" s="1078"/>
      <c r="K46" s="653"/>
      <c r="L46" s="653"/>
      <c r="M46" s="1085">
        <f>N15+M15+O15+P15</f>
        <v>1.2708846835982097</v>
      </c>
      <c r="N46" s="1086"/>
      <c r="O46" s="802"/>
      <c r="P46" s="801"/>
      <c r="Q46" s="1078">
        <f>R15+Q15</f>
        <v>1.3538790305340787</v>
      </c>
      <c r="R46" s="1075"/>
    </row>
    <row r="47" spans="1:21" ht="16" thickBot="1">
      <c r="A47" s="156" t="s">
        <v>133</v>
      </c>
      <c r="B47" s="1081">
        <f>(B15+C15)/$B$44</f>
        <v>0.14073519969874421</v>
      </c>
      <c r="C47" s="1082"/>
      <c r="D47" s="1081">
        <f>(D15+E15)/$B$44</f>
        <v>0.13300666124293303</v>
      </c>
      <c r="E47" s="1082"/>
      <c r="F47" s="1081">
        <f>(H15+G15+F15)/B44</f>
        <v>0.11251409702582335</v>
      </c>
      <c r="G47" s="1083"/>
      <c r="H47" s="1082"/>
      <c r="I47" s="1081">
        <f>(I15+J15)/$B$44</f>
        <v>9.0507791315154032E-2</v>
      </c>
      <c r="J47" s="1083"/>
      <c r="K47" s="804"/>
      <c r="L47" s="805"/>
      <c r="M47" s="1081">
        <f>(M15+N15)/$B$44</f>
        <v>8.9747899423262126E-2</v>
      </c>
      <c r="N47" s="1083"/>
      <c r="O47" s="804"/>
      <c r="P47" s="805"/>
      <c r="Q47" s="1081">
        <f>(Q15+R15)/$B$44</f>
        <v>0.12197108383189899</v>
      </c>
      <c r="R47" s="1082"/>
    </row>
    <row r="48" spans="1:21" ht="16" thickBot="1">
      <c r="A48" s="157"/>
      <c r="B48" s="803"/>
      <c r="C48" s="803"/>
      <c r="D48" s="803"/>
      <c r="E48" s="803"/>
      <c r="F48" s="803"/>
      <c r="G48" s="803"/>
      <c r="H48" s="803"/>
      <c r="I48" s="803"/>
      <c r="J48" s="803"/>
      <c r="K48" s="803"/>
      <c r="L48" s="803"/>
      <c r="M48" s="803"/>
      <c r="N48" s="803"/>
      <c r="O48" s="803"/>
      <c r="P48" s="803"/>
      <c r="Q48" s="803"/>
      <c r="R48" s="803"/>
    </row>
    <row r="49" spans="1:18" ht="16" thickBot="1">
      <c r="A49" s="1026" t="s">
        <v>149</v>
      </c>
      <c r="B49" s="1027"/>
      <c r="C49" s="1027"/>
      <c r="D49" s="1027"/>
      <c r="E49" s="1027"/>
      <c r="F49" s="1027"/>
      <c r="G49" s="1027"/>
      <c r="H49" s="1027"/>
      <c r="I49" s="1027"/>
      <c r="J49" s="1027"/>
      <c r="K49" s="1027"/>
      <c r="L49" s="1027"/>
      <c r="M49" s="1027"/>
      <c r="N49" s="1027"/>
      <c r="O49" s="1027"/>
      <c r="P49" s="1027"/>
      <c r="Q49" s="1027"/>
      <c r="R49" s="1028"/>
    </row>
    <row r="50" spans="1:18" ht="16" thickBot="1">
      <c r="A50" s="84" t="s">
        <v>86</v>
      </c>
      <c r="B50" s="85">
        <f>'הנחות עבודה'!B55</f>
        <v>13.2</v>
      </c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8"/>
    </row>
    <row r="51" spans="1:18" ht="16" thickBot="1">
      <c r="A51" s="347"/>
      <c r="B51" s="1043" t="s">
        <v>135</v>
      </c>
      <c r="C51" s="1043"/>
      <c r="D51" s="1043" t="s">
        <v>136</v>
      </c>
      <c r="E51" s="1043"/>
      <c r="F51" s="1044" t="s">
        <v>4</v>
      </c>
      <c r="G51" s="1045"/>
      <c r="H51" s="1062"/>
      <c r="I51" s="1045" t="s">
        <v>29</v>
      </c>
      <c r="J51" s="1045"/>
      <c r="K51" s="552"/>
      <c r="L51" s="552"/>
      <c r="M51" s="1046" t="s">
        <v>30</v>
      </c>
      <c r="N51" s="1047"/>
      <c r="O51" s="559"/>
      <c r="P51" s="560"/>
      <c r="Q51" s="1048" t="s">
        <v>85</v>
      </c>
      <c r="R51" s="1049"/>
    </row>
    <row r="52" spans="1:18" ht="16" thickBot="1">
      <c r="A52" s="65" t="s">
        <v>145</v>
      </c>
      <c r="B52" s="1074">
        <f>B25+C25</f>
        <v>1.8516194318289256</v>
      </c>
      <c r="C52" s="1075"/>
      <c r="D52" s="1074">
        <f>D25+E25</f>
        <v>1.794848770671901</v>
      </c>
      <c r="E52" s="1075"/>
      <c r="F52" s="1076">
        <f>F25+G25+H25</f>
        <v>1.6515743984064659</v>
      </c>
      <c r="G52" s="1077"/>
      <c r="H52" s="1077"/>
      <c r="I52" s="1074">
        <f>I25+J25+K25+L25</f>
        <v>1.6672980334818186</v>
      </c>
      <c r="J52" s="1078"/>
      <c r="K52" s="653"/>
      <c r="L52" s="653"/>
      <c r="M52" s="1076">
        <f>N25+M25+O25+P25</f>
        <v>1.6588632334818185</v>
      </c>
      <c r="N52" s="1077"/>
      <c r="O52" s="561"/>
      <c r="P52" s="562"/>
      <c r="Q52" s="1077">
        <f>Q25+R25</f>
        <v>1.6349583385290751</v>
      </c>
      <c r="R52" s="1079"/>
    </row>
    <row r="53" spans="1:18" ht="16" thickBot="1">
      <c r="A53" s="65" t="s">
        <v>352</v>
      </c>
      <c r="B53" s="1080">
        <f>B52/B50</f>
        <v>0.14027419938097921</v>
      </c>
      <c r="C53" s="1073"/>
      <c r="D53" s="1080">
        <f>D52/B50</f>
        <v>0.13597339171756825</v>
      </c>
      <c r="E53" s="1073"/>
      <c r="F53" s="1080">
        <f>F52/B50</f>
        <v>0.12511927260655045</v>
      </c>
      <c r="G53" s="1072"/>
      <c r="H53" s="1072"/>
      <c r="I53" s="1080">
        <f>I52/B50</f>
        <v>0.12631045708195596</v>
      </c>
      <c r="J53" s="1072"/>
      <c r="K53" s="806"/>
      <c r="L53" s="806"/>
      <c r="M53" s="1080">
        <f>M52/B50</f>
        <v>0.12567145708195596</v>
      </c>
      <c r="N53" s="1072"/>
      <c r="O53" s="806"/>
      <c r="P53" s="807"/>
      <c r="Q53" s="1072">
        <f>Q52/B50</f>
        <v>0.12386048019159661</v>
      </c>
      <c r="R53" s="1073"/>
    </row>
    <row r="56" spans="1:18" ht="16" thickBot="1">
      <c r="A56" s="158" t="s">
        <v>273</v>
      </c>
    </row>
    <row r="57" spans="1:18" ht="32">
      <c r="A57" s="343"/>
      <c r="B57" s="339" t="s">
        <v>278</v>
      </c>
      <c r="C57" s="164"/>
    </row>
    <row r="58" spans="1:18">
      <c r="A58" s="239" t="s">
        <v>406</v>
      </c>
      <c r="B58" s="120">
        <f>'הנחות עבודה'!E91*1000</f>
        <v>30</v>
      </c>
    </row>
    <row r="59" spans="1:18">
      <c r="A59" s="239" t="s">
        <v>407</v>
      </c>
      <c r="B59" s="120">
        <f>'הנחות עבודה'!E92*1000</f>
        <v>13</v>
      </c>
    </row>
    <row r="60" spans="1:18" ht="16" thickBot="1">
      <c r="A60" s="240" t="str">
        <f>'הנחות עבודה'!A79</f>
        <v>יחידת גז משוקללת</v>
      </c>
      <c r="B60" s="380">
        <f>'הנחות עבודה'!E93*1000</f>
        <v>15.8</v>
      </c>
    </row>
    <row r="61" spans="1:18" ht="16" thickBot="1">
      <c r="A61" s="9"/>
      <c r="B61" s="9"/>
    </row>
    <row r="62" spans="1:18" ht="16" thickBot="1">
      <c r="A62" s="345" t="s">
        <v>275</v>
      </c>
      <c r="B62" s="346"/>
      <c r="C62" s="18"/>
    </row>
    <row r="63" spans="1:18">
      <c r="A63" s="238" t="s">
        <v>130</v>
      </c>
      <c r="B63" s="340">
        <v>2.2999999999999998</v>
      </c>
      <c r="C63" s="18"/>
      <c r="D63" s="18"/>
    </row>
    <row r="64" spans="1:18" ht="16" thickBot="1">
      <c r="A64" s="240" t="s">
        <v>353</v>
      </c>
      <c r="B64" s="341">
        <v>1.9</v>
      </c>
      <c r="C64" s="18"/>
      <c r="D64" s="18"/>
    </row>
    <row r="66" spans="1:19">
      <c r="A66" s="130"/>
      <c r="S66" s="9"/>
    </row>
  </sheetData>
  <mergeCells count="53">
    <mergeCell ref="A2:R2"/>
    <mergeCell ref="B3:C3"/>
    <mergeCell ref="D3:E3"/>
    <mergeCell ref="F3:H3"/>
    <mergeCell ref="Q3:R3"/>
    <mergeCell ref="M3:P3"/>
    <mergeCell ref="I3:L3"/>
    <mergeCell ref="U3:AD3"/>
    <mergeCell ref="A38:R38"/>
    <mergeCell ref="B39:C39"/>
    <mergeCell ref="D39:E39"/>
    <mergeCell ref="F39:H39"/>
    <mergeCell ref="I39:J39"/>
    <mergeCell ref="M39:N39"/>
    <mergeCell ref="Q39:R39"/>
    <mergeCell ref="A43:R43"/>
    <mergeCell ref="B45:C45"/>
    <mergeCell ref="D45:E45"/>
    <mergeCell ref="F45:H45"/>
    <mergeCell ref="I45:J45"/>
    <mergeCell ref="M45:N45"/>
    <mergeCell ref="Q45:R45"/>
    <mergeCell ref="Q47:R47"/>
    <mergeCell ref="B46:C46"/>
    <mergeCell ref="D46:E46"/>
    <mergeCell ref="F46:H46"/>
    <mergeCell ref="I46:J46"/>
    <mergeCell ref="M46:N46"/>
    <mergeCell ref="Q46:R46"/>
    <mergeCell ref="B47:C47"/>
    <mergeCell ref="D47:E47"/>
    <mergeCell ref="F47:H47"/>
    <mergeCell ref="I47:J47"/>
    <mergeCell ref="M47:N47"/>
    <mergeCell ref="A49:R49"/>
    <mergeCell ref="B51:C51"/>
    <mergeCell ref="D51:E51"/>
    <mergeCell ref="F51:H51"/>
    <mergeCell ref="I51:J51"/>
    <mergeCell ref="M51:N51"/>
    <mergeCell ref="Q51:R51"/>
    <mergeCell ref="Q53:R53"/>
    <mergeCell ref="B52:C52"/>
    <mergeCell ref="D52:E52"/>
    <mergeCell ref="F52:H52"/>
    <mergeCell ref="I52:J52"/>
    <mergeCell ref="M52:N52"/>
    <mergeCell ref="Q52:R52"/>
    <mergeCell ref="B53:C53"/>
    <mergeCell ref="D53:E53"/>
    <mergeCell ref="F53:H53"/>
    <mergeCell ref="I53:J53"/>
    <mergeCell ref="M53:N5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0.39997558519241921"/>
  </sheetPr>
  <dimension ref="A1:AJ21"/>
  <sheetViews>
    <sheetView rightToLeft="1" zoomScale="106" zoomScaleNormal="130" workbookViewId="0">
      <selection activeCell="I29" sqref="I29"/>
    </sheetView>
  </sheetViews>
  <sheetFormatPr baseColWidth="10" defaultColWidth="8.83203125" defaultRowHeight="15"/>
  <cols>
    <col min="1" max="1" width="13.1640625" customWidth="1"/>
    <col min="2" max="2" width="30.1640625" customWidth="1"/>
    <col min="3" max="3" width="10.33203125" bestFit="1" customWidth="1"/>
    <col min="4" max="4" width="2.6640625" customWidth="1"/>
    <col min="5" max="5" width="17.33203125" customWidth="1"/>
    <col min="6" max="6" width="23.5" customWidth="1"/>
    <col min="8" max="8" width="2.6640625" customWidth="1"/>
    <col min="9" max="9" width="15" customWidth="1"/>
    <col min="10" max="10" width="25.83203125" customWidth="1"/>
  </cols>
  <sheetData>
    <row r="1" spans="1:36" ht="30" thickBot="1">
      <c r="A1" s="225" t="s">
        <v>202</v>
      </c>
      <c r="B1" s="225"/>
      <c r="C1" s="225"/>
      <c r="D1" s="225"/>
      <c r="E1" s="225"/>
      <c r="F1" s="225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</row>
    <row r="2" spans="1:36" ht="16" thickBot="1">
      <c r="A2" s="1090" t="s">
        <v>19</v>
      </c>
      <c r="B2" s="1091"/>
      <c r="C2" s="1092"/>
      <c r="E2" s="1090" t="s">
        <v>330</v>
      </c>
      <c r="F2" s="1091"/>
      <c r="G2" s="1092"/>
      <c r="I2" s="1090" t="s">
        <v>331</v>
      </c>
      <c r="J2" s="1091"/>
      <c r="K2" s="1092"/>
    </row>
    <row r="3" spans="1:36">
      <c r="A3" s="174" t="s">
        <v>215</v>
      </c>
      <c r="B3" s="259"/>
      <c r="C3" s="175">
        <v>2</v>
      </c>
      <c r="E3" s="267" t="s">
        <v>39</v>
      </c>
      <c r="F3" s="268"/>
      <c r="G3" s="256">
        <v>98.100000000000009</v>
      </c>
      <c r="H3" s="254"/>
      <c r="I3" s="258" t="s">
        <v>90</v>
      </c>
      <c r="J3" s="22"/>
      <c r="K3" s="202">
        <v>111.01102817375002</v>
      </c>
    </row>
    <row r="4" spans="1:36">
      <c r="A4" s="174" t="s">
        <v>216</v>
      </c>
      <c r="B4" s="259"/>
      <c r="C4" s="175">
        <v>9.5</v>
      </c>
      <c r="E4" s="353" t="s">
        <v>210</v>
      </c>
      <c r="F4" s="354"/>
      <c r="G4" s="257">
        <v>146.53100000000001</v>
      </c>
      <c r="H4" s="18"/>
      <c r="I4" s="34" t="s">
        <v>210</v>
      </c>
      <c r="J4" s="18"/>
      <c r="K4" s="202">
        <v>266.42000000000007</v>
      </c>
    </row>
    <row r="5" spans="1:36">
      <c r="A5" s="174" t="s">
        <v>217</v>
      </c>
      <c r="B5" s="259"/>
      <c r="C5" s="175">
        <v>16.5</v>
      </c>
      <c r="E5" s="353" t="s">
        <v>211</v>
      </c>
      <c r="F5" s="354"/>
      <c r="G5" s="257">
        <f>SUM(G3:G4)</f>
        <v>244.63100000000003</v>
      </c>
      <c r="H5" s="18"/>
      <c r="I5" s="34" t="s">
        <v>212</v>
      </c>
      <c r="J5" s="18"/>
      <c r="K5" s="202">
        <f>SUM(K3:K4)</f>
        <v>377.43102817375006</v>
      </c>
    </row>
    <row r="6" spans="1:36">
      <c r="A6" s="174" t="s">
        <v>218</v>
      </c>
      <c r="B6" s="259"/>
      <c r="C6" s="175">
        <v>5</v>
      </c>
      <c r="E6" s="353" t="s">
        <v>288</v>
      </c>
      <c r="F6" s="354"/>
      <c r="G6" s="257">
        <f>+G5*3</f>
        <v>733.89300000000003</v>
      </c>
      <c r="H6" s="18"/>
      <c r="I6" s="258" t="s">
        <v>105</v>
      </c>
      <c r="J6" s="22"/>
      <c r="K6" s="202">
        <f>K5/2*6</f>
        <v>1132.2930845212502</v>
      </c>
    </row>
    <row r="7" spans="1:36">
      <c r="A7" s="174" t="s">
        <v>219</v>
      </c>
      <c r="B7" s="259"/>
      <c r="C7" s="175">
        <f>25/3.6</f>
        <v>6.9444444444444446</v>
      </c>
      <c r="E7" s="353" t="s">
        <v>289</v>
      </c>
      <c r="F7" s="349"/>
      <c r="G7" s="309">
        <f>G14</f>
        <v>558.85963027708578</v>
      </c>
      <c r="H7" s="18"/>
      <c r="I7" s="353" t="s">
        <v>246</v>
      </c>
      <c r="J7" s="349"/>
      <c r="K7" s="309">
        <f>K14</f>
        <v>859.56836019367847</v>
      </c>
    </row>
    <row r="8" spans="1:36">
      <c r="A8" s="174" t="s">
        <v>220</v>
      </c>
      <c r="B8" s="259"/>
      <c r="C8" s="175">
        <v>22</v>
      </c>
      <c r="E8" s="34"/>
      <c r="F8" s="18"/>
      <c r="G8" s="35"/>
      <c r="H8" s="18"/>
      <c r="I8" s="34"/>
      <c r="J8" s="18"/>
      <c r="K8" s="35"/>
    </row>
    <row r="9" spans="1:36">
      <c r="A9" s="174" t="s">
        <v>103</v>
      </c>
      <c r="B9" s="259"/>
      <c r="C9" s="175">
        <f>SUM(C3:C8)</f>
        <v>61.944444444444443</v>
      </c>
      <c r="E9" s="34" t="s">
        <v>6</v>
      </c>
      <c r="F9" s="18" t="s">
        <v>213</v>
      </c>
      <c r="G9" s="35" t="s">
        <v>31</v>
      </c>
      <c r="H9" s="18"/>
      <c r="I9" s="34" t="s">
        <v>6</v>
      </c>
      <c r="J9" s="18" t="s">
        <v>214</v>
      </c>
      <c r="K9" s="35" t="s">
        <v>31</v>
      </c>
    </row>
    <row r="10" spans="1:36">
      <c r="A10" s="174" t="s">
        <v>104</v>
      </c>
      <c r="B10" s="259"/>
      <c r="C10" s="175">
        <f>+C9*6</f>
        <v>371.66666666666663</v>
      </c>
      <c r="E10" s="8">
        <v>2019</v>
      </c>
      <c r="F10" s="9"/>
      <c r="G10" s="20"/>
      <c r="H10" s="18"/>
      <c r="I10" s="8">
        <v>2019</v>
      </c>
      <c r="J10" s="9"/>
      <c r="K10" s="20"/>
    </row>
    <row r="11" spans="1:36">
      <c r="A11" s="174" t="s">
        <v>291</v>
      </c>
      <c r="B11" s="259"/>
      <c r="C11" s="177">
        <f>+(C10)*'הנחות עבודה'!$B$36</f>
        <v>1338</v>
      </c>
      <c r="E11" s="34">
        <f>'הנחות עבודה'!M5</f>
        <v>2024</v>
      </c>
      <c r="F11" s="255">
        <f>+('הנחות עבודה'!$I$8-'הספק לפי חלופה'!$K$8)/'הנחות עבודה'!$I$8*$G$6</f>
        <v>248.22851470588239</v>
      </c>
      <c r="G11" s="202">
        <f>+F11/(1+$F$20)^($E11-$E$10)</f>
        <v>204.02574490737706</v>
      </c>
      <c r="H11" s="18"/>
      <c r="I11" s="34">
        <f>E11</f>
        <v>2024</v>
      </c>
      <c r="J11" s="255">
        <f>+('הנחות עבודה'!$I$8-'הספק לפי חלופה'!$O$8)/'הנחות עבודה'!$I$8*$K$6</f>
        <v>382.98148447042286</v>
      </c>
      <c r="K11" s="202">
        <f>+J11/(1+$F$20)^($I11-$I$10)</f>
        <v>314.78286347317618</v>
      </c>
    </row>
    <row r="12" spans="1:36">
      <c r="A12" s="174" t="s">
        <v>221</v>
      </c>
      <c r="B12" s="259"/>
      <c r="C12" s="175">
        <v>166</v>
      </c>
      <c r="E12" s="34">
        <f>'הנחות עבודה'!M4</f>
        <v>2026</v>
      </c>
      <c r="F12" s="255">
        <f>+('הנחות עבודה'!$I$8-'הספק לפי חלופה'!$L$10)/'הנחות עבודה'!$I$8*$G$6</f>
        <v>237.43597058823531</v>
      </c>
      <c r="G12" s="202">
        <f>+F12/(1+$F$20)^($E12-$E$10)</f>
        <v>180.43182354492117</v>
      </c>
      <c r="H12" s="18"/>
      <c r="I12" s="34">
        <f t="shared" ref="I12:I13" si="0">E12</f>
        <v>2026</v>
      </c>
      <c r="J12" s="255">
        <f>+('הנחות עבודה'!$I$8-'הספק לפי חלופה'!$P$10)/'הנחות עבודה'!$I$8*$K$6</f>
        <v>319.70628268835299</v>
      </c>
      <c r="K12" s="202">
        <f>+J12/(1+$F$20)^($I12-$I$10)</f>
        <v>242.95049920749386</v>
      </c>
    </row>
    <row r="13" spans="1:36">
      <c r="A13" s="262" t="s">
        <v>328</v>
      </c>
      <c r="B13" s="254"/>
      <c r="C13" s="263">
        <f>SUM(C11:C12)</f>
        <v>1504</v>
      </c>
      <c r="E13" s="34">
        <f>'הנחות עבודה'!M6</f>
        <v>2028</v>
      </c>
      <c r="F13" s="255">
        <f>+G6-F12-F11</f>
        <v>248.22851470588233</v>
      </c>
      <c r="G13" s="202">
        <f>+F13/(1+$F$20)^($E13-$E$10)</f>
        <v>174.40206182478758</v>
      </c>
      <c r="H13" s="18"/>
      <c r="I13" s="34">
        <f t="shared" si="0"/>
        <v>2028</v>
      </c>
      <c r="J13" s="255">
        <f>+K6-J12-J11</f>
        <v>429.60531736247435</v>
      </c>
      <c r="K13" s="202">
        <f>+J13/(1+$F$20)^($I13-$I$10)</f>
        <v>301.83499751300832</v>
      </c>
    </row>
    <row r="14" spans="1:36" ht="16" thickBot="1">
      <c r="A14" s="8" t="s">
        <v>329</v>
      </c>
      <c r="B14" s="9"/>
      <c r="C14" s="173">
        <f>C21</f>
        <v>1238.7523991453452</v>
      </c>
      <c r="E14" s="176" t="s">
        <v>32</v>
      </c>
      <c r="F14" s="260">
        <f>SUM(F11:F13)</f>
        <v>733.89300000000003</v>
      </c>
      <c r="G14" s="261">
        <f>SUM(G11:G13)</f>
        <v>558.85963027708578</v>
      </c>
      <c r="I14" s="176" t="s">
        <v>32</v>
      </c>
      <c r="J14" s="260">
        <f>SUM(J11:J13)</f>
        <v>1132.2930845212502</v>
      </c>
      <c r="K14" s="261">
        <f>SUM(K11:K13)</f>
        <v>859.56836019367847</v>
      </c>
    </row>
    <row r="15" spans="1:36">
      <c r="A15" s="8"/>
      <c r="B15" s="9"/>
      <c r="C15" s="20"/>
    </row>
    <row r="16" spans="1:36">
      <c r="A16" s="34" t="s">
        <v>6</v>
      </c>
      <c r="B16" s="18" t="s">
        <v>222</v>
      </c>
      <c r="C16" s="35" t="s">
        <v>31</v>
      </c>
    </row>
    <row r="17" spans="1:6">
      <c r="A17" s="8">
        <v>2019</v>
      </c>
      <c r="B17" s="9"/>
      <c r="C17" s="20"/>
    </row>
    <row r="18" spans="1:6">
      <c r="A18" s="34">
        <v>2022</v>
      </c>
      <c r="B18" s="255">
        <f>+('הנחות עבודה'!$I$8-'הספק לפי חלופה'!$H$6)/'הנחות עבודה'!$I$8*$C$13</f>
        <v>508.70588235294122</v>
      </c>
      <c r="C18" s="202">
        <f>+B18/(1+$F$20)^($A18-$A$17)</f>
        <v>452.23767704623953</v>
      </c>
      <c r="E18" s="92" t="s">
        <v>474</v>
      </c>
    </row>
    <row r="19" spans="1:6">
      <c r="A19" s="34">
        <v>2024</v>
      </c>
      <c r="B19" s="255">
        <f>+('הנחות עבודה'!$I$8-'הספק לפי חלופה'!$I$8)/'הנחות עבודה'!$I$8*$C$13</f>
        <v>486.58823529411768</v>
      </c>
      <c r="C19" s="202">
        <f>+B19/(1+$F$20)^($A19-$A$17)</f>
        <v>399.94006041843272</v>
      </c>
      <c r="E19" s="92" t="s">
        <v>89</v>
      </c>
    </row>
    <row r="20" spans="1:6">
      <c r="A20" s="34">
        <v>2026</v>
      </c>
      <c r="B20" s="255">
        <f>+C13-B19-B18</f>
        <v>508.7058823529411</v>
      </c>
      <c r="C20" s="202">
        <f>+B20/(1+$F$20)^($A20-$A$17)</f>
        <v>386.57466168067305</v>
      </c>
      <c r="E20" t="s">
        <v>12</v>
      </c>
      <c r="F20" s="3">
        <f>+'הנחות עבודה'!B37</f>
        <v>0.04</v>
      </c>
    </row>
    <row r="21" spans="1:6" ht="16" thickBot="1">
      <c r="A21" s="176" t="s">
        <v>32</v>
      </c>
      <c r="B21" s="260">
        <f>SUM(B18:B20)</f>
        <v>1504</v>
      </c>
      <c r="C21" s="261">
        <f>SUM(C18:C20)</f>
        <v>1238.7523991453452</v>
      </c>
    </row>
  </sheetData>
  <mergeCells count="3">
    <mergeCell ref="A2:C2"/>
    <mergeCell ref="E2:G2"/>
    <mergeCell ref="I2:K2"/>
  </mergeCells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8" tint="0.39997558519241921"/>
  </sheetPr>
  <dimension ref="A1:AJ38"/>
  <sheetViews>
    <sheetView rightToLeft="1" zoomScaleNormal="112" workbookViewId="0">
      <selection activeCell="K27" sqref="K27"/>
    </sheetView>
  </sheetViews>
  <sheetFormatPr baseColWidth="10" defaultColWidth="8.83203125" defaultRowHeight="15"/>
  <cols>
    <col min="1" max="1" width="45.33203125" customWidth="1"/>
    <col min="2" max="2" width="6.33203125" bestFit="1" customWidth="1"/>
    <col min="3" max="3" width="11.6640625" bestFit="1" customWidth="1"/>
    <col min="4" max="4" width="3.5" bestFit="1" customWidth="1"/>
    <col min="5" max="5" width="9" bestFit="1" customWidth="1"/>
    <col min="6" max="14" width="12" customWidth="1"/>
  </cols>
  <sheetData>
    <row r="1" spans="1:36" ht="30" thickBot="1">
      <c r="A1" s="225" t="s">
        <v>347</v>
      </c>
      <c r="B1" s="225"/>
      <c r="C1" s="225"/>
      <c r="D1" s="225"/>
      <c r="E1" s="225"/>
      <c r="F1" s="225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</row>
    <row r="2" spans="1:36" ht="16" thickBot="1">
      <c r="E2" s="101"/>
      <c r="F2" s="1093" t="s">
        <v>280</v>
      </c>
      <c r="G2" s="1094"/>
      <c r="H2" s="1095"/>
      <c r="I2" s="1093" t="s">
        <v>284</v>
      </c>
      <c r="J2" s="1094"/>
      <c r="K2" s="1095"/>
      <c r="L2" s="1093" t="s">
        <v>285</v>
      </c>
      <c r="M2" s="1094"/>
      <c r="N2" s="1095"/>
    </row>
    <row r="3" spans="1:36" ht="16" thickBot="1">
      <c r="A3" s="191" t="s">
        <v>10</v>
      </c>
      <c r="B3" s="466"/>
      <c r="D3" s="360"/>
      <c r="E3" s="63" t="s">
        <v>6</v>
      </c>
      <c r="F3" s="289" t="s">
        <v>300</v>
      </c>
      <c r="G3" s="289" t="s">
        <v>279</v>
      </c>
      <c r="H3" s="421" t="s">
        <v>4</v>
      </c>
      <c r="I3" s="420" t="s">
        <v>300</v>
      </c>
      <c r="J3" s="289" t="s">
        <v>279</v>
      </c>
      <c r="K3" s="289" t="s">
        <v>4</v>
      </c>
      <c r="L3" s="289" t="s">
        <v>300</v>
      </c>
      <c r="M3" s="289" t="s">
        <v>279</v>
      </c>
      <c r="N3" s="289" t="s">
        <v>4</v>
      </c>
    </row>
    <row r="4" spans="1:36" ht="17" thickBot="1">
      <c r="A4" s="468" t="s">
        <v>286</v>
      </c>
      <c r="B4" s="472">
        <f>'הנחות עבודה'!B37</f>
        <v>0.04</v>
      </c>
      <c r="C4" s="464"/>
      <c r="D4" s="360"/>
      <c r="E4" s="355">
        <v>2019</v>
      </c>
      <c r="F4" s="356">
        <f t="shared" ref="F4:F19" si="0">IF(AND(MOD($E4,B$9)&lt;$B$8*B$11,MOD($E4-B$9,B$11)=0),$B$7/$B$8,0)+IF(AND(MOD(MOD($E4,B$9),$B$6+1)&lt;$B$8*B$11,MOD($E4-(B$9+$B$6+1),B$11)=0),$B$7/$B$8,0)*(IF($E4-B$9&lt;$B$8*B$11,0,1))</f>
        <v>0</v>
      </c>
      <c r="G4" s="365">
        <f>IF(AND(MOD($E4,B$10)&lt;$B$8*B$12,MOD($E4-B$10,B$12)=0),$B$7/$B$8,0)+IF(AND(MOD(MOD($E4,B$10),$B$6+1)&lt;$B$8*B$12,MOD($E4-(B$10+$B$6+1),B$12)=0),$B$7/$B$8,0)*(IF($E4-B$10&lt;$B$8*B$12,0,1))</f>
        <v>0</v>
      </c>
      <c r="H4" s="88">
        <f>G4</f>
        <v>0</v>
      </c>
      <c r="I4" s="417">
        <f t="shared" ref="I4:I19" si="1">F4*$B$5*1000/10^6</f>
        <v>0</v>
      </c>
      <c r="J4" s="365">
        <f t="shared" ref="J4:J19" si="2">G4*$B$5*1000/10^6</f>
        <v>0</v>
      </c>
      <c r="K4" s="357">
        <f t="shared" ref="K4:K19" si="3">H4*$B$5*1000/10^6</f>
        <v>0</v>
      </c>
      <c r="L4" s="362">
        <f t="shared" ref="L4:L19" si="4">-PMT($B$4,$B$6,SUMIFS(I$4:I$30,$E$4:$E$30,"&gt;"&amp;($E4-$B$6),$E$4:$E$30,"&lt;="&amp;$E4))</f>
        <v>0</v>
      </c>
      <c r="M4" s="366">
        <f t="shared" ref="M4:M19" si="5">-PMT($B$4,$B$6,SUMIFS(J$4:J$30,$E$4:$E$30,"&gt;"&amp;($E4-$B$6),$E$4:$E$30,"&lt;="&amp;$E4))</f>
        <v>0</v>
      </c>
      <c r="N4" s="361">
        <f t="shared" ref="N4:N19" si="6">-PMT($B$4,$B$6,SUMIFS(K$4:K$30,$E$4:$E$30,"&gt;"&amp;($E4-$B$6),$E$4:$E$30,"&lt;="&amp;$E4))</f>
        <v>0</v>
      </c>
    </row>
    <row r="5" spans="1:36" ht="17" thickBot="1">
      <c r="A5" s="468" t="s">
        <v>187</v>
      </c>
      <c r="B5" s="473">
        <f>'הנחות עבודה'!E8</f>
        <v>3785.2673339546313</v>
      </c>
      <c r="C5" s="464"/>
      <c r="D5" s="360"/>
      <c r="E5" s="141">
        <f>+E4+1</f>
        <v>2020</v>
      </c>
      <c r="F5" s="358">
        <f t="shared" si="0"/>
        <v>0</v>
      </c>
      <c r="G5" s="419">
        <f t="shared" ref="G5:G19" si="7">IF(AND(MOD($E5,B$10)&lt;$B$8*B$12,MOD($E5-B$10,B$12)=0),$B$7/$B$8,0)+IF(AND(MOD(MOD($E5,B$10),$B$6+1)&lt;$B$8*B$12,MOD($E5-(B$10+$B$6+1),B$12)=0),$B$7/$B$8,0)*(IF($E5-B$10&lt;$B$8*B$12,0,1))</f>
        <v>0</v>
      </c>
      <c r="H5" s="359">
        <f t="shared" ref="H5:H19" si="8">G5</f>
        <v>0</v>
      </c>
      <c r="I5" s="418">
        <f t="shared" si="1"/>
        <v>0</v>
      </c>
      <c r="J5" s="297">
        <f t="shared" si="2"/>
        <v>0</v>
      </c>
      <c r="K5" s="359">
        <f t="shared" si="3"/>
        <v>0</v>
      </c>
      <c r="L5" s="363">
        <f t="shared" si="4"/>
        <v>0</v>
      </c>
      <c r="M5" s="296">
        <f t="shared" si="5"/>
        <v>0</v>
      </c>
      <c r="N5" s="364">
        <f t="shared" si="6"/>
        <v>0</v>
      </c>
    </row>
    <row r="6" spans="1:36" ht="17" thickBot="1">
      <c r="A6" s="469" t="s">
        <v>281</v>
      </c>
      <c r="B6" s="474">
        <f>'הנחות עבודה'!E23</f>
        <v>25</v>
      </c>
      <c r="C6" s="465"/>
      <c r="D6" s="360"/>
      <c r="E6" s="141">
        <f t="shared" ref="E6:E30" si="9">+E5+1</f>
        <v>2021</v>
      </c>
      <c r="F6" s="358">
        <f t="shared" si="0"/>
        <v>0</v>
      </c>
      <c r="G6" s="419">
        <f t="shared" si="7"/>
        <v>0</v>
      </c>
      <c r="H6" s="359">
        <f t="shared" si="8"/>
        <v>0</v>
      </c>
      <c r="I6" s="418">
        <f t="shared" si="1"/>
        <v>0</v>
      </c>
      <c r="J6" s="297">
        <f t="shared" si="2"/>
        <v>0</v>
      </c>
      <c r="K6" s="359">
        <f t="shared" si="3"/>
        <v>0</v>
      </c>
      <c r="L6" s="363">
        <f t="shared" si="4"/>
        <v>0</v>
      </c>
      <c r="M6" s="296">
        <f t="shared" si="5"/>
        <v>0</v>
      </c>
      <c r="N6" s="364">
        <f t="shared" si="6"/>
        <v>0</v>
      </c>
      <c r="O6" s="17"/>
    </row>
    <row r="7" spans="1:36" ht="15.75" customHeight="1" thickBot="1">
      <c r="A7" s="467" t="s">
        <v>282</v>
      </c>
      <c r="B7" s="475">
        <f>'הנחות עבודה'!E22</f>
        <v>3660</v>
      </c>
      <c r="C7" s="465"/>
      <c r="D7" s="360"/>
      <c r="E7" s="141">
        <f t="shared" si="9"/>
        <v>2022</v>
      </c>
      <c r="F7" s="358">
        <f t="shared" si="0"/>
        <v>0</v>
      </c>
      <c r="G7" s="419">
        <f t="shared" si="7"/>
        <v>0</v>
      </c>
      <c r="H7" s="359">
        <f t="shared" si="8"/>
        <v>0</v>
      </c>
      <c r="I7" s="418">
        <f t="shared" si="1"/>
        <v>0</v>
      </c>
      <c r="J7" s="297">
        <f t="shared" si="2"/>
        <v>0</v>
      </c>
      <c r="K7" s="359">
        <f t="shared" si="3"/>
        <v>0</v>
      </c>
      <c r="L7" s="363">
        <f t="shared" si="4"/>
        <v>0</v>
      </c>
      <c r="M7" s="296">
        <f t="shared" si="5"/>
        <v>0</v>
      </c>
      <c r="N7" s="364">
        <f t="shared" si="6"/>
        <v>0</v>
      </c>
    </row>
    <row r="8" spans="1:36" ht="17" thickBot="1">
      <c r="A8" s="467" t="s">
        <v>283</v>
      </c>
      <c r="B8" s="475">
        <v>3</v>
      </c>
      <c r="C8" s="465"/>
      <c r="D8" s="360"/>
      <c r="E8" s="141">
        <f t="shared" si="9"/>
        <v>2023</v>
      </c>
      <c r="F8" s="358">
        <f t="shared" si="0"/>
        <v>0</v>
      </c>
      <c r="G8" s="419">
        <f t="shared" si="7"/>
        <v>0</v>
      </c>
      <c r="H8" s="359">
        <f t="shared" si="8"/>
        <v>0</v>
      </c>
      <c r="I8" s="418">
        <f t="shared" si="1"/>
        <v>0</v>
      </c>
      <c r="J8" s="297">
        <f t="shared" si="2"/>
        <v>0</v>
      </c>
      <c r="K8" s="359">
        <f t="shared" si="3"/>
        <v>0</v>
      </c>
      <c r="L8" s="363">
        <f t="shared" si="4"/>
        <v>0</v>
      </c>
      <c r="M8" s="296">
        <f t="shared" si="5"/>
        <v>0</v>
      </c>
      <c r="N8" s="364">
        <f t="shared" si="6"/>
        <v>0</v>
      </c>
    </row>
    <row r="9" spans="1:36" ht="16">
      <c r="A9" s="468" t="s">
        <v>341</v>
      </c>
      <c r="B9" s="476">
        <v>2024</v>
      </c>
      <c r="D9" s="360"/>
      <c r="E9" s="141">
        <f t="shared" si="9"/>
        <v>2024</v>
      </c>
      <c r="F9" s="358">
        <f t="shared" si="0"/>
        <v>1220</v>
      </c>
      <c r="G9" s="419">
        <f t="shared" si="7"/>
        <v>0</v>
      </c>
      <c r="H9" s="359">
        <f t="shared" si="8"/>
        <v>0</v>
      </c>
      <c r="I9" s="418">
        <f t="shared" si="1"/>
        <v>4618.0261474246499</v>
      </c>
      <c r="J9" s="297">
        <f t="shared" si="2"/>
        <v>0</v>
      </c>
      <c r="K9" s="359">
        <f t="shared" si="3"/>
        <v>0</v>
      </c>
      <c r="L9" s="363">
        <f t="shared" si="4"/>
        <v>295.60891789582104</v>
      </c>
      <c r="M9" s="296">
        <f t="shared" si="5"/>
        <v>0</v>
      </c>
      <c r="N9" s="364">
        <f t="shared" si="6"/>
        <v>0</v>
      </c>
    </row>
    <row r="10" spans="1:36" ht="17" thickBot="1">
      <c r="A10" s="467" t="s">
        <v>342</v>
      </c>
      <c r="B10" s="477">
        <v>2040</v>
      </c>
      <c r="E10" s="141">
        <f t="shared" si="9"/>
        <v>2025</v>
      </c>
      <c r="F10" s="358">
        <f t="shared" si="0"/>
        <v>0</v>
      </c>
      <c r="G10" s="419">
        <f t="shared" si="7"/>
        <v>0</v>
      </c>
      <c r="H10" s="359">
        <f t="shared" si="8"/>
        <v>0</v>
      </c>
      <c r="I10" s="418">
        <f t="shared" si="1"/>
        <v>0</v>
      </c>
      <c r="J10" s="297">
        <f t="shared" si="2"/>
        <v>0</v>
      </c>
      <c r="K10" s="359">
        <f t="shared" si="3"/>
        <v>0</v>
      </c>
      <c r="L10" s="363">
        <f t="shared" si="4"/>
        <v>295.60891789582104</v>
      </c>
      <c r="M10" s="296">
        <f t="shared" si="5"/>
        <v>0</v>
      </c>
      <c r="N10" s="364">
        <f t="shared" si="6"/>
        <v>0</v>
      </c>
    </row>
    <row r="11" spans="1:36" ht="16">
      <c r="A11" s="468" t="s">
        <v>343</v>
      </c>
      <c r="B11" s="476">
        <v>2</v>
      </c>
      <c r="E11" s="141">
        <f t="shared" si="9"/>
        <v>2026</v>
      </c>
      <c r="F11" s="358">
        <f t="shared" si="0"/>
        <v>1220</v>
      </c>
      <c r="G11" s="419">
        <f t="shared" si="7"/>
        <v>0</v>
      </c>
      <c r="H11" s="359">
        <f t="shared" si="8"/>
        <v>0</v>
      </c>
      <c r="I11" s="418">
        <f t="shared" si="1"/>
        <v>4618.0261474246499</v>
      </c>
      <c r="J11" s="297">
        <f t="shared" si="2"/>
        <v>0</v>
      </c>
      <c r="K11" s="359">
        <f t="shared" si="3"/>
        <v>0</v>
      </c>
      <c r="L11" s="363">
        <f t="shared" si="4"/>
        <v>591.21783579164207</v>
      </c>
      <c r="M11" s="296">
        <f t="shared" si="5"/>
        <v>0</v>
      </c>
      <c r="N11" s="364">
        <f t="shared" si="6"/>
        <v>0</v>
      </c>
    </row>
    <row r="12" spans="1:36" ht="17" thickBot="1">
      <c r="A12" s="467" t="s">
        <v>344</v>
      </c>
      <c r="B12" s="477">
        <v>5</v>
      </c>
      <c r="E12" s="141">
        <f t="shared" si="9"/>
        <v>2027</v>
      </c>
      <c r="F12" s="358">
        <f t="shared" si="0"/>
        <v>0</v>
      </c>
      <c r="G12" s="419">
        <f t="shared" si="7"/>
        <v>0</v>
      </c>
      <c r="H12" s="359">
        <f t="shared" si="8"/>
        <v>0</v>
      </c>
      <c r="I12" s="418">
        <f t="shared" si="1"/>
        <v>0</v>
      </c>
      <c r="J12" s="297">
        <f t="shared" si="2"/>
        <v>0</v>
      </c>
      <c r="K12" s="359">
        <f t="shared" si="3"/>
        <v>0</v>
      </c>
      <c r="L12" s="363">
        <f t="shared" si="4"/>
        <v>591.21783579164207</v>
      </c>
      <c r="M12" s="296">
        <f t="shared" si="5"/>
        <v>0</v>
      </c>
      <c r="N12" s="364">
        <f t="shared" si="6"/>
        <v>0</v>
      </c>
    </row>
    <row r="13" spans="1:36">
      <c r="E13" s="141">
        <f t="shared" si="9"/>
        <v>2028</v>
      </c>
      <c r="F13" s="358">
        <f t="shared" si="0"/>
        <v>1220</v>
      </c>
      <c r="G13" s="419">
        <f t="shared" si="7"/>
        <v>0</v>
      </c>
      <c r="H13" s="359">
        <f t="shared" si="8"/>
        <v>0</v>
      </c>
      <c r="I13" s="418">
        <f t="shared" si="1"/>
        <v>4618.0261474246499</v>
      </c>
      <c r="J13" s="297">
        <f t="shared" si="2"/>
        <v>0</v>
      </c>
      <c r="K13" s="359">
        <f t="shared" si="3"/>
        <v>0</v>
      </c>
      <c r="L13" s="363">
        <f t="shared" si="4"/>
        <v>886.82675368746288</v>
      </c>
      <c r="M13" s="296">
        <f t="shared" si="5"/>
        <v>0</v>
      </c>
      <c r="N13" s="364">
        <f t="shared" si="6"/>
        <v>0</v>
      </c>
    </row>
    <row r="14" spans="1:36" ht="16" thickBot="1">
      <c r="E14" s="141">
        <f t="shared" si="9"/>
        <v>2029</v>
      </c>
      <c r="F14" s="358">
        <f t="shared" si="0"/>
        <v>0</v>
      </c>
      <c r="G14" s="419">
        <f t="shared" si="7"/>
        <v>0</v>
      </c>
      <c r="H14" s="359">
        <f t="shared" si="8"/>
        <v>0</v>
      </c>
      <c r="I14" s="418">
        <f t="shared" si="1"/>
        <v>0</v>
      </c>
      <c r="J14" s="297">
        <f t="shared" si="2"/>
        <v>0</v>
      </c>
      <c r="K14" s="359">
        <f t="shared" si="3"/>
        <v>0</v>
      </c>
      <c r="L14" s="363">
        <f t="shared" si="4"/>
        <v>886.82675368746288</v>
      </c>
      <c r="M14" s="296">
        <f t="shared" si="5"/>
        <v>0</v>
      </c>
      <c r="N14" s="364">
        <f t="shared" si="6"/>
        <v>0</v>
      </c>
    </row>
    <row r="15" spans="1:36" ht="17" thickBot="1">
      <c r="A15" s="470" t="s">
        <v>346</v>
      </c>
      <c r="B15" s="471">
        <f>L31-M31</f>
        <v>8747.1856834262035</v>
      </c>
      <c r="E15" s="141">
        <f t="shared" si="9"/>
        <v>2030</v>
      </c>
      <c r="F15" s="358">
        <f t="shared" si="0"/>
        <v>0</v>
      </c>
      <c r="G15" s="419">
        <f t="shared" si="7"/>
        <v>0</v>
      </c>
      <c r="H15" s="359">
        <f t="shared" si="8"/>
        <v>0</v>
      </c>
      <c r="I15" s="418">
        <f t="shared" si="1"/>
        <v>0</v>
      </c>
      <c r="J15" s="297">
        <f t="shared" si="2"/>
        <v>0</v>
      </c>
      <c r="K15" s="359">
        <f t="shared" si="3"/>
        <v>0</v>
      </c>
      <c r="L15" s="363">
        <f t="shared" si="4"/>
        <v>886.82675368746288</v>
      </c>
      <c r="M15" s="296">
        <f t="shared" si="5"/>
        <v>0</v>
      </c>
      <c r="N15" s="364">
        <f t="shared" si="6"/>
        <v>0</v>
      </c>
    </row>
    <row r="16" spans="1:36" ht="17" thickBot="1">
      <c r="A16" s="470" t="s">
        <v>345</v>
      </c>
      <c r="B16" s="471">
        <f>N32</f>
        <v>0</v>
      </c>
      <c r="E16" s="141">
        <f t="shared" si="9"/>
        <v>2031</v>
      </c>
      <c r="F16" s="358">
        <f t="shared" si="0"/>
        <v>0</v>
      </c>
      <c r="G16" s="419">
        <f t="shared" si="7"/>
        <v>0</v>
      </c>
      <c r="H16" s="359">
        <f t="shared" si="8"/>
        <v>0</v>
      </c>
      <c r="I16" s="418">
        <f t="shared" si="1"/>
        <v>0</v>
      </c>
      <c r="J16" s="297">
        <f t="shared" si="2"/>
        <v>0</v>
      </c>
      <c r="K16" s="359">
        <f t="shared" si="3"/>
        <v>0</v>
      </c>
      <c r="L16" s="363">
        <f t="shared" si="4"/>
        <v>886.82675368746288</v>
      </c>
      <c r="M16" s="296">
        <f t="shared" si="5"/>
        <v>0</v>
      </c>
      <c r="N16" s="364">
        <f t="shared" si="6"/>
        <v>0</v>
      </c>
    </row>
    <row r="17" spans="5:14">
      <c r="E17" s="141">
        <f t="shared" si="9"/>
        <v>2032</v>
      </c>
      <c r="F17" s="358">
        <f t="shared" si="0"/>
        <v>0</v>
      </c>
      <c r="G17" s="419">
        <f t="shared" si="7"/>
        <v>0</v>
      </c>
      <c r="H17" s="359">
        <f t="shared" si="8"/>
        <v>0</v>
      </c>
      <c r="I17" s="418">
        <f t="shared" si="1"/>
        <v>0</v>
      </c>
      <c r="J17" s="297">
        <f t="shared" si="2"/>
        <v>0</v>
      </c>
      <c r="K17" s="359">
        <f t="shared" si="3"/>
        <v>0</v>
      </c>
      <c r="L17" s="363">
        <f t="shared" si="4"/>
        <v>886.82675368746288</v>
      </c>
      <c r="M17" s="296">
        <f t="shared" si="5"/>
        <v>0</v>
      </c>
      <c r="N17" s="364">
        <f t="shared" si="6"/>
        <v>0</v>
      </c>
    </row>
    <row r="18" spans="5:14">
      <c r="E18" s="141">
        <f t="shared" si="9"/>
        <v>2033</v>
      </c>
      <c r="F18" s="358">
        <f t="shared" si="0"/>
        <v>0</v>
      </c>
      <c r="G18" s="419">
        <f t="shared" si="7"/>
        <v>0</v>
      </c>
      <c r="H18" s="359">
        <f t="shared" si="8"/>
        <v>0</v>
      </c>
      <c r="I18" s="418">
        <f t="shared" si="1"/>
        <v>0</v>
      </c>
      <c r="J18" s="297">
        <f t="shared" si="2"/>
        <v>0</v>
      </c>
      <c r="K18" s="359">
        <f t="shared" si="3"/>
        <v>0</v>
      </c>
      <c r="L18" s="363">
        <f t="shared" si="4"/>
        <v>886.82675368746288</v>
      </c>
      <c r="M18" s="296">
        <f t="shared" si="5"/>
        <v>0</v>
      </c>
      <c r="N18" s="364">
        <f t="shared" si="6"/>
        <v>0</v>
      </c>
    </row>
    <row r="19" spans="5:14">
      <c r="E19" s="141">
        <f t="shared" si="9"/>
        <v>2034</v>
      </c>
      <c r="F19" s="358">
        <f t="shared" si="0"/>
        <v>0</v>
      </c>
      <c r="G19" s="419">
        <f t="shared" si="7"/>
        <v>0</v>
      </c>
      <c r="H19" s="359">
        <f t="shared" si="8"/>
        <v>0</v>
      </c>
      <c r="I19" s="418">
        <f t="shared" si="1"/>
        <v>0</v>
      </c>
      <c r="J19" s="297">
        <f t="shared" si="2"/>
        <v>0</v>
      </c>
      <c r="K19" s="359">
        <f t="shared" si="3"/>
        <v>0</v>
      </c>
      <c r="L19" s="363">
        <f t="shared" si="4"/>
        <v>886.82675368746288</v>
      </c>
      <c r="M19" s="296">
        <f t="shared" si="5"/>
        <v>0</v>
      </c>
      <c r="N19" s="364">
        <f t="shared" si="6"/>
        <v>0</v>
      </c>
    </row>
    <row r="20" spans="5:14">
      <c r="E20" s="141">
        <f t="shared" si="9"/>
        <v>2035</v>
      </c>
      <c r="F20" s="358">
        <f t="shared" ref="F20:F30" si="10">IF(AND(MOD($E20,B$9)&lt;$B$8*B$11,MOD($E20-B$9,B$11)=0),$B$7/$B$8,0)+IF(AND(MOD(MOD($E20,B$9),$B$6+1)&lt;$B$8*B$11,MOD($E20-(B$9+$B$6+1),B$11)=0),$B$7/$B$8,0)*(IF($E20-B$9&lt;$B$8*B$11,0,1))</f>
        <v>0</v>
      </c>
      <c r="G20" s="419">
        <f t="shared" ref="G20:G30" si="11">IF(AND(MOD($E20,B$10)&lt;$B$8*B$12,MOD($E20-B$10,B$12)=0),$B$7/$B$8,0)+IF(AND(MOD(MOD($E20,B$10),$B$6+1)&lt;$B$8*B$12,MOD($E20-(B$10+$B$6+1),B$12)=0),$B$7/$B$8,0)*(IF($E20-B$10&lt;$B$8*B$12,0,1))</f>
        <v>0</v>
      </c>
      <c r="H20" s="359">
        <f t="shared" ref="H20:H30" si="12">G20</f>
        <v>0</v>
      </c>
      <c r="I20" s="418">
        <f t="shared" ref="I20:I30" si="13">F20*$B$5*1000/10^6</f>
        <v>0</v>
      </c>
      <c r="J20" s="297">
        <f t="shared" ref="J20:J30" si="14">G20*$B$5*1000/10^6</f>
        <v>0</v>
      </c>
      <c r="K20" s="359">
        <f t="shared" ref="K20:K30" si="15">H20*$B$5*1000/10^6</f>
        <v>0</v>
      </c>
      <c r="L20" s="363">
        <f t="shared" ref="L20:L30" si="16">-PMT($B$4,$B$6,SUMIFS(I$4:I$30,$E$4:$E$30,"&gt;"&amp;($E20-$B$6),$E$4:$E$30,"&lt;="&amp;$E20))</f>
        <v>886.82675368746288</v>
      </c>
      <c r="M20" s="296">
        <f t="shared" ref="M20:M30" si="17">-PMT($B$4,$B$6,SUMIFS(J$4:J$30,$E$4:$E$30,"&gt;"&amp;($E20-$B$6),$E$4:$E$30,"&lt;="&amp;$E20))</f>
        <v>0</v>
      </c>
      <c r="N20" s="364">
        <f t="shared" ref="N20:N30" si="18">-PMT($B$4,$B$6,SUMIFS(K$4:K$30,$E$4:$E$30,"&gt;"&amp;($E20-$B$6),$E$4:$E$30,"&lt;="&amp;$E20))</f>
        <v>0</v>
      </c>
    </row>
    <row r="21" spans="5:14">
      <c r="E21" s="141">
        <f t="shared" si="9"/>
        <v>2036</v>
      </c>
      <c r="F21" s="358">
        <f t="shared" si="10"/>
        <v>0</v>
      </c>
      <c r="G21" s="419">
        <f t="shared" si="11"/>
        <v>0</v>
      </c>
      <c r="H21" s="359">
        <f t="shared" si="12"/>
        <v>0</v>
      </c>
      <c r="I21" s="418">
        <f t="shared" si="13"/>
        <v>0</v>
      </c>
      <c r="J21" s="297">
        <f t="shared" si="14"/>
        <v>0</v>
      </c>
      <c r="K21" s="359">
        <f t="shared" si="15"/>
        <v>0</v>
      </c>
      <c r="L21" s="363">
        <f t="shared" si="16"/>
        <v>886.82675368746288</v>
      </c>
      <c r="M21" s="296">
        <f t="shared" si="17"/>
        <v>0</v>
      </c>
      <c r="N21" s="364">
        <f t="shared" si="18"/>
        <v>0</v>
      </c>
    </row>
    <row r="22" spans="5:14">
      <c r="E22" s="141">
        <f t="shared" si="9"/>
        <v>2037</v>
      </c>
      <c r="F22" s="358">
        <f t="shared" si="10"/>
        <v>0</v>
      </c>
      <c r="G22" s="419">
        <f t="shared" si="11"/>
        <v>0</v>
      </c>
      <c r="H22" s="359">
        <f t="shared" si="12"/>
        <v>0</v>
      </c>
      <c r="I22" s="418">
        <f t="shared" si="13"/>
        <v>0</v>
      </c>
      <c r="J22" s="297">
        <f t="shared" si="14"/>
        <v>0</v>
      </c>
      <c r="K22" s="359">
        <f t="shared" si="15"/>
        <v>0</v>
      </c>
      <c r="L22" s="363">
        <f t="shared" si="16"/>
        <v>886.82675368746288</v>
      </c>
      <c r="M22" s="296">
        <f t="shared" si="17"/>
        <v>0</v>
      </c>
      <c r="N22" s="364">
        <f t="shared" si="18"/>
        <v>0</v>
      </c>
    </row>
    <row r="23" spans="5:14">
      <c r="E23" s="141">
        <f t="shared" si="9"/>
        <v>2038</v>
      </c>
      <c r="F23" s="358">
        <f t="shared" si="10"/>
        <v>0</v>
      </c>
      <c r="G23" s="419">
        <f t="shared" si="11"/>
        <v>0</v>
      </c>
      <c r="H23" s="359">
        <f t="shared" si="12"/>
        <v>0</v>
      </c>
      <c r="I23" s="418">
        <f t="shared" si="13"/>
        <v>0</v>
      </c>
      <c r="J23" s="297">
        <f t="shared" si="14"/>
        <v>0</v>
      </c>
      <c r="K23" s="359">
        <f t="shared" si="15"/>
        <v>0</v>
      </c>
      <c r="L23" s="363">
        <f t="shared" si="16"/>
        <v>886.82675368746288</v>
      </c>
      <c r="M23" s="296">
        <f t="shared" si="17"/>
        <v>0</v>
      </c>
      <c r="N23" s="364">
        <f t="shared" si="18"/>
        <v>0</v>
      </c>
    </row>
    <row r="24" spans="5:14">
      <c r="E24" s="141">
        <f t="shared" si="9"/>
        <v>2039</v>
      </c>
      <c r="F24" s="358">
        <f t="shared" si="10"/>
        <v>0</v>
      </c>
      <c r="G24" s="419">
        <f t="shared" si="11"/>
        <v>0</v>
      </c>
      <c r="H24" s="359">
        <f t="shared" si="12"/>
        <v>0</v>
      </c>
      <c r="I24" s="418">
        <f t="shared" si="13"/>
        <v>0</v>
      </c>
      <c r="J24" s="297">
        <f t="shared" si="14"/>
        <v>0</v>
      </c>
      <c r="K24" s="359">
        <f t="shared" si="15"/>
        <v>0</v>
      </c>
      <c r="L24" s="363">
        <f t="shared" si="16"/>
        <v>886.82675368746288</v>
      </c>
      <c r="M24" s="296">
        <f t="shared" si="17"/>
        <v>0</v>
      </c>
      <c r="N24" s="364">
        <f t="shared" si="18"/>
        <v>0</v>
      </c>
    </row>
    <row r="25" spans="5:14">
      <c r="E25" s="141">
        <f t="shared" si="9"/>
        <v>2040</v>
      </c>
      <c r="F25" s="358">
        <f t="shared" si="10"/>
        <v>0</v>
      </c>
      <c r="G25" s="419">
        <f t="shared" si="11"/>
        <v>1220</v>
      </c>
      <c r="H25" s="359">
        <f t="shared" si="12"/>
        <v>1220</v>
      </c>
      <c r="I25" s="418">
        <f t="shared" si="13"/>
        <v>0</v>
      </c>
      <c r="J25" s="297">
        <f t="shared" si="14"/>
        <v>4618.0261474246499</v>
      </c>
      <c r="K25" s="359">
        <f t="shared" si="15"/>
        <v>4618.0261474246499</v>
      </c>
      <c r="L25" s="363">
        <f t="shared" si="16"/>
        <v>886.82675368746288</v>
      </c>
      <c r="M25" s="296">
        <f t="shared" si="17"/>
        <v>295.60891789582104</v>
      </c>
      <c r="N25" s="364">
        <f t="shared" si="18"/>
        <v>295.60891789582104</v>
      </c>
    </row>
    <row r="26" spans="5:14">
      <c r="E26" s="141">
        <f t="shared" si="9"/>
        <v>2041</v>
      </c>
      <c r="F26" s="358">
        <f t="shared" si="10"/>
        <v>0</v>
      </c>
      <c r="G26" s="419">
        <f t="shared" si="11"/>
        <v>0</v>
      </c>
      <c r="H26" s="359">
        <f t="shared" si="12"/>
        <v>0</v>
      </c>
      <c r="I26" s="418">
        <f t="shared" si="13"/>
        <v>0</v>
      </c>
      <c r="J26" s="297">
        <f t="shared" si="14"/>
        <v>0</v>
      </c>
      <c r="K26" s="359">
        <f t="shared" si="15"/>
        <v>0</v>
      </c>
      <c r="L26" s="363">
        <f t="shared" si="16"/>
        <v>886.82675368746288</v>
      </c>
      <c r="M26" s="296">
        <f t="shared" si="17"/>
        <v>295.60891789582104</v>
      </c>
      <c r="N26" s="364">
        <f t="shared" si="18"/>
        <v>295.60891789582104</v>
      </c>
    </row>
    <row r="27" spans="5:14">
      <c r="E27" s="141">
        <f t="shared" si="9"/>
        <v>2042</v>
      </c>
      <c r="F27" s="358">
        <f t="shared" si="10"/>
        <v>0</v>
      </c>
      <c r="G27" s="419">
        <f t="shared" si="11"/>
        <v>0</v>
      </c>
      <c r="H27" s="359">
        <f t="shared" si="12"/>
        <v>0</v>
      </c>
      <c r="I27" s="418">
        <f t="shared" si="13"/>
        <v>0</v>
      </c>
      <c r="J27" s="297">
        <f t="shared" si="14"/>
        <v>0</v>
      </c>
      <c r="K27" s="359">
        <f t="shared" si="15"/>
        <v>0</v>
      </c>
      <c r="L27" s="363">
        <f t="shared" si="16"/>
        <v>886.82675368746288</v>
      </c>
      <c r="M27" s="296">
        <f t="shared" si="17"/>
        <v>295.60891789582104</v>
      </c>
      <c r="N27" s="364">
        <f t="shared" si="18"/>
        <v>295.60891789582104</v>
      </c>
    </row>
    <row r="28" spans="5:14">
      <c r="E28" s="141">
        <f t="shared" si="9"/>
        <v>2043</v>
      </c>
      <c r="F28" s="358">
        <f t="shared" si="10"/>
        <v>0</v>
      </c>
      <c r="G28" s="419">
        <f t="shared" si="11"/>
        <v>0</v>
      </c>
      <c r="H28" s="359">
        <f t="shared" si="12"/>
        <v>0</v>
      </c>
      <c r="I28" s="418">
        <f t="shared" si="13"/>
        <v>0</v>
      </c>
      <c r="J28" s="297">
        <f t="shared" si="14"/>
        <v>0</v>
      </c>
      <c r="K28" s="359">
        <f t="shared" si="15"/>
        <v>0</v>
      </c>
      <c r="L28" s="363">
        <f t="shared" si="16"/>
        <v>886.82675368746288</v>
      </c>
      <c r="M28" s="296">
        <f t="shared" si="17"/>
        <v>295.60891789582104</v>
      </c>
      <c r="N28" s="364">
        <f t="shared" si="18"/>
        <v>295.60891789582104</v>
      </c>
    </row>
    <row r="29" spans="5:14">
      <c r="E29" s="141">
        <f t="shared" si="9"/>
        <v>2044</v>
      </c>
      <c r="F29" s="358">
        <f t="shared" si="10"/>
        <v>0</v>
      </c>
      <c r="G29" s="419">
        <f t="shared" si="11"/>
        <v>0</v>
      </c>
      <c r="H29" s="359">
        <f t="shared" si="12"/>
        <v>0</v>
      </c>
      <c r="I29" s="418">
        <f t="shared" si="13"/>
        <v>0</v>
      </c>
      <c r="J29" s="297">
        <f t="shared" si="14"/>
        <v>0</v>
      </c>
      <c r="K29" s="359">
        <f t="shared" si="15"/>
        <v>0</v>
      </c>
      <c r="L29" s="363">
        <f t="shared" si="16"/>
        <v>886.82675368746288</v>
      </c>
      <c r="M29" s="296">
        <f t="shared" si="17"/>
        <v>295.60891789582104</v>
      </c>
      <c r="N29" s="364">
        <f t="shared" si="18"/>
        <v>295.60891789582104</v>
      </c>
    </row>
    <row r="30" spans="5:14" ht="16" thickBot="1">
      <c r="E30" s="141">
        <f t="shared" si="9"/>
        <v>2045</v>
      </c>
      <c r="F30" s="358">
        <f t="shared" si="10"/>
        <v>0</v>
      </c>
      <c r="G30" s="419">
        <f t="shared" si="11"/>
        <v>1220</v>
      </c>
      <c r="H30" s="359">
        <f t="shared" si="12"/>
        <v>1220</v>
      </c>
      <c r="I30" s="418">
        <f t="shared" si="13"/>
        <v>0</v>
      </c>
      <c r="J30" s="297">
        <f t="shared" si="14"/>
        <v>4618.0261474246499</v>
      </c>
      <c r="K30" s="359">
        <f t="shared" si="15"/>
        <v>4618.0261474246499</v>
      </c>
      <c r="L30" s="363">
        <f t="shared" si="16"/>
        <v>886.82675368746288</v>
      </c>
      <c r="M30" s="296">
        <f t="shared" si="17"/>
        <v>591.21783579164207</v>
      </c>
      <c r="N30" s="364">
        <f t="shared" si="18"/>
        <v>591.21783579164207</v>
      </c>
    </row>
    <row r="31" spans="5:14">
      <c r="E31" s="381" t="s">
        <v>290</v>
      </c>
      <c r="F31" s="382"/>
      <c r="G31" s="382"/>
      <c r="H31" s="382"/>
      <c r="I31" s="383">
        <f t="shared" ref="I31:N31" si="19">NPV($B$4,I5:I30)</f>
        <v>10549.565117289434</v>
      </c>
      <c r="J31" s="384">
        <f t="shared" si="19"/>
        <v>3692.2173577384438</v>
      </c>
      <c r="K31" s="385">
        <f t="shared" si="19"/>
        <v>3692.2173577384438</v>
      </c>
      <c r="L31" s="386">
        <f t="shared" si="19"/>
        <v>9561.036073853953</v>
      </c>
      <c r="M31" s="384">
        <f t="shared" si="19"/>
        <v>813.85039042774929</v>
      </c>
      <c r="N31" s="385">
        <f t="shared" si="19"/>
        <v>813.85039042774929</v>
      </c>
    </row>
    <row r="32" spans="5:14" ht="16" thickBot="1">
      <c r="E32" s="387" t="s">
        <v>303</v>
      </c>
      <c r="F32" s="388"/>
      <c r="G32" s="388"/>
      <c r="H32" s="388"/>
      <c r="I32" s="389">
        <f>+I31-J31</f>
        <v>6857.3477595509903</v>
      </c>
      <c r="J32" s="390"/>
      <c r="K32" s="391">
        <f>K31-J31</f>
        <v>0</v>
      </c>
      <c r="L32" s="392">
        <f>+L31-M31</f>
        <v>8747.1856834262035</v>
      </c>
      <c r="M32" s="390">
        <f>+M31-N31</f>
        <v>0</v>
      </c>
      <c r="N32" s="391">
        <f>N31-M31</f>
        <v>0</v>
      </c>
    </row>
    <row r="38" spans="10:10">
      <c r="J38" s="367"/>
    </row>
  </sheetData>
  <mergeCells count="3">
    <mergeCell ref="F2:H2"/>
    <mergeCell ref="I2:K2"/>
    <mergeCell ref="L2:N2"/>
  </mergeCells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0.39997558519241921"/>
  </sheetPr>
  <dimension ref="A1:T44"/>
  <sheetViews>
    <sheetView rightToLeft="1" zoomScale="125" zoomScaleNormal="70" workbookViewId="0">
      <selection activeCell="M30" sqref="M30"/>
    </sheetView>
  </sheetViews>
  <sheetFormatPr baseColWidth="10" defaultColWidth="8.83203125" defaultRowHeight="15"/>
  <cols>
    <col min="1" max="1" width="22" customWidth="1"/>
    <col min="2" max="5" width="5.5" customWidth="1"/>
    <col min="6" max="6" width="11.83203125" customWidth="1"/>
    <col min="7" max="7" width="9.33203125" customWidth="1"/>
    <col min="8" max="8" width="16.6640625" customWidth="1"/>
    <col min="9" max="9" width="10.1640625" customWidth="1"/>
    <col min="11" max="11" width="11.5" customWidth="1"/>
    <col min="14" max="14" width="48.1640625" bestFit="1" customWidth="1"/>
    <col min="15" max="15" width="8.6640625" customWidth="1"/>
    <col min="16" max="16" width="13.33203125" customWidth="1"/>
    <col min="18" max="18" width="12.1640625" customWidth="1"/>
    <col min="19" max="19" width="10.5" customWidth="1"/>
  </cols>
  <sheetData>
    <row r="1" spans="1:20">
      <c r="N1" s="15"/>
      <c r="O1" s="15"/>
      <c r="P1" s="15"/>
      <c r="Q1" s="15"/>
    </row>
    <row r="2" spans="1:20" ht="16" thickBot="1">
      <c r="N2" s="18"/>
      <c r="O2" s="18"/>
      <c r="P2" s="18"/>
      <c r="Q2" s="18"/>
      <c r="R2" s="18"/>
      <c r="S2" s="18"/>
      <c r="T2" s="18"/>
    </row>
    <row r="3" spans="1:20" ht="16" thickBot="1">
      <c r="A3" s="1014" t="s">
        <v>442</v>
      </c>
      <c r="B3" s="1009"/>
      <c r="C3" s="1009"/>
      <c r="D3" s="1009"/>
      <c r="E3" s="1010"/>
      <c r="F3" s="762"/>
      <c r="G3" s="9"/>
      <c r="H3" s="1014" t="s">
        <v>441</v>
      </c>
      <c r="I3" s="1009"/>
      <c r="J3" s="1009"/>
      <c r="K3" s="1009"/>
      <c r="L3" s="1096"/>
      <c r="N3" s="191" t="s">
        <v>10</v>
      </c>
      <c r="O3" s="192"/>
      <c r="R3" s="22"/>
      <c r="S3" s="18"/>
      <c r="T3" s="18"/>
    </row>
    <row r="4" spans="1:20" ht="16" thickBot="1">
      <c r="A4" s="758" t="s">
        <v>247</v>
      </c>
      <c r="B4" s="759">
        <v>4</v>
      </c>
      <c r="C4" s="760">
        <v>4.7</v>
      </c>
      <c r="D4" s="759">
        <v>5</v>
      </c>
      <c r="E4" s="761">
        <v>6</v>
      </c>
      <c r="F4" s="18"/>
      <c r="G4" s="9"/>
      <c r="H4" s="758" t="s">
        <v>247</v>
      </c>
      <c r="I4" s="759">
        <v>4</v>
      </c>
      <c r="J4" s="760">
        <v>4.7</v>
      </c>
      <c r="K4" s="759">
        <v>5</v>
      </c>
      <c r="L4" s="759">
        <v>6</v>
      </c>
      <c r="N4" s="400" t="str">
        <f>+'הנחות עבודה'!A36</f>
        <v>שער הדולר</v>
      </c>
      <c r="O4" s="401">
        <f>+'הנחות עבודה'!B36</f>
        <v>3.6</v>
      </c>
      <c r="P4" s="18"/>
      <c r="Q4" s="18"/>
      <c r="R4" s="18"/>
      <c r="S4" s="18"/>
      <c r="T4" s="18"/>
    </row>
    <row r="5" spans="1:20" ht="16" thickBot="1">
      <c r="A5" s="431" t="s">
        <v>338</v>
      </c>
      <c r="B5" s="427">
        <f>+B4*$O$4*$O$16/$O$19/1000*100</f>
        <v>9.0531858864349708</v>
      </c>
      <c r="C5" s="428">
        <f>+C4*$O$4*$O$16/$O$19/1000*100</f>
        <v>10.637493416561092</v>
      </c>
      <c r="D5" s="427">
        <f t="shared" ref="D5:E5" si="0">+D4*$O$4*$O$16/$O$19/1000*100</f>
        <v>11.316482358043713</v>
      </c>
      <c r="E5" s="427">
        <f t="shared" si="0"/>
        <v>13.579778829652458</v>
      </c>
      <c r="F5" s="748"/>
      <c r="G5" s="9"/>
      <c r="H5" s="431" t="s">
        <v>338</v>
      </c>
      <c r="I5" s="427">
        <f>+I4*$O$4*$O$16/$O$21/1000*100</f>
        <v>10.642052395819194</v>
      </c>
      <c r="J5" s="428">
        <f>+J4*$O$4*$O$16/$O$21/1000*100</f>
        <v>12.504411565087553</v>
      </c>
      <c r="K5" s="427">
        <f>+K4*$O$4*$O$16/$O$21/1000*100</f>
        <v>13.30256549477399</v>
      </c>
      <c r="L5" s="427">
        <f>+L4*$O$4*$O$16/$O$21/1000*100</f>
        <v>15.963078593728788</v>
      </c>
      <c r="N5" s="353" t="s">
        <v>337</v>
      </c>
      <c r="O5" s="35">
        <v>60</v>
      </c>
      <c r="P5" s="19"/>
      <c r="Q5" s="19"/>
      <c r="R5" s="19"/>
      <c r="S5" s="18"/>
      <c r="T5" s="18"/>
    </row>
    <row r="6" spans="1:20">
      <c r="A6" s="431" t="s">
        <v>336</v>
      </c>
      <c r="B6" s="427">
        <f>+$O$9+$O$12</f>
        <v>0.35751321765314537</v>
      </c>
      <c r="C6" s="428">
        <f>+$O$9+$O$12</f>
        <v>0.35751321765314537</v>
      </c>
      <c r="D6" s="427">
        <f>+$O$9+$O$12</f>
        <v>0.35751321765314537</v>
      </c>
      <c r="E6" s="432">
        <f>+$O$9+$O$12</f>
        <v>0.35751321765314537</v>
      </c>
      <c r="F6" s="748"/>
      <c r="G6" s="9"/>
      <c r="H6" s="431" t="s">
        <v>336</v>
      </c>
      <c r="I6" s="427">
        <f>+$O$9+$O$12</f>
        <v>0.35751321765314537</v>
      </c>
      <c r="J6" s="428">
        <f>+$O$9+$O$12</f>
        <v>0.35751321765314537</v>
      </c>
      <c r="K6" s="427">
        <f>+$O$9+$O$12</f>
        <v>0.35751321765314537</v>
      </c>
      <c r="L6" s="427">
        <f>+$O$9+$O$12</f>
        <v>0.35751321765314537</v>
      </c>
      <c r="N6" s="123" t="s">
        <v>298</v>
      </c>
      <c r="O6" s="167">
        <v>102</v>
      </c>
      <c r="P6" s="19"/>
      <c r="Q6" s="19"/>
      <c r="R6" s="19"/>
      <c r="S6" s="18"/>
      <c r="T6" s="18"/>
    </row>
    <row r="7" spans="1:20" ht="16" thickBot="1">
      <c r="A7" s="459" t="s">
        <v>248</v>
      </c>
      <c r="B7" s="429">
        <f>+$O$25</f>
        <v>0.95799999999999996</v>
      </c>
      <c r="C7" s="430">
        <f>+$O$25</f>
        <v>0.95799999999999996</v>
      </c>
      <c r="D7" s="429">
        <f>+$O$25</f>
        <v>0.95799999999999996</v>
      </c>
      <c r="E7" s="433">
        <f>+$O$25</f>
        <v>0.95799999999999996</v>
      </c>
      <c r="F7" s="21"/>
      <c r="G7" s="9"/>
      <c r="H7" s="459" t="s">
        <v>248</v>
      </c>
      <c r="I7" s="429">
        <f>+$O$25</f>
        <v>0.95799999999999996</v>
      </c>
      <c r="J7" s="430">
        <f>+$O$25</f>
        <v>0.95799999999999996</v>
      </c>
      <c r="K7" s="429">
        <f>+$O$25</f>
        <v>0.95799999999999996</v>
      </c>
      <c r="L7" s="429">
        <f>+$O$25</f>
        <v>0.95799999999999996</v>
      </c>
      <c r="N7" s="189" t="s">
        <v>334</v>
      </c>
      <c r="O7" s="457">
        <f>+O6/$O$17*$O$16/$O$18/1000*100</f>
        <v>3.9868061125266521</v>
      </c>
      <c r="P7" s="19"/>
      <c r="Q7" s="19"/>
      <c r="R7" s="19"/>
      <c r="S7" s="18"/>
      <c r="T7" s="18"/>
    </row>
    <row r="8" spans="1:20" ht="16" thickBot="1">
      <c r="A8" s="434" t="s">
        <v>106</v>
      </c>
      <c r="B8" s="122">
        <f>SUM(B5:B7)</f>
        <v>10.368699104088117</v>
      </c>
      <c r="C8" s="435">
        <f t="shared" ref="C8:E8" si="1">SUM(C5:C7)</f>
        <v>11.953006634214239</v>
      </c>
      <c r="D8" s="436">
        <f t="shared" si="1"/>
        <v>12.631995575696859</v>
      </c>
      <c r="E8" s="437">
        <f t="shared" si="1"/>
        <v>14.895292047305604</v>
      </c>
      <c r="F8" s="750"/>
      <c r="G8" s="9"/>
      <c r="H8" s="434" t="s">
        <v>106</v>
      </c>
      <c r="I8" s="122">
        <f>SUM(I5:I7)</f>
        <v>11.95756561347234</v>
      </c>
      <c r="J8" s="435">
        <f t="shared" ref="J8:L8" si="2">SUM(J5:J7)</f>
        <v>13.819924782740699</v>
      </c>
      <c r="K8" s="436">
        <f t="shared" si="2"/>
        <v>14.618078712427137</v>
      </c>
      <c r="L8" s="436">
        <f t="shared" si="2"/>
        <v>17.278591811381933</v>
      </c>
      <c r="N8" s="123" t="s">
        <v>299</v>
      </c>
      <c r="O8" s="49">
        <v>17</v>
      </c>
      <c r="P8" s="19"/>
      <c r="Q8" s="19"/>
      <c r="R8" s="19"/>
      <c r="S8" s="18"/>
      <c r="T8" s="18"/>
    </row>
    <row r="9" spans="1:20">
      <c r="I9" s="4"/>
      <c r="J9" s="4"/>
      <c r="K9" s="4"/>
      <c r="L9" s="4"/>
      <c r="N9" s="353" t="s">
        <v>320</v>
      </c>
      <c r="O9" s="57">
        <f>$O$8/'הנחות עבודה'!B44*100*3.412/O21/1000</f>
        <v>0.26617656945757751</v>
      </c>
      <c r="P9" s="19"/>
      <c r="Q9" s="18"/>
      <c r="R9" s="18"/>
      <c r="S9" s="18"/>
      <c r="T9" s="18"/>
    </row>
    <row r="10" spans="1:20" ht="16" thickBot="1">
      <c r="E10" s="19"/>
      <c r="H10" s="9"/>
      <c r="I10" s="42"/>
      <c r="J10" s="42"/>
      <c r="K10" s="9"/>
      <c r="L10" s="9"/>
      <c r="N10" s="353" t="s">
        <v>321</v>
      </c>
      <c r="O10" s="57">
        <f>$O$8/'הנחות עבודה'!B44*100*3.412/O22/1000</f>
        <v>0.32358056576009586</v>
      </c>
      <c r="P10" s="19"/>
      <c r="Q10" s="18"/>
      <c r="R10" s="18"/>
      <c r="S10" s="18"/>
      <c r="T10" s="18"/>
    </row>
    <row r="11" spans="1:20" ht="16" thickBot="1">
      <c r="N11" s="123" t="s">
        <v>304</v>
      </c>
      <c r="O11" s="49">
        <v>12.4</v>
      </c>
      <c r="P11" s="18"/>
      <c r="Q11" s="18"/>
      <c r="R11" s="18"/>
      <c r="S11" s="18"/>
      <c r="T11" s="18"/>
    </row>
    <row r="12" spans="1:20" ht="16" thickBot="1">
      <c r="A12" s="1014" t="s">
        <v>443</v>
      </c>
      <c r="B12" s="1009"/>
      <c r="C12" s="1009"/>
      <c r="D12" s="1009"/>
      <c r="E12" s="1010"/>
      <c r="F12" s="762"/>
      <c r="G12" s="9"/>
      <c r="H12" s="1014" t="s">
        <v>448</v>
      </c>
      <c r="I12" s="1009"/>
      <c r="J12" s="1009"/>
      <c r="K12" s="1009"/>
      <c r="L12" s="1096"/>
      <c r="N12" s="353" t="s">
        <v>322</v>
      </c>
      <c r="O12" s="57">
        <f>O11*'הנחות עבודה'!E39/1000</f>
        <v>9.1336648195567846E-2</v>
      </c>
      <c r="P12" s="18"/>
      <c r="Q12" s="18"/>
      <c r="R12" s="18"/>
      <c r="S12" s="18"/>
      <c r="T12" s="18"/>
    </row>
    <row r="13" spans="1:20" ht="15.75" customHeight="1" thickBot="1">
      <c r="A13" s="758" t="s">
        <v>247</v>
      </c>
      <c r="B13" s="759">
        <v>4</v>
      </c>
      <c r="C13" s="760">
        <f>C4</f>
        <v>4.7</v>
      </c>
      <c r="D13" s="759">
        <v>5</v>
      </c>
      <c r="E13" s="761">
        <v>6</v>
      </c>
      <c r="F13" s="18"/>
      <c r="G13" s="9"/>
      <c r="H13" s="439" t="s">
        <v>247</v>
      </c>
      <c r="I13" s="440">
        <v>4</v>
      </c>
      <c r="J13" s="441">
        <v>4.7</v>
      </c>
      <c r="K13" s="440">
        <v>5</v>
      </c>
      <c r="L13" s="440">
        <v>6</v>
      </c>
      <c r="N13" s="189" t="s">
        <v>333</v>
      </c>
      <c r="O13" s="87">
        <f>O11*'הנחות עבודה'!E40/1000</f>
        <v>0.1158592016877598</v>
      </c>
      <c r="P13" s="18"/>
      <c r="Q13" s="18"/>
      <c r="R13" s="18"/>
      <c r="S13" s="18"/>
      <c r="T13" s="18"/>
    </row>
    <row r="14" spans="1:20">
      <c r="A14" s="431" t="s">
        <v>338</v>
      </c>
      <c r="B14" s="427">
        <f>+B13*$O$4*$O$16/$O$20/1000*100</f>
        <v>13.075379525293698</v>
      </c>
      <c r="C14" s="428">
        <f>+C13*$O$4*$O$16/$O$20/1000*100</f>
        <v>15.363570942220095</v>
      </c>
      <c r="D14" s="427">
        <f t="shared" ref="D14:E14" si="3">+D13*$O$4*$O$16/$O$20/1000*100</f>
        <v>16.344224406617123</v>
      </c>
      <c r="E14" s="427">
        <f t="shared" si="3"/>
        <v>19.613069287940547</v>
      </c>
      <c r="F14" s="748"/>
      <c r="G14" s="9"/>
      <c r="H14" s="431" t="s">
        <v>338</v>
      </c>
      <c r="I14" s="10">
        <f>+I13*$O$4*$O$16/$O$22/1000*100</f>
        <v>12.937131702107173</v>
      </c>
      <c r="J14" s="402">
        <f>+J13*$O$4*$O$16/$O$22/1000*100</f>
        <v>15.20112974997593</v>
      </c>
      <c r="K14" s="10">
        <f>+K13*$O$4*$O$16/$O$22/1000*100</f>
        <v>16.171414627633965</v>
      </c>
      <c r="L14" s="10">
        <f>+L13*$O$4*$O$16/$O$22/1000*100</f>
        <v>19.40569755316076</v>
      </c>
      <c r="N14" s="123" t="s">
        <v>380</v>
      </c>
      <c r="O14" s="167">
        <v>10</v>
      </c>
      <c r="P14" s="18"/>
      <c r="Q14" s="18"/>
      <c r="R14" s="18"/>
      <c r="S14" s="18"/>
      <c r="T14" s="18"/>
    </row>
    <row r="15" spans="1:20" ht="16" thickBot="1">
      <c r="A15" s="431" t="s">
        <v>336</v>
      </c>
      <c r="B15" s="427">
        <f>+$O$9+$O$12</f>
        <v>0.35751321765314537</v>
      </c>
      <c r="C15" s="428">
        <f>+$O$9+$O$12</f>
        <v>0.35751321765314537</v>
      </c>
      <c r="D15" s="427">
        <f>+$O$9+$O$12</f>
        <v>0.35751321765314537</v>
      </c>
      <c r="E15" s="432">
        <f>+$O$9+$O$12</f>
        <v>0.35751321765314537</v>
      </c>
      <c r="F15" s="748"/>
      <c r="G15" s="9"/>
      <c r="H15" s="431" t="s">
        <v>336</v>
      </c>
      <c r="I15" s="10">
        <f>+$O$13+$O$10</f>
        <v>0.43943976744785568</v>
      </c>
      <c r="J15" s="402">
        <f>+$O$13+$O$10</f>
        <v>0.43943976744785568</v>
      </c>
      <c r="K15" s="10">
        <f>+$O$13+$O$10</f>
        <v>0.43943976744785568</v>
      </c>
      <c r="L15" s="10">
        <f>+$O$13+$O$10</f>
        <v>0.43943976744785568</v>
      </c>
      <c r="N15" s="189" t="s">
        <v>335</v>
      </c>
      <c r="O15" s="457">
        <f>+O14/$O$17*$O$16/$O$18/1000*100*O4</f>
        <v>1.4071080397152891</v>
      </c>
      <c r="P15" s="18"/>
      <c r="Q15" s="18"/>
      <c r="R15" s="18"/>
      <c r="S15" s="18"/>
      <c r="T15" s="18"/>
    </row>
    <row r="16" spans="1:20">
      <c r="A16" s="459" t="s">
        <v>248</v>
      </c>
      <c r="B16" s="429">
        <f>+$O$25</f>
        <v>0.95799999999999996</v>
      </c>
      <c r="C16" s="430">
        <f>+$O$25</f>
        <v>0.95799999999999996</v>
      </c>
      <c r="D16" s="429">
        <f>+$O$25</f>
        <v>0.95799999999999996</v>
      </c>
      <c r="E16" s="433">
        <f>+$O$25</f>
        <v>0.95799999999999996</v>
      </c>
      <c r="F16" s="21"/>
      <c r="G16" s="9"/>
      <c r="H16" s="431" t="s">
        <v>248</v>
      </c>
      <c r="I16" s="10">
        <f>+$O$24</f>
        <v>0.41418181818181815</v>
      </c>
      <c r="J16" s="402">
        <f>+$O$24</f>
        <v>0.41418181818181815</v>
      </c>
      <c r="K16" s="10">
        <f>+$O$24</f>
        <v>0.41418181818181815</v>
      </c>
      <c r="L16" s="10">
        <f>+$O$24</f>
        <v>0.41418181818181815</v>
      </c>
      <c r="N16" s="353" t="str">
        <f>+'הנחות עבודה'!A41</f>
        <v>MMBTU in MWh</v>
      </c>
      <c r="O16" s="35">
        <f>+'הנחות עבודה'!B41</f>
        <v>3.4119999999999999</v>
      </c>
      <c r="P16" s="18"/>
      <c r="Q16" s="18"/>
      <c r="R16" s="18"/>
      <c r="S16" s="18"/>
      <c r="T16" s="18"/>
    </row>
    <row r="17" spans="1:20" ht="16" thickBot="1">
      <c r="A17" s="434" t="s">
        <v>106</v>
      </c>
      <c r="B17" s="122">
        <f>SUM(B14:B16)</f>
        <v>14.390892742946845</v>
      </c>
      <c r="C17" s="435">
        <f t="shared" ref="C17:E17" si="4">SUM(C14:C16)</f>
        <v>16.679084159873241</v>
      </c>
      <c r="D17" s="436">
        <f t="shared" si="4"/>
        <v>17.659737624270267</v>
      </c>
      <c r="E17" s="437">
        <f t="shared" si="4"/>
        <v>20.928582505593692</v>
      </c>
      <c r="F17" s="750"/>
      <c r="G17" s="9"/>
      <c r="H17" s="442" t="s">
        <v>106</v>
      </c>
      <c r="I17" s="12">
        <f>SUM(I14:I16)</f>
        <v>13.790753287736848</v>
      </c>
      <c r="J17" s="435">
        <f t="shared" ref="J17:L17" si="5">SUM(J14:J16)</f>
        <v>16.054751335605605</v>
      </c>
      <c r="K17" s="12">
        <f t="shared" si="5"/>
        <v>17.025036213263636</v>
      </c>
      <c r="L17" s="12">
        <f t="shared" si="5"/>
        <v>20.259319138790431</v>
      </c>
      <c r="N17" s="353" t="str">
        <f>+'הנחות עבודה'!A42</f>
        <v>MMBTU in a ton of coal</v>
      </c>
      <c r="O17" s="35">
        <f>+'הנחות עבודה'!B42</f>
        <v>23.8</v>
      </c>
      <c r="P17" s="19"/>
      <c r="Q17" s="19"/>
      <c r="R17" s="19"/>
      <c r="S17" s="18"/>
      <c r="T17" s="18"/>
    </row>
    <row r="18" spans="1:20">
      <c r="A18" s="444"/>
      <c r="B18" s="754"/>
      <c r="C18" s="754"/>
      <c r="D18" s="755"/>
      <c r="E18" s="755"/>
      <c r="F18" s="755"/>
      <c r="G18" s="756"/>
      <c r="H18" s="18"/>
      <c r="I18" s="18"/>
      <c r="J18" s="747"/>
      <c r="K18" s="18"/>
      <c r="L18" s="18"/>
      <c r="N18" s="193" t="str">
        <f>+'הנחות עבודה'!D37</f>
        <v>נצילות פחם במדיניות ההפחתה HHV</v>
      </c>
      <c r="O18" s="194">
        <f>+'הנחות עבודה'!E37</f>
        <v>0.36678124619383251</v>
      </c>
      <c r="P18" s="19"/>
      <c r="Q18" s="19"/>
      <c r="R18" s="19"/>
      <c r="S18" s="18"/>
      <c r="T18" s="18"/>
    </row>
    <row r="19" spans="1:20" ht="16" thickBot="1">
      <c r="A19" s="444"/>
      <c r="B19" s="19"/>
      <c r="C19" s="21"/>
      <c r="D19" s="19"/>
      <c r="E19" s="749"/>
      <c r="F19" s="750"/>
      <c r="G19" s="750"/>
      <c r="H19" s="18"/>
      <c r="I19" s="19"/>
      <c r="J19" s="748"/>
      <c r="K19" s="19"/>
      <c r="L19" s="19"/>
      <c r="N19" s="41" t="str">
        <f>'הנחות עבודה'!D30</f>
        <v>נצילות מחז״ם חדש HHV עם פקטור טמפרטורה, עבודה בעומס חלקי והזדקנות</v>
      </c>
      <c r="O19" s="764">
        <f>'הנחות עבודה'!E30</f>
        <v>0.54271281531531512</v>
      </c>
      <c r="P19" s="458"/>
      <c r="Q19" s="19"/>
      <c r="R19" s="19"/>
      <c r="S19" s="18"/>
      <c r="T19" s="18"/>
    </row>
    <row r="20" spans="1:20" ht="16" thickBot="1">
      <c r="A20" s="444"/>
      <c r="B20" s="19"/>
      <c r="C20" s="21"/>
      <c r="D20" s="19"/>
      <c r="E20" s="749"/>
      <c r="F20" s="1097" t="s">
        <v>449</v>
      </c>
      <c r="G20" s="1098"/>
      <c r="H20" s="1098"/>
      <c r="I20" s="1098"/>
      <c r="J20" s="1098"/>
      <c r="K20" s="1098"/>
      <c r="L20" s="1099"/>
      <c r="N20" s="41" t="str">
        <f>'הנחות עבודה'!D33</f>
        <v xml:space="preserve">נצילות פיקר חדש HHV עם פקטור טמפרטורה </v>
      </c>
      <c r="O20" s="766">
        <f>'הנחות עבודה'!E33</f>
        <v>0.3757657657657657</v>
      </c>
      <c r="P20" s="19"/>
      <c r="Q20" s="19"/>
      <c r="R20" s="19"/>
      <c r="S20" s="18"/>
      <c r="T20" s="18"/>
    </row>
    <row r="21" spans="1:20" ht="17" thickBot="1">
      <c r="A21" s="444"/>
      <c r="B21" s="19"/>
      <c r="C21" s="21"/>
      <c r="D21" s="19"/>
      <c r="E21" s="749"/>
      <c r="F21" s="443" t="s">
        <v>179</v>
      </c>
      <c r="G21" s="767">
        <v>40</v>
      </c>
      <c r="H21" s="767">
        <v>50</v>
      </c>
      <c r="I21" s="768">
        <v>60</v>
      </c>
      <c r="J21" s="769">
        <v>70</v>
      </c>
      <c r="K21" s="767">
        <v>80</v>
      </c>
      <c r="L21" s="770">
        <f>+K21+10</f>
        <v>90</v>
      </c>
      <c r="N21" s="456" t="str">
        <f>+'הנחות עבודה'!D41</f>
        <v xml:space="preserve">נצילות ייצור ממוצעת ביחידות גז קיימות  HHV </v>
      </c>
      <c r="O21" s="169">
        <f>+'הנחות עבודה'!E41</f>
        <v>0.46168537959183675</v>
      </c>
      <c r="P21" s="19"/>
      <c r="Q21" s="19"/>
      <c r="R21" s="19"/>
      <c r="S21" s="18"/>
      <c r="T21" s="18"/>
    </row>
    <row r="22" spans="1:20" ht="16" thickBot="1">
      <c r="A22" s="444"/>
      <c r="B22" s="748"/>
      <c r="C22" s="757"/>
      <c r="D22" s="748"/>
      <c r="E22" s="749"/>
      <c r="F22" s="443" t="s">
        <v>247</v>
      </c>
      <c r="G22" s="13">
        <f t="shared" ref="G22:L22" si="6">+G21/$O$17</f>
        <v>1.680672268907563</v>
      </c>
      <c r="H22" s="13">
        <f t="shared" si="6"/>
        <v>2.1008403361344539</v>
      </c>
      <c r="I22" s="430">
        <f t="shared" si="6"/>
        <v>2.5210084033613445</v>
      </c>
      <c r="J22" s="752">
        <f t="shared" si="6"/>
        <v>2.9411764705882351</v>
      </c>
      <c r="K22" s="13">
        <f t="shared" si="6"/>
        <v>3.3613445378151261</v>
      </c>
      <c r="L22" s="771">
        <f t="shared" si="6"/>
        <v>3.7815126050420167</v>
      </c>
      <c r="N22" s="765" t="str">
        <f>+'הנחות עבודה'!D38</f>
        <v>נצילות פחמית מוסבת לגז (כולל חסכון בצריכה עצמית)</v>
      </c>
      <c r="O22" s="415">
        <f>+'הנחות עבודה'!E38</f>
        <v>0.37978124619383252</v>
      </c>
      <c r="P22" s="18"/>
      <c r="Q22" s="18"/>
      <c r="R22" s="18"/>
      <c r="S22" s="18"/>
      <c r="T22" s="18"/>
    </row>
    <row r="23" spans="1:20" ht="16" customHeight="1" thickBot="1">
      <c r="A23" s="444"/>
      <c r="B23" s="19"/>
      <c r="C23" s="21"/>
      <c r="D23" s="19"/>
      <c r="E23" s="749"/>
      <c r="F23" s="772" t="s">
        <v>339</v>
      </c>
      <c r="G23" s="10">
        <f t="shared" ref="G23:L23" si="7">G22*$O$4*$O$16/$O$18/1000*100</f>
        <v>5.6284321588611554</v>
      </c>
      <c r="H23" s="10">
        <f t="shared" si="7"/>
        <v>7.0355401985764443</v>
      </c>
      <c r="I23" s="402">
        <f t="shared" si="7"/>
        <v>8.4426482382917349</v>
      </c>
      <c r="J23" s="427">
        <f t="shared" si="7"/>
        <v>9.8497562780070229</v>
      </c>
      <c r="K23" s="10">
        <f t="shared" si="7"/>
        <v>11.256864317722311</v>
      </c>
      <c r="L23" s="11">
        <f t="shared" si="7"/>
        <v>12.663972357437601</v>
      </c>
      <c r="N23" s="34" t="str">
        <f>+'הנחות עבודה'!D17</f>
        <v>תפעול משתנה באג' לקוט"ש פחמי</v>
      </c>
      <c r="O23" s="53">
        <f>+'הנחות עבודה'!E17</f>
        <v>0.49310355731225297</v>
      </c>
      <c r="P23" s="18"/>
      <c r="Q23" s="18"/>
      <c r="R23" s="18"/>
      <c r="S23" s="18"/>
      <c r="T23" s="18"/>
    </row>
    <row r="24" spans="1:20" ht="28" customHeight="1" thickBot="1">
      <c r="A24" s="444"/>
      <c r="B24" s="19"/>
      <c r="C24" s="21"/>
      <c r="D24" s="19"/>
      <c r="E24" s="749"/>
      <c r="F24" s="772" t="s">
        <v>440</v>
      </c>
      <c r="G24" s="119">
        <f t="shared" ref="G24:L24" si="8">+$O$7+$O$15</f>
        <v>5.3939141522419414</v>
      </c>
      <c r="H24" s="119">
        <f t="shared" si="8"/>
        <v>5.3939141522419414</v>
      </c>
      <c r="I24" s="426">
        <f t="shared" si="8"/>
        <v>5.3939141522419414</v>
      </c>
      <c r="J24" s="753">
        <f t="shared" si="8"/>
        <v>5.3939141522419414</v>
      </c>
      <c r="K24" s="119">
        <f t="shared" si="8"/>
        <v>5.3939141522419414</v>
      </c>
      <c r="L24" s="773">
        <f t="shared" si="8"/>
        <v>5.3939141522419414</v>
      </c>
      <c r="N24" s="34" t="str">
        <f>+'הנחות עבודה'!D18</f>
        <v xml:space="preserve">תפעול משתנה באג' לקוט"ש מוסב  </v>
      </c>
      <c r="O24" s="53">
        <f>+'הנחות עבודה'!E18</f>
        <v>0.41418181818181815</v>
      </c>
      <c r="P24" s="18"/>
      <c r="Q24" s="18"/>
      <c r="R24" s="18"/>
      <c r="S24" s="18"/>
      <c r="T24" s="18"/>
    </row>
    <row r="25" spans="1:20" ht="28" customHeight="1" thickBot="1">
      <c r="A25" s="444"/>
      <c r="B25" s="19"/>
      <c r="C25" s="21"/>
      <c r="D25" s="19"/>
      <c r="E25" s="749"/>
      <c r="F25" s="772" t="s">
        <v>248</v>
      </c>
      <c r="G25" s="118">
        <f t="shared" ref="G25:L25" si="9">+$O$23</f>
        <v>0.49310355731225297</v>
      </c>
      <c r="H25" s="118">
        <f t="shared" si="9"/>
        <v>0.49310355731225297</v>
      </c>
      <c r="I25" s="751">
        <f t="shared" si="9"/>
        <v>0.49310355731225297</v>
      </c>
      <c r="J25" s="427">
        <f t="shared" si="9"/>
        <v>0.49310355731225297</v>
      </c>
      <c r="K25" s="118">
        <f t="shared" si="9"/>
        <v>0.49310355731225297</v>
      </c>
      <c r="L25" s="121">
        <f t="shared" si="9"/>
        <v>0.49310355731225297</v>
      </c>
      <c r="N25" s="36" t="str">
        <f>+'הנחות עבודה'!D21</f>
        <v>תפעול משתנה  באג' לקוט"ש ליחידת גז משוקללת</v>
      </c>
      <c r="O25" s="87">
        <f>+'הנחות עבודה'!E21</f>
        <v>0.95799999999999996</v>
      </c>
      <c r="P25" s="18"/>
      <c r="Q25" s="18"/>
      <c r="R25" s="18"/>
      <c r="S25" s="18"/>
      <c r="T25" s="18"/>
    </row>
    <row r="26" spans="1:20" ht="16" thickBot="1">
      <c r="A26" s="444"/>
      <c r="B26" s="9"/>
      <c r="C26" s="9"/>
      <c r="D26" s="43"/>
      <c r="E26" s="42"/>
      <c r="F26" s="774" t="s">
        <v>106</v>
      </c>
      <c r="G26" s="746">
        <f t="shared" ref="G26:L26" si="10">SUM(G23:G25)</f>
        <v>11.515449868415349</v>
      </c>
      <c r="H26" s="746">
        <f t="shared" si="10"/>
        <v>12.922557908130639</v>
      </c>
      <c r="I26" s="775">
        <f t="shared" si="10"/>
        <v>14.329665947845928</v>
      </c>
      <c r="J26" s="776">
        <f t="shared" si="10"/>
        <v>15.736773987561218</v>
      </c>
      <c r="K26" s="746">
        <f t="shared" si="10"/>
        <v>17.143882027276504</v>
      </c>
      <c r="L26" s="438">
        <f t="shared" si="10"/>
        <v>18.550990066991794</v>
      </c>
      <c r="T26" s="18"/>
    </row>
    <row r="27" spans="1:20" ht="42.75" customHeight="1" thickBot="1">
      <c r="H27" s="9"/>
      <c r="I27" s="42"/>
      <c r="J27" s="42"/>
      <c r="K27" s="9"/>
      <c r="L27" s="9"/>
      <c r="T27" s="18"/>
    </row>
    <row r="28" spans="1:20" ht="16" thickBot="1">
      <c r="F28" s="1037" t="s">
        <v>476</v>
      </c>
      <c r="G28" s="1038"/>
      <c r="H28" s="1038"/>
      <c r="I28" s="1038"/>
      <c r="J28" s="1038"/>
      <c r="K28" s="1039"/>
      <c r="T28" s="18"/>
    </row>
    <row r="29" spans="1:20" ht="113" thickBot="1">
      <c r="F29" s="1106" t="s">
        <v>254</v>
      </c>
      <c r="G29" s="1107"/>
      <c r="H29" s="478" t="s">
        <v>255</v>
      </c>
      <c r="I29" s="478" t="s">
        <v>256</v>
      </c>
      <c r="J29" s="478" t="s">
        <v>477</v>
      </c>
      <c r="K29" s="479" t="s">
        <v>257</v>
      </c>
      <c r="T29" s="18"/>
    </row>
    <row r="30" spans="1:20" ht="32" customHeight="1">
      <c r="F30" s="1104" t="s">
        <v>251</v>
      </c>
      <c r="G30" s="1105"/>
      <c r="H30" s="777">
        <v>0.33</v>
      </c>
      <c r="I30" s="220">
        <v>37</v>
      </c>
      <c r="J30" s="502">
        <v>0.41</v>
      </c>
      <c r="K30" s="218">
        <f>(100%-J30)*I30</f>
        <v>21.830000000000002</v>
      </c>
      <c r="T30" s="18"/>
    </row>
    <row r="31" spans="1:20">
      <c r="F31" s="958" t="s">
        <v>252</v>
      </c>
      <c r="G31" s="958"/>
      <c r="H31" s="21">
        <v>0.33</v>
      </c>
      <c r="I31" s="19">
        <v>23.3</v>
      </c>
      <c r="J31" s="21">
        <v>0.34</v>
      </c>
      <c r="K31" s="219">
        <f>(100%-J31)*I31</f>
        <v>15.377999999999998</v>
      </c>
      <c r="T31" s="18"/>
    </row>
    <row r="32" spans="1:20" ht="30" customHeight="1">
      <c r="F32" s="1102" t="s">
        <v>253</v>
      </c>
      <c r="G32" s="1103"/>
      <c r="H32" s="21">
        <v>0.33</v>
      </c>
      <c r="I32" s="19">
        <v>18.18</v>
      </c>
      <c r="J32" s="21">
        <v>0.31</v>
      </c>
      <c r="K32" s="219">
        <f>(100%-J32)*I32</f>
        <v>12.544199999999998</v>
      </c>
    </row>
    <row r="33" spans="6:15" ht="51" customHeight="1" thickBot="1">
      <c r="F33" s="1100" t="s">
        <v>402</v>
      </c>
      <c r="G33" s="1101"/>
      <c r="H33" s="32"/>
      <c r="I33" s="32"/>
      <c r="J33" s="32"/>
      <c r="K33" s="37">
        <v>1.1000000000000001</v>
      </c>
    </row>
    <row r="34" spans="6:15" ht="52" customHeight="1" thickBot="1">
      <c r="F34" s="1100" t="s">
        <v>475</v>
      </c>
      <c r="G34" s="1101"/>
      <c r="H34" s="32"/>
      <c r="I34" s="32"/>
      <c r="J34" s="32"/>
      <c r="K34" s="457">
        <f>SUMPRODUCT(K30:K32,H30:H32)+H32*K33</f>
        <v>16.781225999999997</v>
      </c>
    </row>
    <row r="35" spans="6:15">
      <c r="F35" s="130" t="s">
        <v>93</v>
      </c>
      <c r="G35" s="130"/>
    </row>
    <row r="36" spans="6:15">
      <c r="F36" t="s">
        <v>348</v>
      </c>
    </row>
    <row r="37" spans="6:15" ht="13" customHeight="1">
      <c r="F37" t="s">
        <v>349</v>
      </c>
    </row>
    <row r="39" spans="6:15">
      <c r="I39" s="1"/>
      <c r="J39" s="1"/>
    </row>
    <row r="44" spans="6:15">
      <c r="N44" s="18"/>
      <c r="O44" s="18"/>
    </row>
  </sheetData>
  <mergeCells count="12">
    <mergeCell ref="F34:G34"/>
    <mergeCell ref="F28:K28"/>
    <mergeCell ref="F33:G33"/>
    <mergeCell ref="F32:G32"/>
    <mergeCell ref="F30:G30"/>
    <mergeCell ref="F31:G31"/>
    <mergeCell ref="F29:G29"/>
    <mergeCell ref="H3:L3"/>
    <mergeCell ref="H12:L12"/>
    <mergeCell ref="A12:E12"/>
    <mergeCell ref="A3:E3"/>
    <mergeCell ref="F20:L20"/>
  </mergeCells>
  <conditionalFormatting sqref="I19 K19:L19">
    <cfRule type="cellIs" dxfId="7" priority="19" operator="lessThan">
      <formula>0</formula>
    </cfRule>
    <cfRule type="cellIs" dxfId="6" priority="20" operator="greaterThan">
      <formula>0</formula>
    </cfRule>
    <cfRule type="cellIs" dxfId="5" priority="25" operator="lessThan">
      <formula>0</formula>
    </cfRule>
    <cfRule type="cellIs" dxfId="4" priority="26" operator="greaterThan">
      <formula>0</formula>
    </cfRule>
  </conditionalFormatting>
  <conditionalFormatting sqref="J19">
    <cfRule type="cellIs" dxfId="3" priority="1" operator="lessThan">
      <formula>0</formula>
    </cfRule>
    <cfRule type="cellIs" dxfId="2" priority="2" operator="greaterThan">
      <formula>0</formula>
    </cfRule>
    <cfRule type="cellIs" dxfId="1" priority="3" operator="lessThan">
      <formula>0</formula>
    </cfRule>
    <cfRule type="cellIs" dxfId="0" priority="4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0.39997558519241921"/>
  </sheetPr>
  <dimension ref="A1:AG107"/>
  <sheetViews>
    <sheetView rightToLeft="1" topLeftCell="F10" zoomScale="118" zoomScaleNormal="118" workbookViewId="0">
      <selection activeCell="AA37" sqref="AA37"/>
    </sheetView>
  </sheetViews>
  <sheetFormatPr baseColWidth="10" defaultColWidth="8.83203125" defaultRowHeight="15"/>
  <cols>
    <col min="1" max="1" width="19" bestFit="1" customWidth="1"/>
    <col min="2" max="2" width="6.6640625" bestFit="1" customWidth="1"/>
    <col min="3" max="4" width="7.6640625" bestFit="1" customWidth="1"/>
    <col min="5" max="5" width="8.6640625" bestFit="1" customWidth="1"/>
    <col min="6" max="6" width="6.6640625" bestFit="1" customWidth="1"/>
    <col min="7" max="7" width="7.6640625" bestFit="1" customWidth="1"/>
    <col min="8" max="9" width="8.6640625" bestFit="1" customWidth="1"/>
    <col min="10" max="10" width="8.83203125" bestFit="1" customWidth="1"/>
    <col min="11" max="11" width="8" bestFit="1" customWidth="1"/>
    <col min="12" max="12" width="7.6640625" bestFit="1" customWidth="1"/>
    <col min="13" max="13" width="8.33203125" bestFit="1" customWidth="1"/>
    <col min="14" max="14" width="8.6640625" bestFit="1" customWidth="1"/>
    <col min="15" max="15" width="6.6640625" bestFit="1" customWidth="1"/>
    <col min="16" max="16" width="7.6640625" bestFit="1" customWidth="1"/>
    <col min="17" max="18" width="7.6640625" customWidth="1"/>
    <col min="19" max="19" width="8.33203125" bestFit="1" customWidth="1"/>
    <col min="20" max="20" width="8.6640625" bestFit="1" customWidth="1"/>
    <col min="21" max="21" width="6.6640625" bestFit="1" customWidth="1"/>
    <col min="22" max="22" width="7.6640625" bestFit="1" customWidth="1"/>
    <col min="23" max="24" width="7.6640625" customWidth="1"/>
    <col min="25" max="25" width="7.6640625" bestFit="1" customWidth="1"/>
    <col min="26" max="26" width="8.6640625" bestFit="1" customWidth="1"/>
    <col min="27" max="27" width="8.1640625" bestFit="1" customWidth="1"/>
    <col min="28" max="28" width="6.6640625" customWidth="1"/>
    <col min="29" max="29" width="7.6640625" bestFit="1" customWidth="1"/>
    <col min="30" max="30" width="7.6640625" customWidth="1"/>
    <col min="31" max="31" width="8.6640625" bestFit="1" customWidth="1"/>
  </cols>
  <sheetData>
    <row r="1" spans="1:31" ht="29">
      <c r="A1" s="225" t="s">
        <v>41</v>
      </c>
      <c r="B1" s="225"/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</row>
    <row r="2" spans="1:31" ht="16" thickBot="1"/>
    <row r="3" spans="1:31" ht="49" thickBot="1">
      <c r="A3" s="343" t="s">
        <v>178</v>
      </c>
      <c r="B3" s="393" t="s">
        <v>0</v>
      </c>
      <c r="C3" s="393" t="s">
        <v>16</v>
      </c>
      <c r="D3" s="778" t="s">
        <v>3</v>
      </c>
      <c r="E3" s="394" t="s">
        <v>0</v>
      </c>
      <c r="F3" s="393" t="s">
        <v>16</v>
      </c>
      <c r="G3" s="744" t="s">
        <v>437</v>
      </c>
      <c r="H3" s="745" t="s">
        <v>434</v>
      </c>
      <c r="I3" s="745" t="s">
        <v>436</v>
      </c>
      <c r="J3" s="395" t="s">
        <v>229</v>
      </c>
      <c r="L3" s="101" t="s">
        <v>12</v>
      </c>
      <c r="AA3" s="14"/>
      <c r="AB3" s="14"/>
      <c r="AC3" s="14"/>
      <c r="AD3" s="14"/>
    </row>
    <row r="4" spans="1:31" ht="16" thickBot="1">
      <c r="A4" s="396"/>
      <c r="B4" s="563" t="s">
        <v>179</v>
      </c>
      <c r="C4" s="1131" t="s">
        <v>180</v>
      </c>
      <c r="D4" s="1132"/>
      <c r="E4" s="1118" t="s">
        <v>181</v>
      </c>
      <c r="F4" s="1119"/>
      <c r="G4" s="1119"/>
      <c r="H4" s="1119"/>
      <c r="I4" s="1119"/>
      <c r="J4" s="1120"/>
      <c r="L4" s="398">
        <f>+'הנחות עבודה'!$B$37</f>
        <v>0.04</v>
      </c>
      <c r="AA4" s="14"/>
      <c r="AB4" s="14"/>
      <c r="AC4" s="14"/>
      <c r="AD4" s="14"/>
    </row>
    <row r="5" spans="1:31">
      <c r="A5" s="239" t="s">
        <v>175</v>
      </c>
      <c r="B5" s="117">
        <v>60</v>
      </c>
      <c r="C5" s="237">
        <f>+' עלות דלקים - אג לקוט"ש'!J13</f>
        <v>4.7</v>
      </c>
      <c r="D5" s="779">
        <f>+' עלות דלקים - אג לקוט"ש'!J4</f>
        <v>4.7</v>
      </c>
      <c r="E5" s="782">
        <f>' עלות דלקים - אג לקוט"ש'!I26</f>
        <v>14.329665947845928</v>
      </c>
      <c r="F5" s="154">
        <f>+' עלות דלקים - אג לקוט"ש'!J17</f>
        <v>16.054751335605605</v>
      </c>
      <c r="G5" s="154">
        <f>+' עלות דלקים - אג לקוט"ש'!J8</f>
        <v>13.819924782740699</v>
      </c>
      <c r="H5" s="659">
        <f>' עלות דלקים - אג לקוט"ש'!C8</f>
        <v>11.953006634214239</v>
      </c>
      <c r="I5" s="659">
        <f>' עלות דלקים - אג לקוט"ש'!C17</f>
        <v>16.679084159873241</v>
      </c>
      <c r="J5" s="311">
        <f>' עלות דלקים - אג לקוט"ש'!K34</f>
        <v>16.781225999999997</v>
      </c>
      <c r="P5" s="17"/>
      <c r="AA5" s="14"/>
      <c r="AB5" s="14"/>
      <c r="AC5" s="14"/>
      <c r="AD5" s="14"/>
    </row>
    <row r="6" spans="1:31">
      <c r="A6" s="239" t="s">
        <v>176</v>
      </c>
      <c r="B6" s="117">
        <v>40</v>
      </c>
      <c r="C6" s="237">
        <v>5</v>
      </c>
      <c r="D6" s="779">
        <v>5</v>
      </c>
      <c r="E6" s="782">
        <f>' עלות דלקים - אג לקוט"ש'!G26</f>
        <v>11.515449868415349</v>
      </c>
      <c r="F6" s="147">
        <f>' עלות דלקים - אג לקוט"ש'!K17</f>
        <v>17.025036213263636</v>
      </c>
      <c r="G6" s="147">
        <f>' עלות דלקים - אג לקוט"ש'!K8</f>
        <v>14.618078712427137</v>
      </c>
      <c r="H6" s="652">
        <f>' עלות דלקים - אג לקוט"ש'!D8</f>
        <v>12.631995575696859</v>
      </c>
      <c r="I6" s="652">
        <f>' עלות דלקים - אג לקוט"ש'!D17</f>
        <v>17.659737624270267</v>
      </c>
      <c r="J6" s="311">
        <f>J5</f>
        <v>16.781225999999997</v>
      </c>
    </row>
    <row r="7" spans="1:31" ht="16" thickBot="1">
      <c r="A7" s="240" t="s">
        <v>177</v>
      </c>
      <c r="B7" s="780">
        <v>80</v>
      </c>
      <c r="C7" s="241">
        <f>+' עלות דלקים - אג לקוט"ש'!I13</f>
        <v>4</v>
      </c>
      <c r="D7" s="781">
        <f>+' עלות דלקים - אג לקוט"ש'!I4</f>
        <v>4</v>
      </c>
      <c r="E7" s="783">
        <f>' עלות דלקים - אג לקוט"ש'!K26</f>
        <v>17.143882027276504</v>
      </c>
      <c r="F7" s="148">
        <f>' עלות דלקים - אג לקוט"ש'!I17</f>
        <v>13.790753287736848</v>
      </c>
      <c r="G7" s="148">
        <f>' עלות דלקים - אג לקוט"ש'!I8</f>
        <v>11.95756561347234</v>
      </c>
      <c r="H7" s="743">
        <f>' עלות דלקים - אג לקוט"ש'!B8</f>
        <v>10.368699104088117</v>
      </c>
      <c r="I7" s="743">
        <f>' עלות דלקים - אג לקוט"ש'!B17</f>
        <v>14.390892742946845</v>
      </c>
      <c r="J7" s="312">
        <f>J6</f>
        <v>16.781225999999997</v>
      </c>
      <c r="T7" s="17"/>
    </row>
    <row r="8" spans="1:31">
      <c r="T8" s="17"/>
    </row>
    <row r="9" spans="1:31" ht="16" thickBot="1"/>
    <row r="10" spans="1:31" ht="16" thickBot="1">
      <c r="A10" s="1121" t="s">
        <v>230</v>
      </c>
      <c r="B10" s="1122"/>
      <c r="C10" s="1122"/>
      <c r="D10" s="1122"/>
      <c r="E10" s="1122"/>
      <c r="F10" s="1122"/>
      <c r="G10" s="1122"/>
      <c r="H10" s="1122"/>
      <c r="I10" s="1122"/>
      <c r="J10" s="1122"/>
      <c r="K10" s="1122"/>
      <c r="L10" s="1122"/>
      <c r="M10" s="1122"/>
      <c r="N10" s="1122"/>
      <c r="O10" s="1122"/>
      <c r="P10" s="1122"/>
      <c r="Q10" s="1122"/>
      <c r="R10" s="1122"/>
      <c r="S10" s="1122"/>
      <c r="T10" s="1122"/>
      <c r="U10" s="1122"/>
      <c r="V10" s="1122"/>
      <c r="W10" s="1122"/>
      <c r="X10" s="1122"/>
      <c r="Y10" s="1122"/>
      <c r="Z10" s="1122"/>
      <c r="AA10" s="1122"/>
      <c r="AB10" s="1122"/>
      <c r="AC10" s="1122"/>
      <c r="AD10" s="1122"/>
      <c r="AE10" s="227"/>
    </row>
    <row r="11" spans="1:31" ht="14.25" customHeight="1" thickBot="1">
      <c r="A11" s="234"/>
      <c r="B11" s="1128" t="s">
        <v>92</v>
      </c>
      <c r="C11" s="1129"/>
      <c r="D11" s="1129"/>
      <c r="E11" s="1130"/>
      <c r="F11" s="1108" t="s">
        <v>128</v>
      </c>
      <c r="G11" s="1109"/>
      <c r="H11" s="1109"/>
      <c r="I11" s="1110"/>
      <c r="J11" s="1108" t="s">
        <v>4</v>
      </c>
      <c r="K11" s="1109"/>
      <c r="L11" s="1109"/>
      <c r="M11" s="1109"/>
      <c r="N11" s="1110"/>
      <c r="O11" s="1108" t="s">
        <v>8</v>
      </c>
      <c r="P11" s="1109"/>
      <c r="Q11" s="1109"/>
      <c r="R11" s="1109"/>
      <c r="S11" s="1109"/>
      <c r="T11" s="1110"/>
      <c r="U11" s="1108" t="s">
        <v>5</v>
      </c>
      <c r="V11" s="1109"/>
      <c r="W11" s="1109"/>
      <c r="X11" s="1109"/>
      <c r="Y11" s="1109"/>
      <c r="Z11" s="1110"/>
      <c r="AA11" s="1111" t="s">
        <v>49</v>
      </c>
      <c r="AB11" s="1112"/>
      <c r="AC11" s="1112"/>
      <c r="AD11" s="1113"/>
      <c r="AE11" s="1114"/>
    </row>
    <row r="12" spans="1:31" ht="49" thickBot="1">
      <c r="A12" s="228" t="s">
        <v>6</v>
      </c>
      <c r="B12" s="229" t="s">
        <v>0</v>
      </c>
      <c r="C12" s="709" t="s">
        <v>437</v>
      </c>
      <c r="D12" s="230" t="s">
        <v>32</v>
      </c>
      <c r="E12" s="231" t="s">
        <v>31</v>
      </c>
      <c r="F12" s="229" t="s">
        <v>0</v>
      </c>
      <c r="G12" s="709" t="s">
        <v>437</v>
      </c>
      <c r="H12" s="230" t="s">
        <v>32</v>
      </c>
      <c r="I12" s="231" t="s">
        <v>31</v>
      </c>
      <c r="J12" s="229" t="s">
        <v>0</v>
      </c>
      <c r="K12" s="230" t="s">
        <v>16</v>
      </c>
      <c r="L12" s="709" t="s">
        <v>437</v>
      </c>
      <c r="M12" s="230" t="s">
        <v>32</v>
      </c>
      <c r="N12" s="231" t="s">
        <v>31</v>
      </c>
      <c r="O12" s="229" t="s">
        <v>0</v>
      </c>
      <c r="P12" s="709" t="s">
        <v>437</v>
      </c>
      <c r="Q12" s="709" t="s">
        <v>438</v>
      </c>
      <c r="R12" s="709" t="s">
        <v>436</v>
      </c>
      <c r="S12" s="230" t="s">
        <v>32</v>
      </c>
      <c r="T12" s="231" t="s">
        <v>31</v>
      </c>
      <c r="U12" s="229" t="s">
        <v>0</v>
      </c>
      <c r="V12" s="709" t="s">
        <v>437</v>
      </c>
      <c r="W12" s="709" t="s">
        <v>438</v>
      </c>
      <c r="X12" s="709" t="s">
        <v>436</v>
      </c>
      <c r="Y12" s="230" t="s">
        <v>32</v>
      </c>
      <c r="Z12" s="231" t="s">
        <v>31</v>
      </c>
      <c r="AA12" s="235" t="s">
        <v>203</v>
      </c>
      <c r="AB12" s="232" t="s">
        <v>0</v>
      </c>
      <c r="AC12" s="265" t="s">
        <v>3</v>
      </c>
      <c r="AD12" s="265" t="s">
        <v>32</v>
      </c>
      <c r="AE12" s="233" t="s">
        <v>31</v>
      </c>
    </row>
    <row r="13" spans="1:31">
      <c r="A13" s="100">
        <v>2019</v>
      </c>
      <c r="B13" s="59"/>
      <c r="C13" s="28"/>
      <c r="D13" s="28"/>
      <c r="E13" s="29"/>
      <c r="F13" s="59"/>
      <c r="G13" s="28"/>
      <c r="H13" s="28"/>
      <c r="I13" s="28"/>
      <c r="J13" s="741"/>
      <c r="K13" s="266"/>
      <c r="L13" s="266"/>
      <c r="M13" s="266"/>
      <c r="N13" s="742"/>
      <c r="O13" s="741"/>
      <c r="P13" s="266"/>
      <c r="Q13" s="266"/>
      <c r="R13" s="266"/>
      <c r="S13" s="266"/>
      <c r="T13" s="742"/>
      <c r="U13" s="59"/>
      <c r="V13" s="28"/>
      <c r="W13" s="28"/>
      <c r="X13" s="28"/>
      <c r="Y13" s="28"/>
      <c r="Z13" s="29"/>
      <c r="AA13" s="59"/>
      <c r="AB13" s="28"/>
      <c r="AC13" s="266"/>
      <c r="AD13" s="28"/>
      <c r="AE13" s="29"/>
    </row>
    <row r="14" spans="1:31">
      <c r="A14" s="100">
        <f>A13+1</f>
        <v>2020</v>
      </c>
      <c r="B14" s="59">
        <f>'תמהיל יצור'!$H4*10*$E$5</f>
        <v>2939.3579241779826</v>
      </c>
      <c r="C14" s="28">
        <f>'תמהיל יצור'!$I4*$G$5*10</f>
        <v>6295.2664138158443</v>
      </c>
      <c r="D14" s="28">
        <f t="shared" ref="D14" si="0">+C14+B14</f>
        <v>9234.6243379938278</v>
      </c>
      <c r="E14" s="29">
        <f>+D14/(1+$L$4)^($A14-$A$13)</f>
        <v>8879.4464788402183</v>
      </c>
      <c r="F14" s="59">
        <f>'תמהיל יצור'!$L4*$E$5*10</f>
        <v>2073.6566177420018</v>
      </c>
      <c r="G14" s="28">
        <f>'תמהיל יצור'!$M4*$G$5*10</f>
        <v>7130.1726135004255</v>
      </c>
      <c r="H14" s="28">
        <f t="shared" ref="H14" si="1">+G14+F14</f>
        <v>9203.8292312424273</v>
      </c>
      <c r="I14" s="28">
        <f>+H14/(1+$L$4)^($A14-$A$13)</f>
        <v>8849.8357992715646</v>
      </c>
      <c r="J14" s="59">
        <f>('תמהיל יצור'!Q4+'תמהיל יצור'!P4)*$E$5*10</f>
        <v>2073.6566177420018</v>
      </c>
      <c r="K14" s="28">
        <f>'תמהיל יצור'!$R4*$F$5*10</f>
        <v>0</v>
      </c>
      <c r="L14" s="28">
        <f>'תמהיל יצור'!$S4*$G$5*10</f>
        <v>7130.1726135004255</v>
      </c>
      <c r="M14" s="28">
        <f>+L14+K14+J14</f>
        <v>9203.8292312424273</v>
      </c>
      <c r="N14" s="29">
        <f>+M14/(1+$L$4)^($A14-$A$13)</f>
        <v>8849.8357992715646</v>
      </c>
      <c r="O14" s="59">
        <f>('תמהיל יצור'!$W4+'תמהיל יצור'!$V4)*$E$5*10</f>
        <v>2073.6566177420018</v>
      </c>
      <c r="P14" s="28">
        <f>'תמהיל יצור'!X4*$G$5*10</f>
        <v>7130.1726135004265</v>
      </c>
      <c r="Q14" s="28">
        <f>'תמהיל יצור'!Y4*$H$5*10</f>
        <v>0</v>
      </c>
      <c r="R14" s="28">
        <f>'תמהיל יצור'!Z4*$I$5*10</f>
        <v>0</v>
      </c>
      <c r="S14" s="28">
        <f>+P14+O14+Q14+R14</f>
        <v>9203.8292312424273</v>
      </c>
      <c r="T14" s="29">
        <f>+S14/(1+$L$4)^($A14-$A$13)</f>
        <v>8849.8357992715646</v>
      </c>
      <c r="U14" s="59">
        <f>'תמהיל יצור'!$AC4*$E$5*10</f>
        <v>2073.6566177420018</v>
      </c>
      <c r="V14" s="28">
        <f>'תמהיל יצור'!AD4*$G$5*10</f>
        <v>7130.1726135004255</v>
      </c>
      <c r="W14" s="28">
        <f>'תמהיל יצור'!AE4*$H$5*10</f>
        <v>0</v>
      </c>
      <c r="X14" s="28">
        <f>'תמהיל יצור'!AF4*$I$5*10</f>
        <v>0</v>
      </c>
      <c r="Y14" s="28">
        <f>+V14+U14+W14+X14</f>
        <v>9203.8292312424273</v>
      </c>
      <c r="Z14" s="29">
        <f>+Y14/(1+$L$4)^($A14-$A$13)</f>
        <v>8849.8357992715646</v>
      </c>
      <c r="AA14" s="59">
        <f>'תמהיל יצור'!$AI4*($J$5)*10</f>
        <v>0</v>
      </c>
      <c r="AB14" s="28">
        <f>'תמהיל יצור'!$AK4*$E$5*10</f>
        <v>2073.6566177420018</v>
      </c>
      <c r="AC14" s="28">
        <f>'תמהיל יצור'!$AL4*$G$5*10</f>
        <v>7130.1726135004265</v>
      </c>
      <c r="AD14" s="28">
        <f>+AC14+AB14+AA14</f>
        <v>9203.8292312424273</v>
      </c>
      <c r="AE14" s="29">
        <f>+AD14/(1+$L$4)^($A14-$A$13)</f>
        <v>8849.8357992715646</v>
      </c>
    </row>
    <row r="15" spans="1:31">
      <c r="A15" s="100">
        <f t="shared" ref="A15:A39" si="2">A14+1</f>
        <v>2021</v>
      </c>
      <c r="B15" s="59">
        <f>'תמהיל יצור'!$H5*10*$E$5</f>
        <v>2939.3579241779826</v>
      </c>
      <c r="C15" s="28">
        <f>'תמהיל יצור'!$I5*$G$5*10</f>
        <v>6339.942084661011</v>
      </c>
      <c r="D15" s="28">
        <f t="shared" ref="D15:D33" si="3">+C15+B15</f>
        <v>9279.3000088389927</v>
      </c>
      <c r="E15" s="29">
        <f t="shared" ref="E15:E39" si="4">+D15/(1+$L$4)^($A15-$A$13)</f>
        <v>8579.2344756277653</v>
      </c>
      <c r="F15" s="59">
        <f>'תמהיל יצור'!$L5*$E$5*10</f>
        <v>2073.6566177420018</v>
      </c>
      <c r="G15" s="28">
        <f>'תמהיל יצור'!$M5*$G$5*10</f>
        <v>7174.8482843455931</v>
      </c>
      <c r="H15" s="28">
        <f t="shared" ref="H15:H33" si="5">+G15+F15</f>
        <v>9248.5049020875958</v>
      </c>
      <c r="I15" s="28">
        <f t="shared" ref="I15:I39" si="6">+H15/(1+$L$4)^($A15-$A$13)</f>
        <v>8550.7626683502167</v>
      </c>
      <c r="J15" s="59">
        <f>('תמהיל יצור'!Q5+'תמהיל יצור'!P5)*$E$5*10</f>
        <v>2073.6566177420018</v>
      </c>
      <c r="K15" s="28">
        <f>'תמהיל יצור'!$R5*$F$5*10</f>
        <v>0</v>
      </c>
      <c r="L15" s="28">
        <f>'תמהיל יצור'!$S5*$G$5*10</f>
        <v>7174.8482843455931</v>
      </c>
      <c r="M15" s="28">
        <f t="shared" ref="M15:M33" si="7">+L15+K15+J15</f>
        <v>9248.5049020875958</v>
      </c>
      <c r="N15" s="29">
        <f t="shared" ref="N15:N39" si="8">+M15/(1+$L$4)^($A15-$A$13)</f>
        <v>8550.7626683502167</v>
      </c>
      <c r="O15" s="59">
        <f>('תמהיל יצור'!$W5+'תמהיל יצור'!$V5)*$E$5*10</f>
        <v>2073.6566177420018</v>
      </c>
      <c r="P15" s="28">
        <f>'תמהיל יצור'!X5*$G$5*10</f>
        <v>7174.8482843455931</v>
      </c>
      <c r="Q15" s="28">
        <f>'תמהיל יצור'!Y5*$H$5*10</f>
        <v>0</v>
      </c>
      <c r="R15" s="28">
        <f>'תמהיל יצור'!Z5*$I$5*10</f>
        <v>0</v>
      </c>
      <c r="S15" s="28">
        <f t="shared" ref="S15:S33" si="9">+P15+O15+Q15+R15</f>
        <v>9248.5049020875958</v>
      </c>
      <c r="T15" s="29">
        <f t="shared" ref="T15:T39" si="10">+S15/(1+$L$4)^($A15-$A$13)</f>
        <v>8550.7626683502167</v>
      </c>
      <c r="U15" s="59">
        <f>'תמהיל יצור'!$AC5*$E$5*10</f>
        <v>2073.6566177420018</v>
      </c>
      <c r="V15" s="28">
        <f>'תמהיל יצור'!AD5*$G$5*10</f>
        <v>7174.8482843455931</v>
      </c>
      <c r="W15" s="28">
        <f>'תמהיל יצור'!AE5*$H$5*10</f>
        <v>0</v>
      </c>
      <c r="X15" s="28">
        <f>'תמהיל יצור'!AF5*$I$5*10</f>
        <v>0</v>
      </c>
      <c r="Y15" s="28">
        <f t="shared" ref="Y15:Y33" si="11">+V15+U15+W15+X15</f>
        <v>9248.5049020875958</v>
      </c>
      <c r="Z15" s="29">
        <f t="shared" ref="Z15:Z39" si="12">+Y15/(1+$L$4)^($A15-$A$13)</f>
        <v>8550.7626683502167</v>
      </c>
      <c r="AA15" s="59">
        <f>'תמהיל יצור'!$AI5*($J$5)*10</f>
        <v>0</v>
      </c>
      <c r="AB15" s="28">
        <f>'תמהיל יצור'!$AK5*$E$5*10</f>
        <v>2073.6566177420018</v>
      </c>
      <c r="AC15" s="28">
        <f>'תמהיל יצור'!$AL5*$G$5*10</f>
        <v>7174.8482843455931</v>
      </c>
      <c r="AD15" s="28">
        <f t="shared" ref="AD15:AD33" si="13">+AC15+AB15+AA15</f>
        <v>9248.5049020875958</v>
      </c>
      <c r="AE15" s="29">
        <f t="shared" ref="AE15:AE39" si="14">+AD15/(1+$L$4)^($A15-$A$13)</f>
        <v>8550.7626683502167</v>
      </c>
    </row>
    <row r="16" spans="1:31">
      <c r="A16" s="100">
        <f t="shared" si="2"/>
        <v>2022</v>
      </c>
      <c r="B16" s="59">
        <f>'תמהיל יצור'!$H6*10*$E$5</f>
        <v>2939.3579241779826</v>
      </c>
      <c r="C16" s="28">
        <f>'תמהיל יצור'!$I6*$G$5*10</f>
        <v>6639.56358192074</v>
      </c>
      <c r="D16" s="28">
        <f t="shared" si="3"/>
        <v>9578.9215060987226</v>
      </c>
      <c r="E16" s="29">
        <f t="shared" si="4"/>
        <v>8515.6263389162796</v>
      </c>
      <c r="F16" s="59">
        <f>'תמהיל יצור'!$L6*$E$5*10</f>
        <v>2073.6566177420018</v>
      </c>
      <c r="G16" s="28">
        <f>'תמהיל יצור'!$M6*$G$5*10</f>
        <v>7474.4697816053222</v>
      </c>
      <c r="H16" s="28">
        <f t="shared" si="5"/>
        <v>9548.126399347324</v>
      </c>
      <c r="I16" s="28">
        <f t="shared" si="6"/>
        <v>8488.249601149404</v>
      </c>
      <c r="J16" s="59">
        <f>('תמהיל יצור'!Q6+'תמהיל יצור'!P6)*$E$5*10</f>
        <v>1407.8967327481384</v>
      </c>
      <c r="K16" s="28">
        <f>'תמהיל יצור'!$R6*$F$5*10</f>
        <v>628.65629609999473</v>
      </c>
      <c r="L16" s="28">
        <f>'תמהיל יצור'!$S6*$G$5*10</f>
        <v>7575.3998264671882</v>
      </c>
      <c r="M16" s="28">
        <f t="shared" si="7"/>
        <v>9611.9528553153214</v>
      </c>
      <c r="N16" s="29">
        <f t="shared" si="8"/>
        <v>8544.9910880918233</v>
      </c>
      <c r="O16" s="59">
        <f>('תמהיל יצור'!$W6+'תמהיל יצור'!$V6)*$E$5*10</f>
        <v>1372.2727617410305</v>
      </c>
      <c r="P16" s="28">
        <f>'תמהיל יצור'!X6*$G$5*10</f>
        <v>8150.9037033059994</v>
      </c>
      <c r="Q16" s="28">
        <f>'תמהיל יצור'!Y6*$H$5*10</f>
        <v>0</v>
      </c>
      <c r="R16" s="28">
        <f>'תמהיל יצור'!Z6*$I$5*10</f>
        <v>0</v>
      </c>
      <c r="S16" s="28">
        <f t="shared" si="9"/>
        <v>9523.1764650470304</v>
      </c>
      <c r="T16" s="29">
        <f t="shared" si="10"/>
        <v>8466.0692004073644</v>
      </c>
      <c r="U16" s="59">
        <f>'תמהיל יצור'!$AC6*$E$5*10</f>
        <v>1372.2727617410305</v>
      </c>
      <c r="V16" s="28">
        <f>'תמהיל יצור'!AD6*$G$5*10</f>
        <v>8150.9037033059994</v>
      </c>
      <c r="W16" s="28">
        <f>'תמהיל יצור'!AE6*$H$5*10</f>
        <v>0</v>
      </c>
      <c r="X16" s="28">
        <f>'תמהיל יצור'!AF6*$I$5*10</f>
        <v>0</v>
      </c>
      <c r="Y16" s="28">
        <f t="shared" si="11"/>
        <v>9523.1764650470304</v>
      </c>
      <c r="Z16" s="29">
        <f t="shared" si="12"/>
        <v>8466.0692004073644</v>
      </c>
      <c r="AA16" s="59">
        <f>'תמהיל יצור'!$AI6*($J$5)*10</f>
        <v>0</v>
      </c>
      <c r="AB16" s="28">
        <f>'תמהיל יצור'!$AK6*$E$5*10</f>
        <v>2073.6566177420018</v>
      </c>
      <c r="AC16" s="28">
        <f>'תמהיל יצור'!$AL6*$G$5*10</f>
        <v>7474.4697816053222</v>
      </c>
      <c r="AD16" s="28">
        <f t="shared" si="13"/>
        <v>9548.126399347324</v>
      </c>
      <c r="AE16" s="29">
        <f t="shared" si="14"/>
        <v>8488.249601149404</v>
      </c>
    </row>
    <row r="17" spans="1:33">
      <c r="A17" s="100">
        <f t="shared" si="2"/>
        <v>2023</v>
      </c>
      <c r="B17" s="59">
        <f>'תמהיל יצור'!$H7*10*$E$5</f>
        <v>2939.3579241779826</v>
      </c>
      <c r="C17" s="28">
        <f>'תמהיל יצור'!$I7*$G$5*10</f>
        <v>6838.9726586033848</v>
      </c>
      <c r="D17" s="28">
        <f t="shared" si="3"/>
        <v>9778.3305827813674</v>
      </c>
      <c r="E17" s="29">
        <f t="shared" si="4"/>
        <v>8358.5579634356527</v>
      </c>
      <c r="F17" s="59">
        <f>'תמהיל יצור'!$L7*$E$5*10</f>
        <v>2073.6566177420018</v>
      </c>
      <c r="G17" s="28">
        <f>'תמהיל יצור'!$M7*$G$5*10</f>
        <v>7673.8788582879661</v>
      </c>
      <c r="H17" s="28">
        <f t="shared" si="5"/>
        <v>9747.535476029967</v>
      </c>
      <c r="I17" s="28">
        <f t="shared" si="6"/>
        <v>8332.2341771213487</v>
      </c>
      <c r="J17" s="59">
        <f>('תמהיל יצור'!Q7+'תמהיל יצור'!P7)*$E$5*10</f>
        <v>1407.8967327481384</v>
      </c>
      <c r="K17" s="28">
        <f>'תמהיל יצור'!$R7*$F$5*10</f>
        <v>628.65629609999473</v>
      </c>
      <c r="L17" s="28">
        <f>'תמהיל יצור'!$S7*$G$5*10</f>
        <v>7774.8089031498321</v>
      </c>
      <c r="M17" s="28">
        <f t="shared" si="7"/>
        <v>9811.3619319979662</v>
      </c>
      <c r="N17" s="29">
        <f t="shared" si="8"/>
        <v>8386.7932991813686</v>
      </c>
      <c r="O17" s="59">
        <f>('תמהיל יצור'!$W7+'תמהיל יצור'!$V7)*$E$5*10</f>
        <v>1372.2727617410305</v>
      </c>
      <c r="P17" s="28">
        <f>'תמהיל יצור'!X7*$G$5*10</f>
        <v>8350.3127799886443</v>
      </c>
      <c r="Q17" s="28">
        <f>'תמהיל יצור'!Y7*$H$5*10</f>
        <v>0</v>
      </c>
      <c r="R17" s="28">
        <f>'תמהיל יצור'!Z7*$I$5*10</f>
        <v>0</v>
      </c>
      <c r="S17" s="28">
        <f t="shared" si="9"/>
        <v>9722.5855417296752</v>
      </c>
      <c r="T17" s="29">
        <f t="shared" si="10"/>
        <v>8310.9068687155432</v>
      </c>
      <c r="U17" s="59">
        <f>'תמהיל יצור'!$AC7*$E$5*10</f>
        <v>1372.2727617410305</v>
      </c>
      <c r="V17" s="28">
        <f>'תמהיל יצור'!AD7*$G$5*10</f>
        <v>8350.3127799886424</v>
      </c>
      <c r="W17" s="28">
        <f>'תמהיל יצור'!AE7*$H$5*10</f>
        <v>0</v>
      </c>
      <c r="X17" s="28">
        <f>'תמהיל יצור'!AF7*$I$5*10</f>
        <v>0</v>
      </c>
      <c r="Y17" s="28">
        <f t="shared" si="11"/>
        <v>9722.5855417296734</v>
      </c>
      <c r="Z17" s="29">
        <f t="shared" si="12"/>
        <v>8310.9068687155413</v>
      </c>
      <c r="AA17" s="59">
        <f>'תמהיל יצור'!$AI7*($J$5)*10</f>
        <v>266.9691681887997</v>
      </c>
      <c r="AB17" s="28">
        <f>'תמהיל יצור'!$AK7*$E$5*10</f>
        <v>2073.6566177420018</v>
      </c>
      <c r="AC17" s="28">
        <f>'תמהיל יצור'!$AL7*$G$5*10</f>
        <v>7454.0204389043029</v>
      </c>
      <c r="AD17" s="28">
        <f t="shared" si="13"/>
        <v>9794.6462248351054</v>
      </c>
      <c r="AE17" s="29">
        <f t="shared" si="14"/>
        <v>8372.5046426425288</v>
      </c>
    </row>
    <row r="18" spans="1:33">
      <c r="A18" s="100">
        <f t="shared" si="2"/>
        <v>2024</v>
      </c>
      <c r="B18" s="59">
        <f>'תמהיל יצור'!$H8*10*$E$5</f>
        <v>2939.3579241779826</v>
      </c>
      <c r="C18" s="28">
        <f>'תמהיל יצור'!$I8*$G$5*10</f>
        <v>7154.9293069563155</v>
      </c>
      <c r="D18" s="28">
        <f t="shared" si="3"/>
        <v>10094.287231134298</v>
      </c>
      <c r="E18" s="29">
        <f t="shared" si="4"/>
        <v>8296.7682986840791</v>
      </c>
      <c r="F18" s="59">
        <f>'תמהיל יצור'!$L8*$E$5*10</f>
        <v>2073.6566177420018</v>
      </c>
      <c r="G18" s="28">
        <f>'תמהיל יצור'!$M8*$G$5*10</f>
        <v>7989.8355066408976</v>
      </c>
      <c r="H18" s="28">
        <f t="shared" si="5"/>
        <v>10063.492124382899</v>
      </c>
      <c r="I18" s="28">
        <f t="shared" si="6"/>
        <v>8271.4569656895565</v>
      </c>
      <c r="J18" s="59">
        <f>('תמהיל יצור'!Q8+'תמהיל יצור'!P8)*$E$5*10</f>
        <v>742.13684775427566</v>
      </c>
      <c r="K18" s="28">
        <f>'תמהיל יצור'!$R8*$F$5*10</f>
        <v>1257.3125921999895</v>
      </c>
      <c r="L18" s="28">
        <f>'תמהיל יצור'!$S8*$G$5*10</f>
        <v>8191.6955963646296</v>
      </c>
      <c r="M18" s="28">
        <f t="shared" si="7"/>
        <v>10191.145036318896</v>
      </c>
      <c r="N18" s="29">
        <f t="shared" si="8"/>
        <v>8376.3783542665169</v>
      </c>
      <c r="O18" s="59">
        <f>('תמהיל יצור'!$W8+'תמהיל יצור'!$V8)*$E$5*10</f>
        <v>699.67889047233461</v>
      </c>
      <c r="P18" s="28">
        <f>'תמהיל יצור'!X8*$G$5*10</f>
        <v>8514.0728541203971</v>
      </c>
      <c r="Q18" s="28">
        <f>'תמהיל יצור'!Y8*$H$5*10</f>
        <v>616.1177269605729</v>
      </c>
      <c r="R18" s="28">
        <f>'תמהיל יצור'!Z8*$I$5*10</f>
        <v>106.8295340439881</v>
      </c>
      <c r="S18" s="28">
        <f t="shared" si="9"/>
        <v>9936.699005597291</v>
      </c>
      <c r="T18" s="29">
        <f t="shared" si="10"/>
        <v>8167.2422644091066</v>
      </c>
      <c r="U18" s="59">
        <f>'תמהיל יצור'!$AC8*$E$5*10</f>
        <v>670.88890574005927</v>
      </c>
      <c r="V18" s="28">
        <f>'תמהיל יצור'!AD8*$G$5*10</f>
        <v>8541.8387088824256</v>
      </c>
      <c r="W18" s="28">
        <f>'תמהיל יצור'!AE8*$H$5*10</f>
        <v>616.1177269605729</v>
      </c>
      <c r="X18" s="28">
        <f>'תמהיל יצור'!AF8*$I$5*10</f>
        <v>106.8295340439881</v>
      </c>
      <c r="Y18" s="28">
        <f t="shared" si="11"/>
        <v>9935.6748756270445</v>
      </c>
      <c r="Z18" s="29">
        <f t="shared" si="12"/>
        <v>8166.4005042257168</v>
      </c>
      <c r="AA18" s="59">
        <f>'תמהיל יצור'!$AI8*($J$5)*10</f>
        <v>551.3773864367995</v>
      </c>
      <c r="AB18" s="28">
        <f>'תמהיל יצור'!$AK8*$E$5*10</f>
        <v>2073.6566177420018</v>
      </c>
      <c r="AC18" s="28">
        <f>'תמהיל יצור'!$AL8*$G$5*10</f>
        <v>7535.7570020393441</v>
      </c>
      <c r="AD18" s="28">
        <f t="shared" si="13"/>
        <v>10160.791006218145</v>
      </c>
      <c r="AE18" s="29">
        <f t="shared" si="14"/>
        <v>8351.4295541273204</v>
      </c>
    </row>
    <row r="19" spans="1:33">
      <c r="A19" s="100">
        <f t="shared" si="2"/>
        <v>2025</v>
      </c>
      <c r="B19" s="59">
        <f>'תמהיל יצור'!$H9*10*$E$5</f>
        <v>2939.3579241779826</v>
      </c>
      <c r="C19" s="28">
        <f>'תמהיל יצור'!$I9*$G$5*10</f>
        <v>7363.8755137315293</v>
      </c>
      <c r="D19" s="28">
        <f t="shared" si="3"/>
        <v>10303.233437909512</v>
      </c>
      <c r="E19" s="29">
        <f t="shared" si="4"/>
        <v>8142.7950479684341</v>
      </c>
      <c r="F19" s="59">
        <f>'תמהיל יצור'!$L9*$E$5*10</f>
        <v>2073.6566177420018</v>
      </c>
      <c r="G19" s="28">
        <f>'תמהיל יצור'!$M9*$G$5*10</f>
        <v>8198.7817134161123</v>
      </c>
      <c r="H19" s="28">
        <f t="shared" si="5"/>
        <v>10272.438331158115</v>
      </c>
      <c r="I19" s="28">
        <f t="shared" si="6"/>
        <v>8118.457227781395</v>
      </c>
      <c r="J19" s="59">
        <f>('תמהיל יצור'!Q9+'תמהיל יצור'!P9)*$E$5*10</f>
        <v>742.13684775427566</v>
      </c>
      <c r="K19" s="28">
        <f>'תמהיל יצור'!$R9*$F$5*10</f>
        <v>1257.3125921999895</v>
      </c>
      <c r="L19" s="28">
        <f>'תמהיל יצור'!$S9*$G$5*10</f>
        <v>8400.6418031398443</v>
      </c>
      <c r="M19" s="28">
        <f t="shared" si="7"/>
        <v>10400.09124309411</v>
      </c>
      <c r="N19" s="29">
        <f t="shared" si="8"/>
        <v>8219.343178336163</v>
      </c>
      <c r="O19" s="59">
        <f>('תמהיל יצור'!$W9+'תמהיל יצור'!$V9)*$E$5*10</f>
        <v>699.67889047233461</v>
      </c>
      <c r="P19" s="28">
        <f>'תמהיל יצור'!X9*$G$5*10</f>
        <v>8723.0190608956109</v>
      </c>
      <c r="Q19" s="28">
        <f>'תמהיל יצור'!Y9*$H$5*10</f>
        <v>616.1177269605729</v>
      </c>
      <c r="R19" s="28">
        <f>'תמהיל יצור'!Z9*$I$5*10</f>
        <v>106.8295340439881</v>
      </c>
      <c r="S19" s="28">
        <f t="shared" si="9"/>
        <v>10145.645212372505</v>
      </c>
      <c r="T19" s="29">
        <f t="shared" si="10"/>
        <v>8018.2507842424993</v>
      </c>
      <c r="U19" s="59">
        <f>'תמהיל יצור'!$AC9*$E$5*10</f>
        <v>670.88890574005927</v>
      </c>
      <c r="V19" s="28">
        <f>'תמהיל יצור'!AD9*$G$5*10</f>
        <v>8750.7849156576394</v>
      </c>
      <c r="W19" s="28">
        <f>'תמהיל יצור'!AE9*$H$5*10</f>
        <v>616.1177269605729</v>
      </c>
      <c r="X19" s="28">
        <f>'תמהיל יצור'!AF9*$I$5*10</f>
        <v>106.8295340439881</v>
      </c>
      <c r="Y19" s="28">
        <f t="shared" si="11"/>
        <v>10144.621082402258</v>
      </c>
      <c r="Z19" s="29">
        <f t="shared" si="12"/>
        <v>8017.4413994507786</v>
      </c>
      <c r="AA19" s="59">
        <f>'תמהיל יצור'!$AI9*($J$5)*10</f>
        <v>711.72535711199941</v>
      </c>
      <c r="AB19" s="28">
        <f>'תמהיל יצור'!$AK9*$E$5*10</f>
        <v>2073.6566177420018</v>
      </c>
      <c r="AC19" s="28">
        <f>'תמהיל יצור'!$AL9*$G$5*10</f>
        <v>7612.6510635305131</v>
      </c>
      <c r="AD19" s="28">
        <f t="shared" si="13"/>
        <v>10398.033038384516</v>
      </c>
      <c r="AE19" s="29">
        <f t="shared" si="14"/>
        <v>8217.716549257244</v>
      </c>
    </row>
    <row r="20" spans="1:33">
      <c r="A20" s="100">
        <f t="shared" si="2"/>
        <v>2026</v>
      </c>
      <c r="B20" s="59">
        <f>'תמהיל יצור'!$H10*10*$E$5</f>
        <v>2939.3579241779826</v>
      </c>
      <c r="C20" s="28">
        <f>'תמהיל יצור'!$I10*$G$5*10</f>
        <v>7639.2396930477826</v>
      </c>
      <c r="D20" s="28">
        <f t="shared" si="3"/>
        <v>10578.597617225765</v>
      </c>
      <c r="E20" s="29">
        <f t="shared" si="4"/>
        <v>8038.8647680267604</v>
      </c>
      <c r="F20" s="59">
        <f>'תמהיל יצור'!$L10*$E$5*10</f>
        <v>2073.6566177420018</v>
      </c>
      <c r="G20" s="28">
        <f>'תמהיל יצור'!$M10*$G$5*10</f>
        <v>8474.1458927323638</v>
      </c>
      <c r="H20" s="28">
        <f t="shared" si="5"/>
        <v>10547.802510474365</v>
      </c>
      <c r="I20" s="28">
        <f t="shared" si="6"/>
        <v>8015.4630178469124</v>
      </c>
      <c r="J20" s="59">
        <f>('תמהיל יצור'!Q10+'תמהיל יצור'!P10)*$E$5*10</f>
        <v>105.32304471666757</v>
      </c>
      <c r="K20" s="28">
        <f>'תמהיל יצור'!$R10*$F$5*10</f>
        <v>1858.6360058608539</v>
      </c>
      <c r="L20" s="28">
        <f>'תמהיל יצור'!$S10*$G$5*10</f>
        <v>8772.5477644978819</v>
      </c>
      <c r="M20" s="28">
        <f t="shared" si="7"/>
        <v>10736.506815075403</v>
      </c>
      <c r="N20" s="29">
        <f t="shared" si="8"/>
        <v>8158.8627803411491</v>
      </c>
      <c r="O20" s="59">
        <f>('תמהיל יצור'!$W10+'תמהיל יצור'!$V10)*$E$5*10</f>
        <v>57.57996946455031</v>
      </c>
      <c r="P20" s="28">
        <f>'תמהיל יצור'!X10*$G$5*10</f>
        <v>8816.7764954819595</v>
      </c>
      <c r="Q20" s="28">
        <f>'תמהיל יצור'!Y10*$H$5*10</f>
        <v>1232.2354539211458</v>
      </c>
      <c r="R20" s="28">
        <f>'תמהיל יצור'!Z10*$I$5*10</f>
        <v>213.65906808797621</v>
      </c>
      <c r="S20" s="28">
        <f t="shared" si="9"/>
        <v>10320.250986955632</v>
      </c>
      <c r="T20" s="29">
        <f t="shared" si="10"/>
        <v>7842.542561703759</v>
      </c>
      <c r="U20" s="59">
        <f>'תמהיל יצור'!$AC10*$E$5*10</f>
        <v>0</v>
      </c>
      <c r="V20" s="28">
        <f>'תמהיל יצור'!AD10*$G$5*10</f>
        <v>8872.3082050060202</v>
      </c>
      <c r="W20" s="28">
        <f>'תמהיל יצור'!AE10*$H$5*10</f>
        <v>1232.2354539211458</v>
      </c>
      <c r="X20" s="28">
        <f>'תמהיל יצור'!AF10*$I$5*10</f>
        <v>213.65906808797621</v>
      </c>
      <c r="Y20" s="28">
        <f t="shared" si="11"/>
        <v>10318.202727015143</v>
      </c>
      <c r="Z20" s="29">
        <f t="shared" si="12"/>
        <v>7840.9860524889127</v>
      </c>
      <c r="AA20" s="59">
        <f>'תמהיל יצור'!$AI10*($J$5)*10</f>
        <v>1023.3187184556333</v>
      </c>
      <c r="AB20" s="28">
        <f>'תמהיל יצור'!$AK10*$E$5*10</f>
        <v>2073.6566177420018</v>
      </c>
      <c r="AC20" s="28">
        <f>'תמהיל יצור'!$AL10*$G$5*10</f>
        <v>7631.4072443268515</v>
      </c>
      <c r="AD20" s="28">
        <f t="shared" si="13"/>
        <v>10728.382580524487</v>
      </c>
      <c r="AE20" s="29">
        <f t="shared" si="14"/>
        <v>8152.689029787276</v>
      </c>
    </row>
    <row r="21" spans="1:33">
      <c r="A21" s="100">
        <f t="shared" si="2"/>
        <v>2027</v>
      </c>
      <c r="B21" s="59">
        <f>'תמהיל יצור'!$H11*10*$E$5</f>
        <v>2939.3579241779826</v>
      </c>
      <c r="C21" s="28">
        <f>'תמהיל יצור'!$I11*$G$5*10</f>
        <v>7798.3969063609366</v>
      </c>
      <c r="D21" s="28">
        <f t="shared" si="3"/>
        <v>10737.754830538919</v>
      </c>
      <c r="E21" s="29">
        <f t="shared" si="4"/>
        <v>7845.9722783875241</v>
      </c>
      <c r="F21" s="59">
        <f>'תמהיל יצור'!$L11*$E$5*10</f>
        <v>2073.6566177420018</v>
      </c>
      <c r="G21" s="28">
        <f>'תמהיל יצור'!$M11*$G$5*10</f>
        <v>8633.3031060455178</v>
      </c>
      <c r="H21" s="28">
        <f t="shared" si="5"/>
        <v>10706.95972378752</v>
      </c>
      <c r="I21" s="28">
        <f t="shared" si="6"/>
        <v>7823.4705955222871</v>
      </c>
      <c r="J21" s="59">
        <f>('תמהיל יצור'!Q11+'תמהיל יצור'!P11)*$E$5*10</f>
        <v>105.32304471666757</v>
      </c>
      <c r="K21" s="28">
        <f>'תמהיל יצור'!$R11*$F$5*10</f>
        <v>1858.6360058608539</v>
      </c>
      <c r="L21" s="28">
        <f>'תמהיל יצור'!$S11*$G$5*10</f>
        <v>8931.7049778110359</v>
      </c>
      <c r="M21" s="28">
        <f t="shared" si="7"/>
        <v>10895.664028388557</v>
      </c>
      <c r="N21" s="29">
        <f t="shared" si="8"/>
        <v>7961.3549825359751</v>
      </c>
      <c r="O21" s="59">
        <f>('תמהיל יצור'!$W11+'תמהיל יצור'!$V11)*$E$5*10</f>
        <v>57.57996946455031</v>
      </c>
      <c r="P21" s="28">
        <f>'תמהיל יצור'!X11*$G$5*10</f>
        <v>8975.9337087951135</v>
      </c>
      <c r="Q21" s="28">
        <f>'תמהיל יצור'!Y11*$H$5*10</f>
        <v>1232.2354539211458</v>
      </c>
      <c r="R21" s="28">
        <f>'תמהיל יצור'!Z11*$I$5*10</f>
        <v>213.65906808797621</v>
      </c>
      <c r="S21" s="28">
        <f t="shared" si="9"/>
        <v>10479.408200268786</v>
      </c>
      <c r="T21" s="29">
        <f t="shared" si="10"/>
        <v>7657.2009261538697</v>
      </c>
      <c r="U21" s="59">
        <f>'תמהיל יצור'!$AC11*$E$5*10</f>
        <v>0</v>
      </c>
      <c r="V21" s="28">
        <f>'תמהיל יצור'!AD11*$G$5*10</f>
        <v>9031.4654183191742</v>
      </c>
      <c r="W21" s="28">
        <f>'תמהיל יצור'!AE11*$H$5*10</f>
        <v>1232.2354539211458</v>
      </c>
      <c r="X21" s="28">
        <f>'תמהיל יצור'!AF11*$I$5*10</f>
        <v>213.65906808797621</v>
      </c>
      <c r="Y21" s="28">
        <f t="shared" si="11"/>
        <v>10477.359940328297</v>
      </c>
      <c r="Z21" s="29">
        <f t="shared" si="12"/>
        <v>7655.7042826780562</v>
      </c>
      <c r="AA21" s="59">
        <f>'תמהיל יצור'!$AI11*($J$5)*10</f>
        <v>1201.0837986902113</v>
      </c>
      <c r="AB21" s="28">
        <f>'תמהיל יצור'!$AK11*$E$5*10</f>
        <v>2073.6566177420018</v>
      </c>
      <c r="AC21" s="28">
        <f>'תמהיל יצור'!$AL11*$G$5*10</f>
        <v>7644.1687152884197</v>
      </c>
      <c r="AD21" s="28">
        <f t="shared" si="13"/>
        <v>10918.909131720633</v>
      </c>
      <c r="AE21" s="29">
        <f t="shared" si="14"/>
        <v>7978.3399518549822</v>
      </c>
    </row>
    <row r="22" spans="1:33">
      <c r="A22" s="100">
        <f t="shared" si="2"/>
        <v>2028</v>
      </c>
      <c r="B22" s="59">
        <f>'תמהיל יצור'!$H12*10*$E$5</f>
        <v>2939.3579241779826</v>
      </c>
      <c r="C22" s="28">
        <f>'תמהיל יצור'!$I12*$G$5*10</f>
        <v>7958.513035864743</v>
      </c>
      <c r="D22" s="28">
        <f t="shared" si="3"/>
        <v>10897.870960042725</v>
      </c>
      <c r="E22" s="29">
        <f t="shared" si="4"/>
        <v>7656.6995825757531</v>
      </c>
      <c r="F22" s="59">
        <f>'תמהיל יצור'!$L12*$E$5*10</f>
        <v>2073.6566177420018</v>
      </c>
      <c r="G22" s="28">
        <f>'תמהיל יצור'!$M12*$G$5*10</f>
        <v>8793.4192355493251</v>
      </c>
      <c r="H22" s="28">
        <f t="shared" si="5"/>
        <v>10867.075853291328</v>
      </c>
      <c r="I22" s="28">
        <f t="shared" si="6"/>
        <v>7635.0633490514874</v>
      </c>
      <c r="J22" s="59">
        <f>('תמהיל יצור'!Q12+'תמהיל יצור'!P12)*$E$5*10</f>
        <v>105.32304471666757</v>
      </c>
      <c r="K22" s="28">
        <f>'תמהיל יצור'!$R12*$F$5*10</f>
        <v>1858.6360058608539</v>
      </c>
      <c r="L22" s="28">
        <f>'תמהיל יצור'!$S12*$G$5*10</f>
        <v>9091.8211073148414</v>
      </c>
      <c r="M22" s="28">
        <f t="shared" si="7"/>
        <v>11055.780157892363</v>
      </c>
      <c r="N22" s="29">
        <f t="shared" si="8"/>
        <v>7767.6444904108021</v>
      </c>
      <c r="O22" s="59">
        <f>('תמהיל יצור'!$W12+'תמהיל יצור'!$V12)*$E$5*10</f>
        <v>85.11821573020481</v>
      </c>
      <c r="P22" s="28">
        <f>'תמהיל יצור'!X12*$G$5*10</f>
        <v>8308.6265534536778</v>
      </c>
      <c r="Q22" s="28">
        <f>'תמהיל יצור'!Y12*$H$5*10</f>
        <v>1848.353180881719</v>
      </c>
      <c r="R22" s="28">
        <f>'תמהיל יצור'!Z12*$I$5*10</f>
        <v>320.48860213196429</v>
      </c>
      <c r="S22" s="28">
        <f t="shared" si="9"/>
        <v>10562.586552197565</v>
      </c>
      <c r="T22" s="29">
        <f t="shared" si="10"/>
        <v>7421.1332049773409</v>
      </c>
      <c r="U22" s="59">
        <f>'תמהיל יצור'!$AC12*$E$5*10</f>
        <v>0</v>
      </c>
      <c r="V22" s="28">
        <f>'תמהיל יצור'!AD12*$G$5*10</f>
        <v>8390.7169066631559</v>
      </c>
      <c r="W22" s="28">
        <f>'תמהיל יצור'!AE12*$H$5*10</f>
        <v>1848.353180881719</v>
      </c>
      <c r="X22" s="28">
        <f>'תמהיל יצור'!AF12*$I$5*10</f>
        <v>320.48860213196429</v>
      </c>
      <c r="Y22" s="28">
        <f t="shared" si="11"/>
        <v>10559.558689676838</v>
      </c>
      <c r="Z22" s="29">
        <f t="shared" si="12"/>
        <v>7419.0058689331227</v>
      </c>
      <c r="AA22" s="59">
        <f>'תמהיל יצור'!$AI12*($J$5)*10</f>
        <v>1387.7021939117026</v>
      </c>
      <c r="AB22" s="28">
        <f>'תמהיל יצור'!$AK12*$E$5*10</f>
        <v>2073.6566177420018</v>
      </c>
      <c r="AC22" s="28">
        <f>'תמהיל יצור'!$AL12*$G$5*10</f>
        <v>7650.5980888283411</v>
      </c>
      <c r="AD22" s="28">
        <f t="shared" si="13"/>
        <v>11111.956900482046</v>
      </c>
      <c r="AE22" s="29">
        <f t="shared" si="14"/>
        <v>7807.1135246023405</v>
      </c>
      <c r="AG22" s="17"/>
    </row>
    <row r="23" spans="1:33">
      <c r="A23" s="100">
        <f t="shared" si="2"/>
        <v>2029</v>
      </c>
      <c r="B23" s="59">
        <f>'תמהיל יצור'!$H13*10*$E$5</f>
        <v>2939.3579241779826</v>
      </c>
      <c r="C23" s="28">
        <f>'תמהיל יצור'!$I13*$G$5*10</f>
        <v>8119.5238374249866</v>
      </c>
      <c r="D23" s="28">
        <f t="shared" si="3"/>
        <v>11058.88176160297</v>
      </c>
      <c r="E23" s="29">
        <f t="shared" si="4"/>
        <v>7470.9842654200938</v>
      </c>
      <c r="F23" s="59">
        <f>'תמהיל יצור'!$L13*$E$5*10</f>
        <v>2073.6566177420018</v>
      </c>
      <c r="G23" s="28">
        <f>'תמהיל יצור'!$M13*$G$5*10</f>
        <v>8954.4300371095669</v>
      </c>
      <c r="H23" s="28">
        <f t="shared" si="5"/>
        <v>11028.08665485157</v>
      </c>
      <c r="I23" s="28">
        <f t="shared" si="6"/>
        <v>7450.1801947236818</v>
      </c>
      <c r="J23" s="59">
        <f>('תמהיל יצור'!Q13+'תמהיל יצור'!P13)*$E$5*10</f>
        <v>105.32304471666757</v>
      </c>
      <c r="K23" s="28">
        <f>'תמהיל יצור'!$R13*$F$5*10</f>
        <v>1858.6360058608539</v>
      </c>
      <c r="L23" s="28">
        <f>'תמהיל יצור'!$S13*$G$5*10</f>
        <v>9252.831908875085</v>
      </c>
      <c r="M23" s="28">
        <f t="shared" si="7"/>
        <v>11216.790959452606</v>
      </c>
      <c r="N23" s="29">
        <f t="shared" si="8"/>
        <v>7577.6620614153317</v>
      </c>
      <c r="O23" s="59">
        <f>('תמהיל יצור'!$W13+'תמהיל יצור'!$V13)*$E$5*10</f>
        <v>85.11821573020481</v>
      </c>
      <c r="P23" s="28">
        <f>'תמהיל יצור'!X13*$G$5*10</f>
        <v>8469.6373550139215</v>
      </c>
      <c r="Q23" s="28">
        <f>'תמהיל יצור'!Y13*$H$5*10</f>
        <v>1848.353180881719</v>
      </c>
      <c r="R23" s="28">
        <f>'תמהיל יצור'!Z13*$I$5*10</f>
        <v>320.48860213196429</v>
      </c>
      <c r="S23" s="28">
        <f t="shared" si="9"/>
        <v>10723.597353757808</v>
      </c>
      <c r="T23" s="29">
        <f t="shared" si="10"/>
        <v>7244.4781331139266</v>
      </c>
      <c r="U23" s="59">
        <f>'תמהיל יצור'!$AC13*$E$5*10</f>
        <v>0</v>
      </c>
      <c r="V23" s="28">
        <f>'תמהיל יצור'!AD13*$G$5*10</f>
        <v>8551.7277082233995</v>
      </c>
      <c r="W23" s="28">
        <f>'תמהיל יצור'!AE13*$H$5*10</f>
        <v>1848.353180881719</v>
      </c>
      <c r="X23" s="28">
        <f>'תמהיל יצור'!AF13*$I$5*10</f>
        <v>320.48860213196429</v>
      </c>
      <c r="Y23" s="28">
        <f t="shared" si="11"/>
        <v>10720.569491237082</v>
      </c>
      <c r="Z23" s="29">
        <f t="shared" si="12"/>
        <v>7242.4326176867935</v>
      </c>
      <c r="AA23" s="59">
        <f>'תמהיל יצור'!$AI13*($J$5)*10</f>
        <v>1583.5223923859094</v>
      </c>
      <c r="AB23" s="28">
        <f>'תמהיל יצור'!$AK13*$E$5*10</f>
        <v>2073.6566177420018</v>
      </c>
      <c r="AC23" s="28">
        <f>'תמהיל יצור'!$AL13*$G$5*10</f>
        <v>7650.3441285735144</v>
      </c>
      <c r="AD23" s="28">
        <f t="shared" si="13"/>
        <v>11307.523138701425</v>
      </c>
      <c r="AE23" s="29">
        <f t="shared" si="14"/>
        <v>7638.9574706753128</v>
      </c>
    </row>
    <row r="24" spans="1:33">
      <c r="A24" s="100">
        <f t="shared" si="2"/>
        <v>2030</v>
      </c>
      <c r="B24" s="59">
        <f>'תמהיל יצור'!$H14*10*$E$5</f>
        <v>2939.3579241779826</v>
      </c>
      <c r="C24" s="28">
        <f>'תמהיל יצור'!$I14*$G$5*10</f>
        <v>8281.3608986743093</v>
      </c>
      <c r="D24" s="28">
        <f t="shared" si="3"/>
        <v>11220.718822852292</v>
      </c>
      <c r="E24" s="29">
        <f t="shared" si="4"/>
        <v>7288.7649857578863</v>
      </c>
      <c r="F24" s="59">
        <f>'תמהיל יצור'!$L14*$E$5*10</f>
        <v>2073.6566177420018</v>
      </c>
      <c r="G24" s="28">
        <f>'תמהיל יצור'!$M14*$G$5*10</f>
        <v>9116.2670983588923</v>
      </c>
      <c r="H24" s="28">
        <f t="shared" si="5"/>
        <v>11189.923716100893</v>
      </c>
      <c r="I24" s="28">
        <f t="shared" si="6"/>
        <v>7268.7610716267227</v>
      </c>
      <c r="J24" s="59">
        <f>('תמהיל יצור'!Q14+'תמהיל יצור'!P14)*$E$5*10</f>
        <v>105.32304471666757</v>
      </c>
      <c r="K24" s="28">
        <f>'תמהיל יצור'!$R14*$F$5*10</f>
        <v>1858.6360058608539</v>
      </c>
      <c r="L24" s="28">
        <f>'תמהיל יצור'!$S14*$G$5*10</f>
        <v>9414.6689701244086</v>
      </c>
      <c r="M24" s="28">
        <f t="shared" si="7"/>
        <v>11378.62802070193</v>
      </c>
      <c r="N24" s="29">
        <f t="shared" si="8"/>
        <v>7391.3397895994631</v>
      </c>
      <c r="O24" s="59">
        <f>('תמהיל יצור'!$W14+'תמהיל יצור'!$V14)*$E$5*10</f>
        <v>85.11821573020481</v>
      </c>
      <c r="P24" s="28">
        <f>'תמהיל יצור'!X14*$G$5*10</f>
        <v>8631.4744162632469</v>
      </c>
      <c r="Q24" s="28">
        <f>'תמהיל יצור'!Y14*$H$5*10</f>
        <v>1848.353180881719</v>
      </c>
      <c r="R24" s="28">
        <f>'תמהיל יצור'!Z14*$I$5*10</f>
        <v>320.48860213196429</v>
      </c>
      <c r="S24" s="28">
        <f t="shared" si="9"/>
        <v>10885.434415007134</v>
      </c>
      <c r="T24" s="29">
        <f t="shared" si="10"/>
        <v>7070.9706277711903</v>
      </c>
      <c r="U24" s="59">
        <f>'תמהיל יצור'!$AC14*$E$5*10</f>
        <v>0</v>
      </c>
      <c r="V24" s="28">
        <f>'תמהיל יצור'!AD14*$G$5*10</f>
        <v>8713.5647694727249</v>
      </c>
      <c r="W24" s="28">
        <f>'תמהיל יצור'!AE14*$H$5*10</f>
        <v>1848.353180881719</v>
      </c>
      <c r="X24" s="28">
        <f>'תמהיל יצור'!AF14*$I$5*10</f>
        <v>320.48860213196429</v>
      </c>
      <c r="Y24" s="28">
        <f t="shared" si="11"/>
        <v>10882.406552486407</v>
      </c>
      <c r="Z24" s="29">
        <f t="shared" si="12"/>
        <v>7069.0037860143311</v>
      </c>
      <c r="AA24" s="59">
        <f>'תמהיל יצור'!$AI14*($J$5)*10</f>
        <v>1301.0219975842633</v>
      </c>
      <c r="AB24" s="28">
        <f>'תמהיל יצור'!$AK14*$E$5*10</f>
        <v>2073.6566177420018</v>
      </c>
      <c r="AC24" s="28">
        <f>'תמהיל יצור'!$AL14*$G$5*10</f>
        <v>8044.8301159056691</v>
      </c>
      <c r="AD24" s="28">
        <f t="shared" si="13"/>
        <v>11419.508731231934</v>
      </c>
      <c r="AE24" s="29">
        <f t="shared" si="14"/>
        <v>7417.8951196285107</v>
      </c>
    </row>
    <row r="25" spans="1:33">
      <c r="A25" s="100">
        <f t="shared" si="2"/>
        <v>2031</v>
      </c>
      <c r="B25" s="59">
        <f>'תמהיל יצור'!$H15*10*$E$5</f>
        <v>2939.3579241779826</v>
      </c>
      <c r="C25" s="28">
        <f>'תמהיל יצור'!$I15*$G$5*10</f>
        <v>8581.4971833840191</v>
      </c>
      <c r="D25" s="28">
        <f t="shared" si="3"/>
        <v>11520.855107562002</v>
      </c>
      <c r="E25" s="29">
        <f t="shared" si="4"/>
        <v>7195.8921088226498</v>
      </c>
      <c r="F25" s="59">
        <f>'תמהיל יצור'!$L15*$E$5*10</f>
        <v>2073.6566177420018</v>
      </c>
      <c r="G25" s="28">
        <f>'תמהיל יצור'!$M15*$G$5*10</f>
        <v>9416.4033830686021</v>
      </c>
      <c r="H25" s="28">
        <f t="shared" si="5"/>
        <v>11490.060000810605</v>
      </c>
      <c r="I25" s="28">
        <f t="shared" si="6"/>
        <v>7176.6575760042242</v>
      </c>
      <c r="J25" s="59">
        <f>('תמהיל יצור'!Q15+'תמהיל יצור'!P15)*$E$5*10</f>
        <v>105.32304471666757</v>
      </c>
      <c r="K25" s="28">
        <f>'תמהיל יצור'!$R15*$F$5*10</f>
        <v>1858.6360058608539</v>
      </c>
      <c r="L25" s="28">
        <f>'תמהיל יצור'!$S15*$G$5*10</f>
        <v>9714.8052548341184</v>
      </c>
      <c r="M25" s="28">
        <f t="shared" si="7"/>
        <v>11678.76430541164</v>
      </c>
      <c r="N25" s="29">
        <f t="shared" si="8"/>
        <v>7294.5217279010885</v>
      </c>
      <c r="O25" s="59">
        <f>('תמהיל יצור'!$W15+'תמהיל יצור'!$V15)*$E$5*10</f>
        <v>85.11821573020481</v>
      </c>
      <c r="P25" s="28">
        <f>'תמהיל יצור'!X15*$G$5*10</f>
        <v>8931.6107009729567</v>
      </c>
      <c r="Q25" s="28">
        <f>'תמהיל יצור'!Y15*$H$5*10</f>
        <v>1848.353180881719</v>
      </c>
      <c r="R25" s="28">
        <f>'תמהיל יצור'!Z15*$I$5*10</f>
        <v>320.48860213196429</v>
      </c>
      <c r="S25" s="28">
        <f t="shared" si="9"/>
        <v>11185.570699716844</v>
      </c>
      <c r="T25" s="29">
        <f t="shared" si="10"/>
        <v>6986.474456912365</v>
      </c>
      <c r="U25" s="59">
        <f>'תמהיל יצור'!$AC15*$E$5*10</f>
        <v>0</v>
      </c>
      <c r="V25" s="28">
        <f>'תמהיל יצור'!AD15*$G$5*10</f>
        <v>9013.7010541824347</v>
      </c>
      <c r="W25" s="28">
        <f>'תמהיל יצור'!AE15*$H$5*10</f>
        <v>1848.353180881719</v>
      </c>
      <c r="X25" s="28">
        <f>'תמהיל יצור'!AF15*$I$5*10</f>
        <v>320.48860213196429</v>
      </c>
      <c r="Y25" s="28">
        <f t="shared" si="11"/>
        <v>11182.542837196117</v>
      </c>
      <c r="Z25" s="29">
        <f t="shared" si="12"/>
        <v>6984.5832629153856</v>
      </c>
      <c r="AA25" s="59">
        <f>'תמהיל יצור'!$AI15*($J$5)*10</f>
        <v>1336.1495915190389</v>
      </c>
      <c r="AB25" s="28">
        <f>'תמהיל יצור'!$AK15*$E$5*10</f>
        <v>2073.6566177420018</v>
      </c>
      <c r="AC25" s="28">
        <f>'תמהיל יצור'!$AL15*$G$5*10</f>
        <v>8316.0376020891417</v>
      </c>
      <c r="AD25" s="28">
        <f t="shared" si="13"/>
        <v>11725.843811350183</v>
      </c>
      <c r="AE25" s="29">
        <f t="shared" si="14"/>
        <v>7323.9274484059906</v>
      </c>
    </row>
    <row r="26" spans="1:33">
      <c r="A26" s="100">
        <f t="shared" si="2"/>
        <v>2032</v>
      </c>
      <c r="B26" s="59">
        <f>'תמהיל יצור'!$H16*10*$E$5</f>
        <v>2939.3579241779826</v>
      </c>
      <c r="C26" s="28">
        <f>'תמהיל יצור'!$I16*$G$5*10</f>
        <v>8889.7371477808902</v>
      </c>
      <c r="D26" s="28">
        <f t="shared" si="3"/>
        <v>11829.095071958873</v>
      </c>
      <c r="E26" s="29">
        <f t="shared" si="4"/>
        <v>7104.2479626419236</v>
      </c>
      <c r="F26" s="59">
        <f>'תמהיל יצור'!$L16*$E$5*10</f>
        <v>2073.6566177420018</v>
      </c>
      <c r="G26" s="28">
        <f>'תמהיל יצור'!$M16*$G$5*10</f>
        <v>9724.6433474654714</v>
      </c>
      <c r="H26" s="28">
        <f t="shared" si="5"/>
        <v>11798.299965207472</v>
      </c>
      <c r="I26" s="28">
        <f t="shared" si="6"/>
        <v>7085.7532195472813</v>
      </c>
      <c r="J26" s="59">
        <f>('תמהיל יצור'!Q16+'תמהיל יצור'!P16)*$E$5*10</f>
        <v>105.32304471666757</v>
      </c>
      <c r="K26" s="28">
        <f>'תמהיל יצור'!$R16*$F$5*10</f>
        <v>1858.6360058608539</v>
      </c>
      <c r="L26" s="28">
        <f>'תמהיל יצור'!$S16*$G$5*10</f>
        <v>10023.045219230988</v>
      </c>
      <c r="M26" s="28">
        <f t="shared" si="7"/>
        <v>11987.004269808509</v>
      </c>
      <c r="N26" s="29">
        <f t="shared" si="8"/>
        <v>7199.0841348327285</v>
      </c>
      <c r="O26" s="59">
        <f>('תמהיל יצור'!$W16+'תמהיל יצור'!$V16)*$E$5*10</f>
        <v>85.11821573020481</v>
      </c>
      <c r="P26" s="28">
        <f>'תמהיל יצור'!X16*$G$5*10</f>
        <v>9239.8506653698278</v>
      </c>
      <c r="Q26" s="28">
        <f>'תמהיל יצור'!Y16*$H$5*10</f>
        <v>1848.353180881719</v>
      </c>
      <c r="R26" s="28">
        <f>'תמהיל יצור'!Z16*$I$5*10</f>
        <v>320.48860213196429</v>
      </c>
      <c r="S26" s="28">
        <f t="shared" si="9"/>
        <v>11493.810664113715</v>
      </c>
      <c r="T26" s="29">
        <f t="shared" si="10"/>
        <v>6902.8848358051109</v>
      </c>
      <c r="U26" s="59">
        <f>'תמהיל יצור'!$AC16*$E$5*10</f>
        <v>0</v>
      </c>
      <c r="V26" s="28">
        <f>'תמהיל יצור'!AD16*$G$5*10</f>
        <v>9321.9410185793058</v>
      </c>
      <c r="W26" s="28">
        <f>'תמהיל יצור'!AE16*$H$5*10</f>
        <v>1848.353180881719</v>
      </c>
      <c r="X26" s="28">
        <f>'תמהיל יצור'!AF16*$I$5*10</f>
        <v>320.48860213196429</v>
      </c>
      <c r="Y26" s="28">
        <f t="shared" si="11"/>
        <v>11490.782801592988</v>
      </c>
      <c r="Z26" s="29">
        <f t="shared" si="12"/>
        <v>6901.0663800387838</v>
      </c>
      <c r="AA26" s="59">
        <f>'תמהיל יצור'!$AI16*($J$5)*10</f>
        <v>1372.2256304900525</v>
      </c>
      <c r="AB26" s="28">
        <f>'תמהיל יצור'!$AK16*$E$5*10</f>
        <v>2073.6566177420018</v>
      </c>
      <c r="AC26" s="28">
        <f>'תמהיל יצור'!$AL16*$G$5*10</f>
        <v>8594.5676903995645</v>
      </c>
      <c r="AD26" s="28">
        <f t="shared" si="13"/>
        <v>12040.449938631618</v>
      </c>
      <c r="AE26" s="29">
        <f t="shared" si="14"/>
        <v>7231.1822185440242</v>
      </c>
    </row>
    <row r="27" spans="1:33">
      <c r="A27" s="100">
        <f t="shared" si="2"/>
        <v>2033</v>
      </c>
      <c r="B27" s="59">
        <f>'תמהיל יצור'!$H17*10*$E$5</f>
        <v>2939.3579241779826</v>
      </c>
      <c r="C27" s="28">
        <f>'תמהיל יצור'!$I17*$G$5*10</f>
        <v>9206.2995912164752</v>
      </c>
      <c r="D27" s="28">
        <f t="shared" si="3"/>
        <v>12145.657515394458</v>
      </c>
      <c r="E27" s="29">
        <f t="shared" si="4"/>
        <v>7013.8145796277022</v>
      </c>
      <c r="F27" s="59">
        <f>'תמהיל יצור'!$L17*$E$5*10</f>
        <v>2073.6566177420018</v>
      </c>
      <c r="G27" s="28">
        <f>'תמהיל יצור'!$M17*$G$5*10</f>
        <v>10041.205790901056</v>
      </c>
      <c r="H27" s="28">
        <f t="shared" si="5"/>
        <v>12114.862408643057</v>
      </c>
      <c r="I27" s="28">
        <f t="shared" si="6"/>
        <v>6996.0311728059314</v>
      </c>
      <c r="J27" s="59">
        <f>('תמהיל יצור'!Q17+'תמהיל יצור'!P17)*$E$5*10</f>
        <v>105.32304471666757</v>
      </c>
      <c r="K27" s="28">
        <f>'תמהיל יצור'!$R17*$F$5*10</f>
        <v>1858.6360058608539</v>
      </c>
      <c r="L27" s="28">
        <f>'תמהיל יצור'!$S17*$G$5*10</f>
        <v>10339.607662666574</v>
      </c>
      <c r="M27" s="28">
        <f t="shared" si="7"/>
        <v>12303.566713244096</v>
      </c>
      <c r="N27" s="29">
        <f t="shared" si="8"/>
        <v>7105.0032067342472</v>
      </c>
      <c r="O27" s="59">
        <f>('תמהיל יצור'!$W17+'תמהיל יצור'!$V17)*$E$5*10</f>
        <v>85.11821573020481</v>
      </c>
      <c r="P27" s="28">
        <f>'תמהיל יצור'!X17*$G$5*10</f>
        <v>9556.413108805411</v>
      </c>
      <c r="Q27" s="28">
        <f>'תמהיל יצור'!Y17*$H$5*10</f>
        <v>1848.353180881719</v>
      </c>
      <c r="R27" s="28">
        <f>'תמהיל יצור'!Z17*$I$5*10</f>
        <v>320.48860213196429</v>
      </c>
      <c r="S27" s="28">
        <f t="shared" si="9"/>
        <v>11810.373107549298</v>
      </c>
      <c r="T27" s="29">
        <f t="shared" si="10"/>
        <v>6820.1961884384582</v>
      </c>
      <c r="U27" s="59">
        <f>'תמהיל יצור'!$AC17*$E$5*10</f>
        <v>0</v>
      </c>
      <c r="V27" s="28">
        <f>'תמהיל יצור'!AD17*$G$5*10</f>
        <v>9638.5034620148908</v>
      </c>
      <c r="W27" s="28">
        <f>'תמהיל יצור'!AE17*$H$5*10</f>
        <v>1848.353180881719</v>
      </c>
      <c r="X27" s="28">
        <f>'תמהיל יצור'!AF17*$I$5*10</f>
        <v>320.48860213196429</v>
      </c>
      <c r="Y27" s="28">
        <f t="shared" si="11"/>
        <v>11807.345245028573</v>
      </c>
      <c r="Z27" s="29">
        <f t="shared" si="12"/>
        <v>6818.4476732785297</v>
      </c>
      <c r="AA27" s="59">
        <f>'תמהיל יצור'!$AI17*($J$5)*10</f>
        <v>1409.2757225132841</v>
      </c>
      <c r="AB27" s="28">
        <f>'תמהיל יצור'!$AK17*$E$5*10</f>
        <v>2073.6566177420018</v>
      </c>
      <c r="AC27" s="28">
        <f>'תמהיל יצור'!$AL17*$G$5*10</f>
        <v>8880.6180910943713</v>
      </c>
      <c r="AD27" s="28">
        <f t="shared" si="13"/>
        <v>12363.550431349657</v>
      </c>
      <c r="AE27" s="29">
        <f t="shared" si="14"/>
        <v>7139.6423093152152</v>
      </c>
    </row>
    <row r="28" spans="1:33">
      <c r="A28" s="100">
        <f t="shared" si="2"/>
        <v>2034</v>
      </c>
      <c r="B28" s="59">
        <f>'תמהיל יצור'!$H18*10*$E$5</f>
        <v>2939.3579241779826</v>
      </c>
      <c r="C28" s="28">
        <f>'תמהיל יצור'!$I18*$G$5*10</f>
        <v>9531.4092206248206</v>
      </c>
      <c r="D28" s="28">
        <f t="shared" si="3"/>
        <v>12470.767144802803</v>
      </c>
      <c r="E28" s="29">
        <f t="shared" si="4"/>
        <v>6924.5743171119748</v>
      </c>
      <c r="F28" s="59">
        <f>'תמהיל יצור'!$L18*$E$5*10</f>
        <v>2073.6566177420018</v>
      </c>
      <c r="G28" s="28">
        <f>'תמהיל יצור'!$M18*$G$5*10</f>
        <v>10366.315420309404</v>
      </c>
      <c r="H28" s="28">
        <f t="shared" si="5"/>
        <v>12439.972038051405</v>
      </c>
      <c r="I28" s="28">
        <f t="shared" si="6"/>
        <v>6907.4748874756569</v>
      </c>
      <c r="J28" s="59">
        <f>('תמהיל יצור'!Q18+'תמהיל יצור'!P18)*$E$5*10</f>
        <v>105.32304471666757</v>
      </c>
      <c r="K28" s="28">
        <f>'תמהיל יצור'!$R18*$F$5*10</f>
        <v>1858.6360058608539</v>
      </c>
      <c r="L28" s="28">
        <f>'תמהיל יצור'!$S18*$G$5*10</f>
        <v>10664.71729207492</v>
      </c>
      <c r="M28" s="28">
        <f t="shared" si="7"/>
        <v>12628.676342652441</v>
      </c>
      <c r="N28" s="29">
        <f t="shared" si="8"/>
        <v>7012.255689329806</v>
      </c>
      <c r="O28" s="59">
        <f>('תמהיל יצור'!$W18+'תמהיל יצור'!$V18)*$E$5*10</f>
        <v>85.11821573020481</v>
      </c>
      <c r="P28" s="28">
        <f>'תמהיל יצור'!X18*$G$5*10</f>
        <v>9881.5227382137582</v>
      </c>
      <c r="Q28" s="28">
        <f>'תמהיל יצור'!Y18*$H$5*10</f>
        <v>1848.353180881719</v>
      </c>
      <c r="R28" s="28">
        <f>'תמהיל יצור'!Z18*$I$5*10</f>
        <v>320.48860213196429</v>
      </c>
      <c r="S28" s="28">
        <f t="shared" si="9"/>
        <v>12135.482736957645</v>
      </c>
      <c r="T28" s="29">
        <f t="shared" si="10"/>
        <v>6738.4027871223179</v>
      </c>
      <c r="U28" s="59">
        <f>'תמהיל יצור'!$AC18*$E$5*10</f>
        <v>0</v>
      </c>
      <c r="V28" s="28">
        <f>'תמהיל יצור'!AD18*$G$5*10</f>
        <v>9963.6130914232363</v>
      </c>
      <c r="W28" s="28">
        <f>'תמהיל יצור'!AE18*$H$5*10</f>
        <v>1848.353180881719</v>
      </c>
      <c r="X28" s="28">
        <f>'תמהיל יצור'!AF18*$I$5*10</f>
        <v>320.48860213196429</v>
      </c>
      <c r="Y28" s="28">
        <f t="shared" si="11"/>
        <v>12132.454874436919</v>
      </c>
      <c r="Z28" s="29">
        <f t="shared" si="12"/>
        <v>6736.7215225454629</v>
      </c>
      <c r="AA28" s="59">
        <f>'תמהיל יצור'!$AI18*($J$5)*10</f>
        <v>1447.3261670211423</v>
      </c>
      <c r="AB28" s="28">
        <f>'תמהיל יצור'!$AK18*$E$5*10</f>
        <v>2073.6566177420018</v>
      </c>
      <c r="AC28" s="28">
        <f>'תמהיל יצור'!$AL18*$G$5*10</f>
        <v>9174.3918526079378</v>
      </c>
      <c r="AD28" s="28">
        <f t="shared" si="13"/>
        <v>12695.374637371082</v>
      </c>
      <c r="AE28" s="29">
        <f t="shared" si="14"/>
        <v>7049.2908847785757</v>
      </c>
    </row>
    <row r="29" spans="1:33">
      <c r="A29" s="100">
        <f t="shared" si="2"/>
        <v>2035</v>
      </c>
      <c r="B29" s="59">
        <f>'תמהיל יצור'!$H19*10*$E$5</f>
        <v>2939.3579241779826</v>
      </c>
      <c r="C29" s="28">
        <f>'תמהיל יצור'!$I19*$G$5*10</f>
        <v>9865.2968100271919</v>
      </c>
      <c r="D29" s="28">
        <f t="shared" si="3"/>
        <v>12804.654734205174</v>
      </c>
      <c r="E29" s="29">
        <f t="shared" si="4"/>
        <v>6836.509849426553</v>
      </c>
      <c r="F29" s="59">
        <f>'תמהיל יצור'!$L19*$E$5*10</f>
        <v>2073.6566177420018</v>
      </c>
      <c r="G29" s="28">
        <f>'תמהיל יצור'!$M19*$G$5*10</f>
        <v>10700.203009711775</v>
      </c>
      <c r="H29" s="28">
        <f t="shared" si="5"/>
        <v>12773.859627453778</v>
      </c>
      <c r="I29" s="28">
        <f t="shared" si="6"/>
        <v>6820.0680901608639</v>
      </c>
      <c r="J29" s="59">
        <f>('תמהיל יצור'!Q19+'תמהיל יצור'!P19)*$E$5*10</f>
        <v>105.32304471666757</v>
      </c>
      <c r="K29" s="28">
        <f>'תמהיל יצור'!$R19*$F$5*10</f>
        <v>1858.6360058608539</v>
      </c>
      <c r="L29" s="28">
        <f>'תמהיל יצור'!$S19*$G$5*10</f>
        <v>10998.604881477291</v>
      </c>
      <c r="M29" s="28">
        <f t="shared" si="7"/>
        <v>12962.563932054813</v>
      </c>
      <c r="N29" s="29">
        <f t="shared" si="8"/>
        <v>6920.8188611744672</v>
      </c>
      <c r="O29" s="59">
        <f>('תמהיל יצור'!$W19+'תמהיל יצור'!$V19)*$E$5*10</f>
        <v>85.11821573020481</v>
      </c>
      <c r="P29" s="28">
        <f>'תמהיל יצור'!X19*$G$5*10</f>
        <v>10215.41032761613</v>
      </c>
      <c r="Q29" s="28">
        <f>'תמהיל יצור'!Y19*$H$5*10</f>
        <v>1848.353180881719</v>
      </c>
      <c r="R29" s="28">
        <f>'תמהיל יצור'!Z19*$I$5*10</f>
        <v>320.48860213196429</v>
      </c>
      <c r="S29" s="28">
        <f t="shared" si="9"/>
        <v>12469.370326360016</v>
      </c>
      <c r="T29" s="29">
        <f t="shared" si="10"/>
        <v>6657.4987628980371</v>
      </c>
      <c r="U29" s="59">
        <f>'תמהיל יצור'!$AC19*$E$5*10</f>
        <v>0</v>
      </c>
      <c r="V29" s="28">
        <f>'תמהיל יצור'!AD19*$G$5*10</f>
        <v>10297.500680825608</v>
      </c>
      <c r="W29" s="28">
        <f>'תמהיל יצור'!AE19*$H$5*10</f>
        <v>1848.353180881719</v>
      </c>
      <c r="X29" s="28">
        <f>'תמהיל יצור'!AF19*$I$5*10</f>
        <v>320.48860213196429</v>
      </c>
      <c r="Y29" s="28">
        <f t="shared" si="11"/>
        <v>12466.34246383929</v>
      </c>
      <c r="Z29" s="29">
        <f t="shared" si="12"/>
        <v>6655.8821623433687</v>
      </c>
      <c r="AA29" s="59">
        <f>'תמהיל יצור'!$AI19*($J$5)*10</f>
        <v>1486.4039735307128</v>
      </c>
      <c r="AB29" s="28">
        <f>'תמהיל יצור'!$AK19*$E$5*10</f>
        <v>2073.6566177420018</v>
      </c>
      <c r="AC29" s="28">
        <f>'תמהיל יצור'!$AL19*$G$5*10</f>
        <v>9476.09750568237</v>
      </c>
      <c r="AD29" s="28">
        <f t="shared" si="13"/>
        <v>13036.158096955085</v>
      </c>
      <c r="AE29" s="29">
        <f t="shared" si="14"/>
        <v>6960.1113874974953</v>
      </c>
    </row>
    <row r="30" spans="1:33">
      <c r="A30" s="100">
        <f t="shared" si="2"/>
        <v>2036</v>
      </c>
      <c r="B30" s="59">
        <f>'תמהיל יצור'!$H20*10*$E$5</f>
        <v>2939.3579241779826</v>
      </c>
      <c r="C30" s="28">
        <f>'תמהיל יצור'!$I20*$G$5*10</f>
        <v>10208.199364343429</v>
      </c>
      <c r="D30" s="28">
        <f t="shared" si="3"/>
        <v>13147.557288521411</v>
      </c>
      <c r="E30" s="29">
        <f t="shared" si="4"/>
        <v>6749.6041602303367</v>
      </c>
      <c r="F30" s="59">
        <f>'תמהיל יצור'!$L20*$E$5*10</f>
        <v>2073.6566177420018</v>
      </c>
      <c r="G30" s="28">
        <f>'תמהיל יצור'!$M20*$G$5*10</f>
        <v>11043.10556402801</v>
      </c>
      <c r="H30" s="28">
        <f t="shared" si="5"/>
        <v>13116.762181770013</v>
      </c>
      <c r="I30" s="28">
        <f t="shared" si="6"/>
        <v>6733.7947763210186</v>
      </c>
      <c r="J30" s="59">
        <f>('תמהיל יצור'!Q20+'תמהיל יצור'!P20)*$E$5*10</f>
        <v>105.32304471666757</v>
      </c>
      <c r="K30" s="28">
        <f>'תמהיל יצור'!$R20*$F$5*10</f>
        <v>1858.6360058608539</v>
      </c>
      <c r="L30" s="28">
        <f>'תמהיל יצור'!$S20*$G$5*10</f>
        <v>11341.507435793528</v>
      </c>
      <c r="M30" s="28">
        <f t="shared" si="7"/>
        <v>13305.46648637105</v>
      </c>
      <c r="N30" s="29">
        <f t="shared" si="8"/>
        <v>6830.6705176802543</v>
      </c>
      <c r="O30" s="59">
        <f>('תמהיל יצור'!$W20+'תמהיל יצור'!$V20)*$E$5*10</f>
        <v>85.11821573020481</v>
      </c>
      <c r="P30" s="28">
        <f>'תמהיל יצור'!X20*$G$5*10</f>
        <v>10558.312881932365</v>
      </c>
      <c r="Q30" s="28">
        <f>'תמהיל יצור'!Y20*$H$5*10</f>
        <v>1848.353180881719</v>
      </c>
      <c r="R30" s="28">
        <f>'תמהיל יצור'!Z20*$I$5*10</f>
        <v>320.48860213196429</v>
      </c>
      <c r="S30" s="28">
        <f t="shared" si="9"/>
        <v>12812.272880676252</v>
      </c>
      <c r="T30" s="29">
        <f t="shared" si="10"/>
        <v>6577.478115491378</v>
      </c>
      <c r="U30" s="59">
        <f>'תמהיל יצור'!$AC20*$E$5*10</f>
        <v>0</v>
      </c>
      <c r="V30" s="28">
        <f>'תמהיל יצור'!AD20*$G$5*10</f>
        <v>10640.403235141846</v>
      </c>
      <c r="W30" s="28">
        <f>'תמהיל יצור'!AE20*$H$5*10</f>
        <v>1848.353180881719</v>
      </c>
      <c r="X30" s="28">
        <f>'תמהיל יצור'!AF20*$I$5*10</f>
        <v>320.48860213196429</v>
      </c>
      <c r="Y30" s="28">
        <f t="shared" si="11"/>
        <v>12809.245018155529</v>
      </c>
      <c r="Z30" s="29">
        <f t="shared" si="12"/>
        <v>6575.9236918811212</v>
      </c>
      <c r="AA30" s="59">
        <f>'תמהיל יצור'!$AI20*($J$5)*10</f>
        <v>1526.5368808160424</v>
      </c>
      <c r="AB30" s="28">
        <f>'תמהיל יצור'!$AK20*$E$5*10</f>
        <v>2073.6566177420018</v>
      </c>
      <c r="AC30" s="28">
        <f>'תמהיל יצור'!$AL20*$G$5*10</f>
        <v>9785.9492113898123</v>
      </c>
      <c r="AD30" s="28">
        <f t="shared" si="13"/>
        <v>13386.142709947857</v>
      </c>
      <c r="AE30" s="29">
        <f t="shared" si="14"/>
        <v>6872.0875324409435</v>
      </c>
    </row>
    <row r="31" spans="1:33">
      <c r="A31" s="100">
        <f t="shared" si="2"/>
        <v>2037</v>
      </c>
      <c r="B31" s="59">
        <f>'תמהיל יצור'!$H21*10*$E$5</f>
        <v>2939.3579241779826</v>
      </c>
      <c r="C31" s="28">
        <f>'תמהיל יצור'!$I21*$G$5*10</f>
        <v>10560.360287626205</v>
      </c>
      <c r="D31" s="28">
        <f t="shared" si="3"/>
        <v>13499.718211804187</v>
      </c>
      <c r="E31" s="29">
        <f t="shared" si="4"/>
        <v>6663.8405350751636</v>
      </c>
      <c r="F31" s="59">
        <f>'תמהיל יצור'!$L21*$E$5*10</f>
        <v>2073.6566177420018</v>
      </c>
      <c r="G31" s="28">
        <f>'תמהיל יצור'!$M21*$G$5*10</f>
        <v>11395.266487310786</v>
      </c>
      <c r="H31" s="28">
        <f t="shared" si="5"/>
        <v>13468.923105052789</v>
      </c>
      <c r="I31" s="28">
        <f t="shared" si="6"/>
        <v>6648.6392043931282</v>
      </c>
      <c r="J31" s="59">
        <f>('תמהיל יצור'!Q21+'תמהיל יצור'!P21)*$E$5*10</f>
        <v>105.32304471666757</v>
      </c>
      <c r="K31" s="28">
        <f>'תמהיל יצור'!$R21*$F$5*10</f>
        <v>1858.6360058608539</v>
      </c>
      <c r="L31" s="28">
        <f>'תמהיל יצור'!$S21*$G$5*10</f>
        <v>11693.668359076302</v>
      </c>
      <c r="M31" s="28">
        <f t="shared" si="7"/>
        <v>13657.627409653824</v>
      </c>
      <c r="N31" s="29">
        <f t="shared" si="8"/>
        <v>6741.7889557000844</v>
      </c>
      <c r="O31" s="59">
        <f>('תמהיל יצור'!$W21+'תמהיל יצור'!$V21)*$E$5*10</f>
        <v>85.11821573020481</v>
      </c>
      <c r="P31" s="28">
        <f>'תמהיל יצור'!X21*$G$5*10</f>
        <v>10910.473805215141</v>
      </c>
      <c r="Q31" s="28">
        <f>'תמהיל יצור'!Y21*$H$5*10</f>
        <v>1848.353180881719</v>
      </c>
      <c r="R31" s="28">
        <f>'תמהיל יצור'!Z21*$I$5*10</f>
        <v>320.48860213196429</v>
      </c>
      <c r="S31" s="28">
        <f t="shared" si="9"/>
        <v>13164.433803959028</v>
      </c>
      <c r="T31" s="29">
        <f t="shared" si="10"/>
        <v>6498.3347228261655</v>
      </c>
      <c r="U31" s="59">
        <f>'תמהיל יצור'!$AC21*$E$5*10</f>
        <v>0</v>
      </c>
      <c r="V31" s="28">
        <f>'תמהיל יצור'!AD21*$G$5*10</f>
        <v>10992.56415842462</v>
      </c>
      <c r="W31" s="28">
        <f>'תמהיל יצור'!AE21*$H$5*10</f>
        <v>1848.353180881719</v>
      </c>
      <c r="X31" s="28">
        <f>'תמהיל יצור'!AF21*$I$5*10</f>
        <v>320.48860213196429</v>
      </c>
      <c r="Y31" s="28">
        <f t="shared" si="11"/>
        <v>13161.405941438303</v>
      </c>
      <c r="Z31" s="29">
        <f t="shared" si="12"/>
        <v>6496.8400847393796</v>
      </c>
      <c r="AA31" s="59">
        <f>'תמהיל יצור'!$AI21*($J$5)*10</f>
        <v>1567.753376598075</v>
      </c>
      <c r="AB31" s="28">
        <f>'תמהיל יצור'!$AK21*$E$5*10</f>
        <v>2073.6566177420018</v>
      </c>
      <c r="AC31" s="28">
        <f>'תמהיל יצור'!$AL21*$G$5*10</f>
        <v>10104.166913151355</v>
      </c>
      <c r="AD31" s="28">
        <f t="shared" si="13"/>
        <v>13745.576907491433</v>
      </c>
      <c r="AE31" s="29">
        <f t="shared" si="14"/>
        <v>6785.2033010615523</v>
      </c>
    </row>
    <row r="32" spans="1:33">
      <c r="A32" s="100">
        <f t="shared" si="2"/>
        <v>2038</v>
      </c>
      <c r="B32" s="59">
        <f>'תמהיל יצור'!$H22*10*$E$5</f>
        <v>2939.3579241779826</v>
      </c>
      <c r="C32" s="28">
        <f>'תמהיל יצור'!$I22*$G$5*10</f>
        <v>10922.029555837615</v>
      </c>
      <c r="D32" s="28">
        <f t="shared" si="3"/>
        <v>13861.387480015597</v>
      </c>
      <c r="E32" s="29">
        <f t="shared" si="4"/>
        <v>6579.2025542018273</v>
      </c>
      <c r="F32" s="59">
        <f>'תמהיל יצור'!$L22*$E$5*10</f>
        <v>2073.6566177420018</v>
      </c>
      <c r="G32" s="28">
        <f>'תמהיל יצור'!$M22*$G$5*10</f>
        <v>11756.935755522198</v>
      </c>
      <c r="H32" s="28">
        <f t="shared" si="5"/>
        <v>13830.5923732642</v>
      </c>
      <c r="I32" s="28">
        <f t="shared" si="6"/>
        <v>6564.585890084486</v>
      </c>
      <c r="J32" s="59">
        <f>('תמהיל יצור'!Q22+'תמהיל יצור'!P22)*$E$5*10</f>
        <v>105.32304471666757</v>
      </c>
      <c r="K32" s="28">
        <f>'תמהיל יצור'!$R22*$F$5*10</f>
        <v>1858.6360058608539</v>
      </c>
      <c r="L32" s="28">
        <f>'תמהיל יצור'!$S22*$G$5*10</f>
        <v>12055.337627287714</v>
      </c>
      <c r="M32" s="28">
        <f t="shared" si="7"/>
        <v>14019.296677865235</v>
      </c>
      <c r="N32" s="29">
        <f t="shared" si="8"/>
        <v>6654.1529586488668</v>
      </c>
      <c r="O32" s="59">
        <f>('תמהיל יצור'!$W22+'תמהיל יצור'!$V22)*$E$5*10</f>
        <v>85.11821573020481</v>
      </c>
      <c r="P32" s="28">
        <f>'תמהיל יצור'!X22*$G$5*10</f>
        <v>11272.14307342655</v>
      </c>
      <c r="Q32" s="28">
        <f>'תמהיל יצור'!Y22*$H$5*10</f>
        <v>1848.353180881719</v>
      </c>
      <c r="R32" s="28">
        <f>'תמהיל יצור'!Z22*$I$5*10</f>
        <v>320.48860213196429</v>
      </c>
      <c r="S32" s="28">
        <f t="shared" si="9"/>
        <v>13526.103072170437</v>
      </c>
      <c r="T32" s="29">
        <f t="shared" si="10"/>
        <v>6420.0623501162518</v>
      </c>
      <c r="U32" s="59">
        <f>'תמהיל יצור'!$AC22*$E$5*10</f>
        <v>0</v>
      </c>
      <c r="V32" s="28">
        <f>'תמהיל יצור'!AD22*$G$5*10</f>
        <v>11354.23342663603</v>
      </c>
      <c r="W32" s="28">
        <f>'תמהיל יצור'!AE22*$H$5*10</f>
        <v>1848.353180881719</v>
      </c>
      <c r="X32" s="28">
        <f>'תמהיל יצור'!AF22*$I$5*10</f>
        <v>320.48860213196429</v>
      </c>
      <c r="Y32" s="28">
        <f t="shared" si="11"/>
        <v>13523.075209649713</v>
      </c>
      <c r="Z32" s="29">
        <f t="shared" si="12"/>
        <v>6418.6251981097266</v>
      </c>
      <c r="AA32" s="59">
        <f>'תמהיל יצור'!$AI22*($J$5)*10</f>
        <v>1610.0827177662234</v>
      </c>
      <c r="AB32" s="28">
        <f>'תמהיל יצור'!$AK22*$E$5*10</f>
        <v>2073.6566177420018</v>
      </c>
      <c r="AC32" s="28">
        <f>'תמהיל יצור'!$AL22*$G$5*10</f>
        <v>10430.976492860462</v>
      </c>
      <c r="AD32" s="28">
        <f t="shared" si="13"/>
        <v>14114.715828368686</v>
      </c>
      <c r="AE32" s="29">
        <f t="shared" si="14"/>
        <v>6699.4429355445536</v>
      </c>
    </row>
    <row r="33" spans="1:33">
      <c r="A33" s="100">
        <f t="shared" si="2"/>
        <v>2039</v>
      </c>
      <c r="B33" s="59">
        <f>'תמהיל יצור'!$H23*10*$E$5</f>
        <v>2939.3579241779826</v>
      </c>
      <c r="C33" s="28">
        <f>'תמהיל יצור'!$I23*$G$5*10</f>
        <v>11293.463894290733</v>
      </c>
      <c r="D33" s="28">
        <f t="shared" si="3"/>
        <v>14232.821818468716</v>
      </c>
      <c r="E33" s="29">
        <f t="shared" si="4"/>
        <v>6495.6740855580574</v>
      </c>
      <c r="F33" s="59">
        <f>'תמהיל יצור'!$L23*$E$5*10</f>
        <v>2073.6566177420018</v>
      </c>
      <c r="G33" s="28">
        <f>'תמהיל יצור'!$M23*$G$5*10</f>
        <v>12128.370093975314</v>
      </c>
      <c r="H33" s="28">
        <f t="shared" si="5"/>
        <v>14202.026711717317</v>
      </c>
      <c r="I33" s="28">
        <f t="shared" si="6"/>
        <v>6481.6196008298439</v>
      </c>
      <c r="J33" s="59">
        <f>('תמהיל יצור'!Q23+'תמהיל יצור'!P23)*$E$5*10</f>
        <v>105.32304471666757</v>
      </c>
      <c r="K33" s="28">
        <f>'תמהיל יצור'!$R23*$F$5*10</f>
        <v>1858.6360058608539</v>
      </c>
      <c r="L33" s="28">
        <f>'תמהיל יצור'!$S23*$G$5*10</f>
        <v>12426.771965740831</v>
      </c>
      <c r="M33" s="28">
        <f t="shared" si="7"/>
        <v>14390.731016318352</v>
      </c>
      <c r="N33" s="29">
        <f t="shared" si="8"/>
        <v>6567.7417821417484</v>
      </c>
      <c r="O33" s="59">
        <f>('תמהיל יצור'!$W23+'תמהיל יצור'!$V23)*$E$5*10</f>
        <v>85.11821573020481</v>
      </c>
      <c r="P33" s="28">
        <f>'תמהיל יצור'!X23*$G$5*10</f>
        <v>11643.577411879669</v>
      </c>
      <c r="Q33" s="28">
        <f>'תמהיל יצור'!Y23*$H$5*10</f>
        <v>1848.353180881719</v>
      </c>
      <c r="R33" s="28">
        <f>'תמהיל יצור'!Z23*$I$5*10</f>
        <v>320.48860213196429</v>
      </c>
      <c r="S33" s="28">
        <f t="shared" si="9"/>
        <v>13897.537410623556</v>
      </c>
      <c r="T33" s="29">
        <f t="shared" si="10"/>
        <v>6342.6546585526967</v>
      </c>
      <c r="U33" s="59">
        <f>'תמהיל יצור'!$AC23*$E$5*10</f>
        <v>0</v>
      </c>
      <c r="V33" s="28">
        <f>'תמהיל יצור'!AD23*$G$5*10</f>
        <v>11725.667765089147</v>
      </c>
      <c r="W33" s="28">
        <f>'תמהיל יצור'!AE23*$H$5*10</f>
        <v>1848.353180881719</v>
      </c>
      <c r="X33" s="28">
        <f>'תמהיל יצור'!AF23*$I$5*10</f>
        <v>320.48860213196429</v>
      </c>
      <c r="Y33" s="28">
        <f t="shared" si="11"/>
        <v>13894.509548102829</v>
      </c>
      <c r="Z33" s="29">
        <f t="shared" si="12"/>
        <v>6341.2727816233446</v>
      </c>
      <c r="AA33" s="59">
        <f>'תמהיל יצור'!$AI23*($J$5)*10</f>
        <v>1653.5549511459114</v>
      </c>
      <c r="AB33" s="28">
        <f>'תמהיל יצור'!$AK23*$E$5*10</f>
        <v>2073.6566177420018</v>
      </c>
      <c r="AC33" s="28">
        <f>'תמהיל יצור'!$AL23*$G$5*10</f>
        <v>10766.609931221712</v>
      </c>
      <c r="AD33" s="28">
        <f t="shared" si="13"/>
        <v>14493.821500109627</v>
      </c>
      <c r="AE33" s="29">
        <f t="shared" si="14"/>
        <v>6614.7909332216623</v>
      </c>
    </row>
    <row r="34" spans="1:33">
      <c r="A34" s="100">
        <f t="shared" si="2"/>
        <v>2040</v>
      </c>
      <c r="B34" s="59">
        <f>'תמהיל יצור'!$H24*10*$E$5</f>
        <v>1945.1633321766062</v>
      </c>
      <c r="C34" s="28">
        <f>'תמהיל יצור'!$I24*$G$5*10</f>
        <v>12633.755625593722</v>
      </c>
      <c r="D34" s="28">
        <f t="shared" ref="D34:D39" si="15">+C34+B34</f>
        <v>14578.918957770327</v>
      </c>
      <c r="E34" s="29">
        <f t="shared" si="4"/>
        <v>6397.7195212047327</v>
      </c>
      <c r="F34" s="59">
        <f>'תמהיל יצור'!$L24*$E$5*10</f>
        <v>1372.2727617410305</v>
      </c>
      <c r="G34" s="28">
        <f>'תמהיל יצור'!$M24*$G$5*10</f>
        <v>13186.267081267342</v>
      </c>
      <c r="H34" s="28">
        <f t="shared" ref="H34:H39" si="16">+G34+F34</f>
        <v>14558.539843008373</v>
      </c>
      <c r="I34" s="28">
        <f t="shared" si="6"/>
        <v>6388.7764808657957</v>
      </c>
      <c r="J34" s="59">
        <f>('תמהיל יצור'!Q24+'תמהיל יצור'!P24)*$E$5*10</f>
        <v>69.699073709559428</v>
      </c>
      <c r="K34" s="28">
        <f>'תמהיל יצור'!$R24*$F$5*10</f>
        <v>813.9571608711567</v>
      </c>
      <c r="L34" s="28">
        <f>'תמהיל יצור'!$S24*$G$5*10</f>
        <v>13741.850984365467</v>
      </c>
      <c r="M34" s="28">
        <f t="shared" ref="M34:M39" si="17">+L34+K34+J34</f>
        <v>14625.507218946184</v>
      </c>
      <c r="N34" s="29">
        <f t="shared" si="8"/>
        <v>6418.1640156728836</v>
      </c>
      <c r="O34" s="59">
        <f>('תמהיל יצור'!$W24+'תמהיל יצור'!$V24)*$E$5*10</f>
        <v>85.11821573020481</v>
      </c>
      <c r="P34" s="28">
        <f>'תמהיל יצור'!X24*$G$5*10</f>
        <v>12025.04047747102</v>
      </c>
      <c r="Q34" s="28">
        <f>'תמהיל יצור'!Y24*$H$5*10</f>
        <v>1848.353180881719</v>
      </c>
      <c r="R34" s="28">
        <f>'תמהיל יצור'!Z24*$I$5*10</f>
        <v>320.48860213196429</v>
      </c>
      <c r="S34" s="28">
        <f t="shared" ref="S34:S39" si="18">+P34+O34+Q34+R34</f>
        <v>14279.000476214907</v>
      </c>
      <c r="T34" s="29">
        <f t="shared" si="10"/>
        <v>6266.1052136024182</v>
      </c>
      <c r="U34" s="59">
        <f>'תמהיל יצור'!$AC24*$E$5*10</f>
        <v>0</v>
      </c>
      <c r="V34" s="28">
        <f>'תמהיל יצור'!AD24*$G$5*10</f>
        <v>12107.130830680499</v>
      </c>
      <c r="W34" s="28">
        <f>'תמהיל יצור'!AE24*$H$5*10</f>
        <v>1848.353180881719</v>
      </c>
      <c r="X34" s="28">
        <f>'תמהיל יצור'!AF24*$I$5*10</f>
        <v>320.48860213196429</v>
      </c>
      <c r="Y34" s="28">
        <f t="shared" ref="Y34:Y39" si="19">+V34+U34+W34+X34</f>
        <v>14275.972613694181</v>
      </c>
      <c r="Z34" s="29">
        <f t="shared" si="12"/>
        <v>6264.7764857857337</v>
      </c>
      <c r="AA34" s="59">
        <f>'תמהיל יצור'!$AI24*($J$5)*10</f>
        <v>1698.2009348268505</v>
      </c>
      <c r="AB34" s="28">
        <f>'תמהיל יצור'!$AK24*$E$5*10</f>
        <v>1372.2727617410305</v>
      </c>
      <c r="AC34" s="28">
        <f>'תמהיל יצור'!$AL24*$G$5*10</f>
        <v>11787.739394119395</v>
      </c>
      <c r="AD34" s="28">
        <f t="shared" ref="AD34:AD39" si="20">+AC34+AB34+AA34</f>
        <v>14858.213090687277</v>
      </c>
      <c r="AE34" s="29">
        <f t="shared" si="14"/>
        <v>6520.2831716027176</v>
      </c>
    </row>
    <row r="35" spans="1:33">
      <c r="A35" s="100">
        <f t="shared" si="2"/>
        <v>2041</v>
      </c>
      <c r="B35" s="59">
        <f>'תמהיל יצור'!$H25*10*$E$5</f>
        <v>1945.1633321766062</v>
      </c>
      <c r="C35" s="28">
        <f>'תמהיל יצור'!$I25*$G$5*10</f>
        <v>13025.518193956039</v>
      </c>
      <c r="D35" s="28">
        <f t="shared" si="15"/>
        <v>14970.681526132645</v>
      </c>
      <c r="E35" s="29">
        <f t="shared" si="4"/>
        <v>6316.9597117823359</v>
      </c>
      <c r="F35" s="59">
        <f>'תמהיל יצור'!$L25*$E$5*10</f>
        <v>1372.2727617410305</v>
      </c>
      <c r="G35" s="28">
        <f>'תמהיל יצור'!$M25*$G$5*10</f>
        <v>13578.02964962966</v>
      </c>
      <c r="H35" s="28">
        <f t="shared" si="16"/>
        <v>14950.302411370691</v>
      </c>
      <c r="I35" s="28">
        <f t="shared" si="6"/>
        <v>6308.3606345333592</v>
      </c>
      <c r="J35" s="59">
        <f>('תמהיל יצור'!Q25+'תמהיל יצור'!P25)*$E$5*10</f>
        <v>69.699073709559428</v>
      </c>
      <c r="K35" s="28">
        <f>'תמהיל יצור'!$R25*$F$5*10</f>
        <v>813.9571608711567</v>
      </c>
      <c r="L35" s="28">
        <f>'תמהיל יצור'!$S25*$G$5*10</f>
        <v>14133.613552727784</v>
      </c>
      <c r="M35" s="28">
        <f t="shared" si="17"/>
        <v>15017.2697873085</v>
      </c>
      <c r="N35" s="29">
        <f t="shared" si="8"/>
        <v>6336.6178795401738</v>
      </c>
      <c r="O35" s="59">
        <f>('תמהיל יצור'!$W25+'תמהיל יצור'!$V25)*$E$5*10</f>
        <v>56.328230997929651</v>
      </c>
      <c r="P35" s="28">
        <f>'תמהיל יצור'!X25*$G$5*10</f>
        <v>12444.568900595365</v>
      </c>
      <c r="Q35" s="28">
        <f>'תמהיל יצור'!Y25*$H$5*10</f>
        <v>1848.353180881719</v>
      </c>
      <c r="R35" s="28">
        <f>'תמהיל יצור'!Z25*$I$5*10</f>
        <v>320.48860213196429</v>
      </c>
      <c r="S35" s="28">
        <f t="shared" si="18"/>
        <v>14669.738914606976</v>
      </c>
      <c r="T35" s="29">
        <f t="shared" si="10"/>
        <v>6189.9753557763806</v>
      </c>
      <c r="U35" s="59">
        <f>'תמהיל יצור'!$AC25*$E$5*10</f>
        <v>0</v>
      </c>
      <c r="V35" s="28">
        <f>'תמהיל יצור'!AD25*$G$5*10</f>
        <v>12498.893399042816</v>
      </c>
      <c r="W35" s="28">
        <f>'תמהיל יצור'!AE25*$H$5*10</f>
        <v>1848.353180881719</v>
      </c>
      <c r="X35" s="28">
        <f>'תמהיל יצור'!AF25*$I$5*10</f>
        <v>320.48860213196429</v>
      </c>
      <c r="Y35" s="28">
        <f t="shared" si="19"/>
        <v>14667.735182056498</v>
      </c>
      <c r="Z35" s="29">
        <f t="shared" si="12"/>
        <v>6189.1298700332991</v>
      </c>
      <c r="AA35" s="59">
        <f>'תמהיל יצור'!$AI25*($J$5)*10</f>
        <v>1744.0523600671754</v>
      </c>
      <c r="AB35" s="28">
        <f>'תמהיל יצור'!$AK25*$E$5*10</f>
        <v>1372.2727617410305</v>
      </c>
      <c r="AC35" s="28">
        <f>'תמהיל יצור'!$AL25*$G$5*10</f>
        <v>12141.741714928714</v>
      </c>
      <c r="AD35" s="28">
        <f t="shared" si="20"/>
        <v>15258.06683673692</v>
      </c>
      <c r="AE35" s="29">
        <f t="shared" si="14"/>
        <v>6438.2234916360667</v>
      </c>
    </row>
    <row r="36" spans="1:33">
      <c r="A36" s="100">
        <f t="shared" si="2"/>
        <v>2042</v>
      </c>
      <c r="B36" s="59">
        <f>'תמהיל יצור'!$H26*10*$E$5</f>
        <v>1945.1633321766062</v>
      </c>
      <c r="C36" s="28">
        <f>'תמהיל יצור'!$I26*$G$5*10</f>
        <v>13427.858351664136</v>
      </c>
      <c r="D36" s="28">
        <f t="shared" si="15"/>
        <v>15373.021683840741</v>
      </c>
      <c r="E36" s="29">
        <f t="shared" si="4"/>
        <v>6237.2397198010785</v>
      </c>
      <c r="F36" s="59">
        <f>'תמהיל יצור'!$L26*$E$5*10</f>
        <v>1372.2727617410305</v>
      </c>
      <c r="G36" s="28">
        <f>'תמהיל יצור'!$M26*$G$5*10</f>
        <v>13980.369807337758</v>
      </c>
      <c r="H36" s="28">
        <f t="shared" si="16"/>
        <v>15352.642569078789</v>
      </c>
      <c r="I36" s="28">
        <f t="shared" si="6"/>
        <v>6228.9713762924466</v>
      </c>
      <c r="J36" s="59">
        <f>('תמהיל יצור'!Q26+'תמהיל יצור'!P26)*$E$5*10</f>
        <v>69.699073709559428</v>
      </c>
      <c r="K36" s="28">
        <f>'תמהיל יצור'!$R26*$F$5*10</f>
        <v>813.9571608711567</v>
      </c>
      <c r="L36" s="28">
        <f>'תמהיל יצור'!$S26*$G$5*10</f>
        <v>14535.953710435882</v>
      </c>
      <c r="M36" s="28">
        <f t="shared" si="17"/>
        <v>15419.609945016598</v>
      </c>
      <c r="N36" s="29">
        <f t="shared" si="8"/>
        <v>6256.141804183615</v>
      </c>
      <c r="O36" s="59">
        <f>('תמהיל יצור'!$W26+'תמהיל יצור'!$V26)*$E$5*10</f>
        <v>56.328230997929651</v>
      </c>
      <c r="P36" s="28">
        <f>'תמהיל יצור'!X26*$G$5*10</f>
        <v>12846.909058303463</v>
      </c>
      <c r="Q36" s="28">
        <f>'תמהיל יצור'!Y26*$H$5*10</f>
        <v>1848.353180881719</v>
      </c>
      <c r="R36" s="28">
        <f>'תמהיל יצור'!Z26*$I$5*10</f>
        <v>320.48860213196429</v>
      </c>
      <c r="S36" s="28">
        <f t="shared" si="18"/>
        <v>15072.079072315075</v>
      </c>
      <c r="T36" s="29">
        <f t="shared" si="10"/>
        <v>6115.1393774876606</v>
      </c>
      <c r="U36" s="59">
        <f>'תמהיל יצור'!$AC26*$E$5*10</f>
        <v>0</v>
      </c>
      <c r="V36" s="28">
        <f>'תמהיל יצור'!AD26*$G$5*10</f>
        <v>12901.233556750914</v>
      </c>
      <c r="W36" s="28">
        <f>'תמהיל יצור'!AE26*$H$5*10</f>
        <v>1848.353180881719</v>
      </c>
      <c r="X36" s="28">
        <f>'תמהיל יצור'!AF26*$I$5*10</f>
        <v>320.48860213196429</v>
      </c>
      <c r="Y36" s="28">
        <f t="shared" si="19"/>
        <v>15070.075339764597</v>
      </c>
      <c r="Z36" s="29">
        <f t="shared" si="12"/>
        <v>6114.3264104270047</v>
      </c>
      <c r="AA36" s="59">
        <f>'תמהיל יצור'!$AI26*($J$5)*10</f>
        <v>1791.1417737889885</v>
      </c>
      <c r="AB36" s="28">
        <f>'תמהיל יצור'!$AK26*$E$5*10</f>
        <v>1372.2727617410305</v>
      </c>
      <c r="AC36" s="28">
        <f>'תמהיל יצור'!$AL26*$G$5*10</f>
        <v>12505.30209839989</v>
      </c>
      <c r="AD36" s="28">
        <f t="shared" si="20"/>
        <v>15668.716633929909</v>
      </c>
      <c r="AE36" s="29">
        <f t="shared" si="14"/>
        <v>6357.2109476813721</v>
      </c>
    </row>
    <row r="37" spans="1:33">
      <c r="A37" s="100">
        <f t="shared" si="2"/>
        <v>2043</v>
      </c>
      <c r="B37" s="59">
        <f>'תמהיל יצור'!$H27*10*$E$5</f>
        <v>1945.1633321766062</v>
      </c>
      <c r="C37" s="28">
        <f>'תמהיל יצור'!$I27*$G$5*10</f>
        <v>13841.061693630354</v>
      </c>
      <c r="D37" s="28">
        <f t="shared" si="15"/>
        <v>15786.22502580696</v>
      </c>
      <c r="E37" s="29">
        <f t="shared" si="4"/>
        <v>6158.5453813958929</v>
      </c>
      <c r="F37" s="59">
        <f>'תמהיל יצור'!$L27*$E$5*10</f>
        <v>1372.2727617410305</v>
      </c>
      <c r="G37" s="28">
        <f>'תמהיל יצור'!$M27*$G$5*10</f>
        <v>14393.573149303977</v>
      </c>
      <c r="H37" s="28">
        <f t="shared" si="16"/>
        <v>15765.845911045008</v>
      </c>
      <c r="I37" s="28">
        <f t="shared" si="6"/>
        <v>6150.5950510991315</v>
      </c>
      <c r="J37" s="59">
        <f>('תמהיל יצור'!Q27+'תמהיל יצור'!P27)*$E$5*10</f>
        <v>69.699073709559428</v>
      </c>
      <c r="K37" s="28">
        <f>'תמהיל יצור'!$R27*$F$5*10</f>
        <v>813.9571608711567</v>
      </c>
      <c r="L37" s="28">
        <f>'תמהיל יצור'!$S27*$G$5*10</f>
        <v>14949.157052402101</v>
      </c>
      <c r="M37" s="28">
        <f t="shared" si="17"/>
        <v>15832.813286982817</v>
      </c>
      <c r="N37" s="29">
        <f t="shared" si="8"/>
        <v>6176.7204625329468</v>
      </c>
      <c r="O37" s="59">
        <f>('תמהיל יצור'!$W27+'תמהיל יצור'!$V27)*$E$5*10</f>
        <v>56.328230997929651</v>
      </c>
      <c r="P37" s="28">
        <f>'תמהיל יצור'!X27*$G$5*10</f>
        <v>13260.112400269682</v>
      </c>
      <c r="Q37" s="28">
        <f>'תמהיל יצור'!Y27*$H$5*10</f>
        <v>1848.353180881719</v>
      </c>
      <c r="R37" s="28">
        <f>'תמהיל יצור'!Z27*$I$5*10</f>
        <v>320.48860213196429</v>
      </c>
      <c r="S37" s="28">
        <f t="shared" si="18"/>
        <v>15485.282414281293</v>
      </c>
      <c r="T37" s="29">
        <f t="shared" si="10"/>
        <v>6041.1412060945295</v>
      </c>
      <c r="U37" s="59">
        <f>'תמהיל יצור'!$AC27*$E$5*10</f>
        <v>0</v>
      </c>
      <c r="V37" s="28">
        <f>'תמהיל יצור'!AD27*$G$5*10</f>
        <v>13314.436898717133</v>
      </c>
      <c r="W37" s="28">
        <f>'תמהיל יצור'!AE27*$H$5*10</f>
        <v>1848.353180881719</v>
      </c>
      <c r="X37" s="28">
        <f>'תמהיל יצור'!AF27*$I$5*10</f>
        <v>320.48860213196429</v>
      </c>
      <c r="Y37" s="28">
        <f t="shared" si="19"/>
        <v>15483.278681730815</v>
      </c>
      <c r="Z37" s="29">
        <f t="shared" si="12"/>
        <v>6040.3595069977455</v>
      </c>
      <c r="AA37" s="59">
        <f>'תמהיל יצור'!$AI27*($J$5)*10</f>
        <v>1839.5026016812908</v>
      </c>
      <c r="AB37" s="28">
        <f>'תמהיל יצור'!$AK27*$E$5*10</f>
        <v>1372.2727617410305</v>
      </c>
      <c r="AC37" s="28">
        <f>'תמהיל יצור'!$AL27*$G$5*10</f>
        <v>12878.678612224785</v>
      </c>
      <c r="AD37" s="28">
        <f t="shared" si="20"/>
        <v>16090.453975647106</v>
      </c>
      <c r="AE37" s="29">
        <f t="shared" si="14"/>
        <v>6277.2316278456947</v>
      </c>
    </row>
    <row r="38" spans="1:33">
      <c r="A38" s="100">
        <f t="shared" si="2"/>
        <v>2044</v>
      </c>
      <c r="B38" s="59">
        <f>'תמהיל יצור'!$H28*10*$E$5</f>
        <v>1945.1633321766062</v>
      </c>
      <c r="C38" s="28">
        <f>'תמהיל יצור'!$I28*$G$5*10</f>
        <v>14265.421525829661</v>
      </c>
      <c r="D38" s="28">
        <f t="shared" si="15"/>
        <v>16210.584858006267</v>
      </c>
      <c r="E38" s="29">
        <f t="shared" si="4"/>
        <v>6080.8627546018361</v>
      </c>
      <c r="F38" s="59">
        <f>'תמהיל יצור'!$L28*$E$5*10</f>
        <v>1372.2727617410305</v>
      </c>
      <c r="G38" s="28">
        <f>'תמהיל יצור'!$M28*$G$5*10</f>
        <v>14817.932981503282</v>
      </c>
      <c r="H38" s="28">
        <f t="shared" si="16"/>
        <v>16190.205743244313</v>
      </c>
      <c r="I38" s="28">
        <f t="shared" si="6"/>
        <v>6073.218206239565</v>
      </c>
      <c r="J38" s="59">
        <f>('תמהיל יצור'!Q28+'תמהיל יצור'!P28)*$E$5*10</f>
        <v>69.699073709559428</v>
      </c>
      <c r="K38" s="28">
        <f>'תמהיל יצור'!$R28*$F$5*10</f>
        <v>813.9571608711567</v>
      </c>
      <c r="L38" s="28">
        <f>'תמהיל יצור'!$S28*$G$5*10</f>
        <v>15373.516884601409</v>
      </c>
      <c r="M38" s="28">
        <f t="shared" si="17"/>
        <v>16257.173119182125</v>
      </c>
      <c r="N38" s="29">
        <f t="shared" si="8"/>
        <v>6098.3387941566971</v>
      </c>
      <c r="O38" s="59">
        <f>('תמהיל יצור'!$W28+'תמהיל יצור'!$V28)*$E$5*10</f>
        <v>56.328230997929651</v>
      </c>
      <c r="P38" s="28">
        <f>'תמהיל יצור'!X28*$G$5*10</f>
        <v>13684.472232468988</v>
      </c>
      <c r="Q38" s="28">
        <f>'תמהיל יצור'!Y28*$H$5*10</f>
        <v>1848.353180881719</v>
      </c>
      <c r="R38" s="28">
        <f>'תמהיל יצור'!Z28*$I$5*10</f>
        <v>320.48860213196429</v>
      </c>
      <c r="S38" s="28">
        <f t="shared" si="18"/>
        <v>15909.6422464806</v>
      </c>
      <c r="T38" s="29">
        <f t="shared" si="10"/>
        <v>5967.9741245043715</v>
      </c>
      <c r="U38" s="59">
        <f>'תמהיל יצור'!$AC28*$E$5*10</f>
        <v>0</v>
      </c>
      <c r="V38" s="28">
        <f>'תמהיל יצור'!AD28*$G$5*10</f>
        <v>13738.796730916438</v>
      </c>
      <c r="W38" s="28">
        <f>'תמהיל יצור'!AE28*$H$5*10</f>
        <v>1848.353180881719</v>
      </c>
      <c r="X38" s="28">
        <f>'תמהיל יצור'!AF28*$I$5*10</f>
        <v>320.48860213196429</v>
      </c>
      <c r="Y38" s="28">
        <f t="shared" si="19"/>
        <v>15907.63851393012</v>
      </c>
      <c r="Z38" s="29">
        <f t="shared" si="12"/>
        <v>5967.2224907574628</v>
      </c>
      <c r="AA38" s="59">
        <f>'תמהיל יצור'!$AI28*($J$5)*10</f>
        <v>1889.169171926686</v>
      </c>
      <c r="AB38" s="28">
        <f>'תמהיל יצור'!$AK28*$E$5*10</f>
        <v>1372.2727617410305</v>
      </c>
      <c r="AC38" s="28">
        <f>'תמהיל יצור'!$AL28*$G$5*10</f>
        <v>13262.136291922952</v>
      </c>
      <c r="AD38" s="28">
        <f t="shared" si="20"/>
        <v>16523.578225590671</v>
      </c>
      <c r="AE38" s="29">
        <f t="shared" si="14"/>
        <v>6198.2718257767974</v>
      </c>
    </row>
    <row r="39" spans="1:33">
      <c r="A39" s="100">
        <f t="shared" si="2"/>
        <v>2045</v>
      </c>
      <c r="B39" s="59">
        <f>'תמהיל יצור'!$H29*10*$E$5</f>
        <v>950.96874017522975</v>
      </c>
      <c r="C39" s="28">
        <f>'תמהיל יצור'!$I29*$G$5*10</f>
        <v>15660.06773920999</v>
      </c>
      <c r="D39" s="28">
        <f t="shared" si="15"/>
        <v>16611.03647938522</v>
      </c>
      <c r="E39" s="29">
        <f t="shared" si="4"/>
        <v>5991.4220060297357</v>
      </c>
      <c r="F39" s="59">
        <f>'תמהיל יצור'!$L29*$E$5*10</f>
        <v>670.88890574005927</v>
      </c>
      <c r="G39" s="28">
        <f>'תמהיל יצור'!$M29*$G$5*10</f>
        <v>15930.184450872646</v>
      </c>
      <c r="H39" s="28">
        <f t="shared" si="16"/>
        <v>16601.073356612706</v>
      </c>
      <c r="I39" s="28">
        <f t="shared" si="6"/>
        <v>5987.828414919265</v>
      </c>
      <c r="J39" s="59">
        <f>('תמהיל יצור'!Q29+'תמהיל יצור'!P29)*$E$5*10</f>
        <v>34.075102702451275</v>
      </c>
      <c r="K39" s="28">
        <f>'תמהיל יצור'!$R29*$F$5*10</f>
        <v>194.5458103020444</v>
      </c>
      <c r="L39" s="28">
        <f>'תמהיל יצור'!$S29*$G$5*10</f>
        <v>16376.880262971252</v>
      </c>
      <c r="M39" s="28">
        <f t="shared" si="17"/>
        <v>16605.501175975747</v>
      </c>
      <c r="N39" s="29">
        <f t="shared" si="8"/>
        <v>5989.4254816889015</v>
      </c>
      <c r="O39" s="59">
        <f>('תמהיל יצור'!$W29+'תמהיל יצור'!$V29)*$E$5*10</f>
        <v>56.328230997929651</v>
      </c>
      <c r="P39" s="28">
        <f>'תמהיל יצור'!X29*$G$5*10</f>
        <v>14120.289780137678</v>
      </c>
      <c r="Q39" s="28">
        <f>'תמהיל יצור'!Y29*$H$5*10</f>
        <v>1848.353180881719</v>
      </c>
      <c r="R39" s="28">
        <f>'תמהיל יצור'!Z29*$I$5*10</f>
        <v>320.48860213196429</v>
      </c>
      <c r="S39" s="28">
        <f t="shared" si="18"/>
        <v>16345.45979414929</v>
      </c>
      <c r="T39" s="29">
        <f t="shared" si="10"/>
        <v>5895.631355146169</v>
      </c>
      <c r="U39" s="59">
        <f>'תמהיל יצור'!$AC29*$E$5*10</f>
        <v>0</v>
      </c>
      <c r="V39" s="28">
        <f>'תמהיל יצור'!AD29*$G$5*10</f>
        <v>14174.61427858513</v>
      </c>
      <c r="W39" s="28">
        <f>'תמהיל יצור'!AE29*$H$5*10</f>
        <v>1848.353180881719</v>
      </c>
      <c r="X39" s="28">
        <f>'תמהיל יצור'!AF29*$I$5*10</f>
        <v>320.48860213196429</v>
      </c>
      <c r="Y39" s="28">
        <f t="shared" si="19"/>
        <v>16343.456061598812</v>
      </c>
      <c r="Z39" s="29">
        <f t="shared" si="12"/>
        <v>5894.9086303895265</v>
      </c>
      <c r="AA39" s="59">
        <f>'תמהיל יצור'!$AI29*($J$5)*10</f>
        <v>1940.1767395687059</v>
      </c>
      <c r="AB39" s="28">
        <f>'תמהיל יצור'!$AK29*$E$5*10</f>
        <v>670.88890574005927</v>
      </c>
      <c r="AC39" s="28">
        <f>'תמהיל יצור'!$AL29*$G$5*10</f>
        <v>14332.38125067365</v>
      </c>
      <c r="AD39" s="28">
        <f t="shared" si="20"/>
        <v>16943.446895982415</v>
      </c>
      <c r="AE39" s="29">
        <f t="shared" si="14"/>
        <v>6111.3188642122814</v>
      </c>
      <c r="AG39" s="17"/>
    </row>
    <row r="40" spans="1:33" ht="16" thickBot="1">
      <c r="A40" s="185"/>
      <c r="B40" s="89"/>
      <c r="C40" s="64"/>
      <c r="D40" s="64"/>
      <c r="E40" s="61">
        <f>SUM(E14:E39)</f>
        <v>187819.82373115222</v>
      </c>
      <c r="F40" s="89"/>
      <c r="G40" s="64"/>
      <c r="H40" s="64"/>
      <c r="I40" s="64">
        <f>SUM(I14:I39)</f>
        <v>187356.30924970657</v>
      </c>
      <c r="J40" s="89"/>
      <c r="K40" s="64"/>
      <c r="L40" s="64"/>
      <c r="M40" s="64"/>
      <c r="N40" s="61">
        <f>SUM(N14:N39)</f>
        <v>189386.4147637189</v>
      </c>
      <c r="O40" s="89"/>
      <c r="P40" s="64"/>
      <c r="Q40" s="64"/>
      <c r="R40" s="64"/>
      <c r="S40" s="64"/>
      <c r="T40" s="61">
        <f>SUM(T14:T39)</f>
        <v>184019.34654989067</v>
      </c>
      <c r="U40" s="89"/>
      <c r="V40" s="64"/>
      <c r="W40" s="64"/>
      <c r="X40" s="64"/>
      <c r="Y40" s="64"/>
      <c r="Z40" s="61">
        <f>SUM(Z14:Z39)</f>
        <v>183988.63520008823</v>
      </c>
      <c r="AA40" s="89"/>
      <c r="AB40" s="64"/>
      <c r="AC40" s="64"/>
      <c r="AD40" s="64"/>
      <c r="AE40" s="61">
        <f>SUM(AE14:AE39)</f>
        <v>190403.71279091167</v>
      </c>
    </row>
    <row r="41" spans="1:33" ht="16" thickBot="1">
      <c r="A41" s="454" t="s">
        <v>236</v>
      </c>
      <c r="B41" s="330"/>
      <c r="C41" s="330"/>
      <c r="D41" s="330"/>
      <c r="E41" s="330">
        <f>MIN(E40-I40,0)</f>
        <v>0</v>
      </c>
      <c r="F41" s="330"/>
      <c r="G41" s="330"/>
      <c r="H41" s="330"/>
      <c r="I41" s="330"/>
      <c r="J41" s="64"/>
      <c r="K41" s="64"/>
      <c r="L41" s="64"/>
      <c r="M41" s="64"/>
      <c r="N41" s="64">
        <f>N40-I40</f>
        <v>2030.1055140123353</v>
      </c>
      <c r="O41" s="64"/>
      <c r="P41" s="64"/>
      <c r="Q41" s="64"/>
      <c r="R41" s="64"/>
      <c r="S41" s="64"/>
      <c r="T41" s="64">
        <f>T40-I40</f>
        <v>-3336.9626998158928</v>
      </c>
      <c r="U41" s="330"/>
      <c r="V41" s="330"/>
      <c r="W41" s="330"/>
      <c r="X41" s="330"/>
      <c r="Y41" s="330"/>
      <c r="Z41" s="330">
        <f>Z40-I40</f>
        <v>-3367.6740496183338</v>
      </c>
      <c r="AA41" s="330"/>
      <c r="AB41" s="330"/>
      <c r="AC41" s="330"/>
      <c r="AD41" s="330"/>
      <c r="AE41" s="455">
        <f>AE40-I40</f>
        <v>3047.4035412051016</v>
      </c>
    </row>
    <row r="42" spans="1:33" ht="16" thickBot="1">
      <c r="A42" s="125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</row>
    <row r="43" spans="1:33" ht="16" thickBot="1">
      <c r="A43" s="1121" t="s">
        <v>231</v>
      </c>
      <c r="B43" s="1122"/>
      <c r="C43" s="1122"/>
      <c r="D43" s="1122"/>
      <c r="E43" s="1122"/>
      <c r="F43" s="1122"/>
      <c r="G43" s="1122"/>
      <c r="H43" s="1122"/>
      <c r="I43" s="1122"/>
      <c r="J43" s="1122"/>
      <c r="K43" s="1122"/>
      <c r="L43" s="1122"/>
      <c r="M43" s="1122"/>
      <c r="N43" s="1122"/>
      <c r="O43" s="1122"/>
      <c r="P43" s="1122"/>
      <c r="Q43" s="1122"/>
      <c r="R43" s="1122"/>
      <c r="S43" s="1122"/>
      <c r="T43" s="1122"/>
      <c r="U43" s="1122"/>
      <c r="V43" s="1122"/>
      <c r="W43" s="1122"/>
      <c r="X43" s="1122"/>
      <c r="Y43" s="1122"/>
      <c r="Z43" s="1122"/>
      <c r="AA43" s="1122"/>
      <c r="AB43" s="1122"/>
      <c r="AC43" s="1122"/>
      <c r="AD43" s="1122"/>
      <c r="AE43" s="227"/>
    </row>
    <row r="44" spans="1:33" ht="16" thickBot="1">
      <c r="A44" s="264"/>
      <c r="B44" s="1115" t="s">
        <v>92</v>
      </c>
      <c r="C44" s="1116"/>
      <c r="D44" s="1116"/>
      <c r="E44" s="1117"/>
      <c r="F44" s="1115" t="s">
        <v>128</v>
      </c>
      <c r="G44" s="1116"/>
      <c r="H44" s="1116"/>
      <c r="I44" s="1117"/>
      <c r="J44" s="1115" t="s">
        <v>4</v>
      </c>
      <c r="K44" s="1116"/>
      <c r="L44" s="1116"/>
      <c r="M44" s="1116"/>
      <c r="N44" s="1117"/>
      <c r="O44" s="1115" t="s">
        <v>8</v>
      </c>
      <c r="P44" s="1116"/>
      <c r="Q44" s="1116"/>
      <c r="R44" s="1116"/>
      <c r="S44" s="1116"/>
      <c r="T44" s="1117"/>
      <c r="U44" s="1115" t="s">
        <v>5</v>
      </c>
      <c r="V44" s="1116"/>
      <c r="W44" s="1116"/>
      <c r="X44" s="1116"/>
      <c r="Y44" s="1116"/>
      <c r="Z44" s="1117"/>
      <c r="AA44" s="1127" t="s">
        <v>49</v>
      </c>
      <c r="AB44" s="1125"/>
      <c r="AC44" s="1125"/>
      <c r="AD44" s="1125"/>
      <c r="AE44" s="1126"/>
    </row>
    <row r="45" spans="1:33" s="110" customFormat="1" ht="49" thickBot="1">
      <c r="A45" s="710" t="s">
        <v>6</v>
      </c>
      <c r="B45" s="711" t="str">
        <f>B12</f>
        <v>פחם</v>
      </c>
      <c r="C45" s="711" t="str">
        <f t="shared" ref="C45:AB45" si="21">C12</f>
        <v>גז מתקנים קיימים</v>
      </c>
      <c r="D45" s="711" t="str">
        <f t="shared" si="21"/>
        <v>סה"כ</v>
      </c>
      <c r="E45" s="711" t="str">
        <f t="shared" si="21"/>
        <v>מהוון</v>
      </c>
      <c r="F45" s="711" t="str">
        <f t="shared" si="21"/>
        <v>פחם</v>
      </c>
      <c r="G45" s="711" t="str">
        <f t="shared" si="21"/>
        <v>גז מתקנים קיימים</v>
      </c>
      <c r="H45" s="711" t="str">
        <f t="shared" si="21"/>
        <v>סה"כ</v>
      </c>
      <c r="I45" s="711" t="str">
        <f t="shared" si="21"/>
        <v>מהוון</v>
      </c>
      <c r="J45" s="711" t="str">
        <f t="shared" si="21"/>
        <v>פחם</v>
      </c>
      <c r="K45" s="711" t="str">
        <f t="shared" si="21"/>
        <v>גז מוסב</v>
      </c>
      <c r="L45" s="711" t="str">
        <f t="shared" si="21"/>
        <v>גז מתקנים קיימים</v>
      </c>
      <c r="M45" s="711" t="str">
        <f t="shared" si="21"/>
        <v>סה"כ</v>
      </c>
      <c r="N45" s="711" t="str">
        <f t="shared" si="21"/>
        <v>מהוון</v>
      </c>
      <c r="O45" s="711" t="str">
        <f t="shared" si="21"/>
        <v>פחם</v>
      </c>
      <c r="P45" s="711" t="str">
        <f t="shared" si="21"/>
        <v>גז מתקנים קיימים</v>
      </c>
      <c r="Q45" s="711" t="str">
        <f t="shared" si="21"/>
        <v>מח״זמים חדשים</v>
      </c>
      <c r="R45" s="711" t="str">
        <f t="shared" si="21"/>
        <v>פיקרים חדשים</v>
      </c>
      <c r="S45" s="711" t="str">
        <f t="shared" si="21"/>
        <v>סה"כ</v>
      </c>
      <c r="T45" s="711" t="str">
        <f t="shared" si="21"/>
        <v>מהוון</v>
      </c>
      <c r="U45" s="711" t="str">
        <f t="shared" si="21"/>
        <v>פחם</v>
      </c>
      <c r="V45" s="711" t="str">
        <f t="shared" si="21"/>
        <v>גז מתקנים קיימים</v>
      </c>
      <c r="W45" s="711" t="str">
        <f t="shared" si="21"/>
        <v>מח״זמים חדשים</v>
      </c>
      <c r="X45" s="711" t="str">
        <f t="shared" si="21"/>
        <v>פיקרים חדשים</v>
      </c>
      <c r="Y45" s="711" t="str">
        <f t="shared" si="21"/>
        <v>סה"כ</v>
      </c>
      <c r="Z45" s="711" t="str">
        <f t="shared" si="21"/>
        <v>מהוון</v>
      </c>
      <c r="AA45" s="711" t="str">
        <f t="shared" si="21"/>
        <v>תוספת מתחדשות</v>
      </c>
      <c r="AB45" s="711" t="str">
        <f t="shared" si="21"/>
        <v>פחם</v>
      </c>
      <c r="AC45" s="712" t="s">
        <v>3</v>
      </c>
      <c r="AD45" s="712" t="s">
        <v>32</v>
      </c>
      <c r="AE45" s="713" t="s">
        <v>31</v>
      </c>
    </row>
    <row r="46" spans="1:33">
      <c r="A46" s="100">
        <v>2019</v>
      </c>
      <c r="B46" s="59"/>
      <c r="C46" s="28"/>
      <c r="D46" s="28"/>
      <c r="E46" s="29"/>
      <c r="F46" s="59"/>
      <c r="G46" s="28"/>
      <c r="H46" s="28"/>
      <c r="I46" s="29"/>
      <c r="J46" s="59"/>
      <c r="K46" s="28"/>
      <c r="L46" s="28"/>
      <c r="M46" s="28"/>
      <c r="N46" s="29"/>
      <c r="O46" s="59"/>
      <c r="P46" s="28"/>
      <c r="Q46" s="28"/>
      <c r="R46" s="28"/>
      <c r="S46" s="28"/>
      <c r="T46" s="29"/>
      <c r="U46" s="59"/>
      <c r="V46" s="28"/>
      <c r="W46" s="28"/>
      <c r="X46" s="28"/>
      <c r="Y46" s="28"/>
      <c r="Z46" s="29"/>
      <c r="AA46" s="59"/>
      <c r="AB46" s="28"/>
      <c r="AC46" s="266"/>
      <c r="AD46" s="28"/>
      <c r="AE46" s="29"/>
    </row>
    <row r="47" spans="1:33">
      <c r="A47" s="100">
        <f>A46+1</f>
        <v>2020</v>
      </c>
      <c r="B47" s="59">
        <f>'תמהיל יצור'!$H4*10*$E$6</f>
        <v>2362.094758132801</v>
      </c>
      <c r="C47" s="28">
        <f>'תמהיל יצור'!$I4*$G$6*10</f>
        <v>6658.842316405794</v>
      </c>
      <c r="D47" s="28">
        <f t="shared" ref="D47" si="22">SUM(B47:C47)</f>
        <v>9020.937074538595</v>
      </c>
      <c r="E47" s="29">
        <f t="shared" ref="E47:E66" si="23">+D47/(1+$L$4)^($A47-$A$46)</f>
        <v>8673.9779562871099</v>
      </c>
      <c r="F47" s="59">
        <f>'תמהיל יצור'!$L4*$E$6*10</f>
        <v>1666.409315669031</v>
      </c>
      <c r="G47" s="28">
        <f>'תמהיל יצור'!$M4*$G$6*10</f>
        <v>7541.9675675449853</v>
      </c>
      <c r="H47" s="28">
        <f t="shared" ref="H47" si="24">SUM(F47:G47)</f>
        <v>9208.3768832140158</v>
      </c>
      <c r="I47" s="29">
        <f t="shared" ref="I47:I66" si="25">+H47/(1+$L$4)^($A47-$A$46)</f>
        <v>8854.2085415519377</v>
      </c>
      <c r="J47" s="59">
        <f>('תמהיל יצור'!Q4+'תמהיל יצור'!P4)*$E$6*10</f>
        <v>1666.409315669031</v>
      </c>
      <c r="K47" s="28">
        <f>'תמהיל יצור'!$R4*$F$6*10</f>
        <v>0</v>
      </c>
      <c r="L47" s="28">
        <f>'תמהיל יצור'!$S4*$G$6*10</f>
        <v>7541.9675675449853</v>
      </c>
      <c r="M47" s="28">
        <f t="shared" ref="M47" si="26">SUM(J47:L47)</f>
        <v>9208.3768832140158</v>
      </c>
      <c r="N47" s="29">
        <f t="shared" ref="N47:N66" si="27">+M47/(1+$L$4)^($A47-$A$46)</f>
        <v>8854.2085415519377</v>
      </c>
      <c r="O47" s="59">
        <f>('תמהיל יצור'!$W4+'תמהיל יצור'!$V4)*$E$6*10</f>
        <v>1666.409315669031</v>
      </c>
      <c r="P47" s="28">
        <f>'תמהיל יצור'!X4*$G$6*10</f>
        <v>7541.9675675449871</v>
      </c>
      <c r="Q47" s="28">
        <f>'תמהיל יצור'!Y4*$H$6*10</f>
        <v>0</v>
      </c>
      <c r="R47" s="28">
        <f>'תמהיל יצור'!Z4*$I$6*10</f>
        <v>0</v>
      </c>
      <c r="S47" s="28">
        <f>SUM(O47:R47)</f>
        <v>9208.3768832140177</v>
      </c>
      <c r="T47" s="29">
        <f t="shared" ref="T47:T66" si="28">+S47/(1+$L$4)^($A47-$A$46)</f>
        <v>8854.2085415519396</v>
      </c>
      <c r="U47" s="59">
        <f>'תמהיל יצור'!$AC4*$E$6*10</f>
        <v>1666.409315669031</v>
      </c>
      <c r="V47" s="28">
        <f>'תמהיל יצור'!AD4*$G$6*10</f>
        <v>7541.9675675449853</v>
      </c>
      <c r="W47" s="28">
        <f>'תמהיל יצור'!AE4*$H$6*10</f>
        <v>0</v>
      </c>
      <c r="X47" s="28">
        <f>'תמהיל יצור'!AF4*$I$6*10</f>
        <v>0</v>
      </c>
      <c r="Y47" s="28">
        <f>SUM(U47:X47)</f>
        <v>9208.3768832140158</v>
      </c>
      <c r="Z47" s="29">
        <f t="shared" ref="Z47:Z66" si="29">+Y47/(1+$L$4)^($A47-$A$46)</f>
        <v>8854.2085415519377</v>
      </c>
      <c r="AA47" s="59">
        <f>'תמהיל יצור'!$AI4*($J$6)*10</f>
        <v>0</v>
      </c>
      <c r="AB47" s="28">
        <f>'תמהיל יצור'!$AK4*$E$6*10</f>
        <v>1666.409315669031</v>
      </c>
      <c r="AC47" s="28">
        <f>'תמהיל יצור'!$AL4*$G$6*10</f>
        <v>7541.9675675449871</v>
      </c>
      <c r="AD47" s="28">
        <f t="shared" ref="AD47" si="30">SUM(AA47:AC47)</f>
        <v>9208.3768832140177</v>
      </c>
      <c r="AE47" s="29">
        <f t="shared" ref="AE47:AE66" si="31">+AD47/(1+$L$4)^($A47-$A$46)</f>
        <v>8854.2085415519396</v>
      </c>
    </row>
    <row r="48" spans="1:33">
      <c r="A48" s="100">
        <f t="shared" ref="A48:A72" si="32">A47+1</f>
        <v>2021</v>
      </c>
      <c r="B48" s="59">
        <f>'תמהיל יצור'!$H5*10*$E$6</f>
        <v>2362.094758132801</v>
      </c>
      <c r="C48" s="28">
        <f>'תמהיל יצור'!$I5*$G$6*10</f>
        <v>6706.0981794594582</v>
      </c>
      <c r="D48" s="28">
        <f t="shared" ref="D48:D66" si="33">SUM(B48:C48)</f>
        <v>9068.1929375922591</v>
      </c>
      <c r="E48" s="29">
        <f t="shared" si="23"/>
        <v>8384.0541212946173</v>
      </c>
      <c r="F48" s="59">
        <f>'תמהיל יצור'!$L5*$E$6*10</f>
        <v>1666.409315669031</v>
      </c>
      <c r="G48" s="28">
        <f>'תמהיל יצור'!$M5*$G$6*10</f>
        <v>7589.2234305986494</v>
      </c>
      <c r="H48" s="28">
        <f t="shared" ref="H48:H66" si="34">SUM(F48:G48)</f>
        <v>9255.63274626768</v>
      </c>
      <c r="I48" s="29">
        <f t="shared" si="25"/>
        <v>8557.3527609723369</v>
      </c>
      <c r="J48" s="59">
        <f>('תמהיל יצור'!Q5+'תמהיל יצור'!P5)*$E$6*10</f>
        <v>1666.409315669031</v>
      </c>
      <c r="K48" s="28">
        <f>'תמהיל יצור'!$R5*$F$6*10</f>
        <v>0</v>
      </c>
      <c r="L48" s="28">
        <f>'תמהיל יצור'!$S5*$G$6*10</f>
        <v>7589.2234305986494</v>
      </c>
      <c r="M48" s="28">
        <f t="shared" ref="M48:M66" si="35">SUM(J48:L48)</f>
        <v>9255.63274626768</v>
      </c>
      <c r="N48" s="29">
        <f t="shared" si="27"/>
        <v>8557.3527609723369</v>
      </c>
      <c r="O48" s="59">
        <f>('תמהיל יצור'!$W5+'תמהיל יצור'!$V5)*$E$6*10</f>
        <v>1666.409315669031</v>
      </c>
      <c r="P48" s="28">
        <f>'תמהיל יצור'!X5*$G$6*10</f>
        <v>7589.2234305986494</v>
      </c>
      <c r="Q48" s="28">
        <f>'תמהיל יצור'!Y5*$H$6*10</f>
        <v>0</v>
      </c>
      <c r="R48" s="28">
        <f>'תמהיל יצור'!Z5*$I$6*10</f>
        <v>0</v>
      </c>
      <c r="S48" s="28">
        <f t="shared" ref="S48:S66" si="36">SUM(O48:R48)</f>
        <v>9255.63274626768</v>
      </c>
      <c r="T48" s="29">
        <f t="shared" si="28"/>
        <v>8557.3527609723369</v>
      </c>
      <c r="U48" s="59">
        <f>'תמהיל יצור'!$AC5*$E$6*10</f>
        <v>1666.409315669031</v>
      </c>
      <c r="V48" s="28">
        <f>'תמהיל יצור'!AD5*$G$6*10</f>
        <v>7589.2234305986494</v>
      </c>
      <c r="W48" s="28">
        <f>'תמהיל יצור'!AE5*$H$6*10</f>
        <v>0</v>
      </c>
      <c r="X48" s="28">
        <f>'תמהיל יצור'!AF5*$I$6*10</f>
        <v>0</v>
      </c>
      <c r="Y48" s="28">
        <f t="shared" ref="Y48:Y66" si="37">SUM(U48:X48)</f>
        <v>9255.63274626768</v>
      </c>
      <c r="Z48" s="29">
        <f t="shared" si="29"/>
        <v>8557.3527609723369</v>
      </c>
      <c r="AA48" s="59">
        <f>'תמהיל יצור'!$AI5*($J$6)*10</f>
        <v>0</v>
      </c>
      <c r="AB48" s="28">
        <f>'תמהיל יצור'!$AK5*$E$6*10</f>
        <v>1666.409315669031</v>
      </c>
      <c r="AC48" s="28">
        <f>'תמהיל יצור'!$AL5*$G$6*10</f>
        <v>7589.2234305986494</v>
      </c>
      <c r="AD48" s="28">
        <f t="shared" ref="AD48:AD66" si="38">SUM(AA48:AC48)</f>
        <v>9255.63274626768</v>
      </c>
      <c r="AE48" s="29">
        <f t="shared" si="31"/>
        <v>8557.3527609723369</v>
      </c>
    </row>
    <row r="49" spans="1:31">
      <c r="A49" s="100">
        <f t="shared" si="32"/>
        <v>2022</v>
      </c>
      <c r="B49" s="59">
        <f>'תמהיל יצור'!$H6*10*$E$6</f>
        <v>2362.094758132801</v>
      </c>
      <c r="C49" s="28">
        <f>'תמהיל יצור'!$I6*$G$6*10</f>
        <v>7023.0239731763613</v>
      </c>
      <c r="D49" s="28">
        <f t="shared" si="33"/>
        <v>9385.1187313091614</v>
      </c>
      <c r="E49" s="29">
        <f t="shared" si="23"/>
        <v>8343.33637782804</v>
      </c>
      <c r="F49" s="59">
        <f>'תמהיל יצור'!$L6*$E$6*10</f>
        <v>1666.409315669031</v>
      </c>
      <c r="G49" s="28">
        <f>'תמהיל יצור'!$M6*$G$6*10</f>
        <v>7906.1492243155535</v>
      </c>
      <c r="H49" s="28">
        <f t="shared" si="34"/>
        <v>9572.5585399845841</v>
      </c>
      <c r="I49" s="29">
        <f t="shared" si="25"/>
        <v>8509.9696852104644</v>
      </c>
      <c r="J49" s="59">
        <f>('תמהיל יצור'!Q6+'תמהיל יצור'!P6)*$E$6*10</f>
        <v>1131.3986177259119</v>
      </c>
      <c r="K49" s="28">
        <f>'תמהיל יצור'!$R6*$F$6*10</f>
        <v>666.64976511110012</v>
      </c>
      <c r="L49" s="28">
        <f>'תמהיל יצור'!$S6*$G$6*10</f>
        <v>8012.9083683365216</v>
      </c>
      <c r="M49" s="28">
        <f t="shared" si="35"/>
        <v>9810.9567511735331</v>
      </c>
      <c r="N49" s="29">
        <f t="shared" si="27"/>
        <v>8721.9048268710994</v>
      </c>
      <c r="O49" s="59">
        <f>('תמהיל יצור'!$W6+'תמהיל יצור'!$V6)*$E$6*10</f>
        <v>1102.7708706633293</v>
      </c>
      <c r="P49" s="28">
        <f>'תמהיל יצור'!X6*$G$6*10</f>
        <v>8621.6498125333201</v>
      </c>
      <c r="Q49" s="28">
        <f>'תמהיל יצור'!Y6*$H$6*10</f>
        <v>0</v>
      </c>
      <c r="R49" s="28">
        <f>'תמהיל יצור'!Z6*$I$6*10</f>
        <v>0</v>
      </c>
      <c r="S49" s="28">
        <f t="shared" si="36"/>
        <v>9724.4206831966494</v>
      </c>
      <c r="T49" s="29">
        <f t="shared" si="28"/>
        <v>8644.9745775459505</v>
      </c>
      <c r="U49" s="59">
        <f>'תמהיל יצור'!$AC6*$E$6*10</f>
        <v>1102.7708706633293</v>
      </c>
      <c r="V49" s="28">
        <f>'תמהיל יצור'!AD6*$G$6*10</f>
        <v>8621.6498125333201</v>
      </c>
      <c r="W49" s="28">
        <f>'תמהיל יצור'!AE6*$H$6*10</f>
        <v>0</v>
      </c>
      <c r="X49" s="28">
        <f>'תמהיל יצור'!AF6*$I$6*10</f>
        <v>0</v>
      </c>
      <c r="Y49" s="28">
        <f t="shared" si="37"/>
        <v>9724.4206831966494</v>
      </c>
      <c r="Z49" s="29">
        <f t="shared" si="29"/>
        <v>8644.9745775459505</v>
      </c>
      <c r="AA49" s="59">
        <f>'תמהיל יצור'!$AI6*($J$6)*10</f>
        <v>0</v>
      </c>
      <c r="AB49" s="28">
        <f>'תמהיל יצור'!$AK6*$E$6*10</f>
        <v>1666.409315669031</v>
      </c>
      <c r="AC49" s="28">
        <f>'תמהיל יצור'!$AL6*$G$6*10</f>
        <v>7906.1492243155535</v>
      </c>
      <c r="AD49" s="28">
        <f t="shared" si="38"/>
        <v>9572.5585399845841</v>
      </c>
      <c r="AE49" s="29">
        <f t="shared" si="31"/>
        <v>8509.9696852104644</v>
      </c>
    </row>
    <row r="50" spans="1:31">
      <c r="A50" s="100">
        <f t="shared" si="32"/>
        <v>2023</v>
      </c>
      <c r="B50" s="59">
        <f>'תמהיל יצור'!$H7*10*$E$6</f>
        <v>2362.094758132801</v>
      </c>
      <c r="C50" s="28">
        <f>'תמהיל יצור'!$I7*$G$6*10</f>
        <v>7233.9496927258451</v>
      </c>
      <c r="D50" s="28">
        <f t="shared" si="33"/>
        <v>9596.0444508586461</v>
      </c>
      <c r="E50" s="29">
        <f t="shared" si="23"/>
        <v>8202.7390139015133</v>
      </c>
      <c r="F50" s="59">
        <f>'תמהיל יצור'!$L7*$E$6*10</f>
        <v>1666.409315669031</v>
      </c>
      <c r="G50" s="28">
        <f>'תמהיל יצור'!$M7*$G$6*10</f>
        <v>8117.0749438650355</v>
      </c>
      <c r="H50" s="28">
        <f t="shared" si="34"/>
        <v>9783.484259534067</v>
      </c>
      <c r="I50" s="29">
        <f t="shared" si="25"/>
        <v>8362.9633479230724</v>
      </c>
      <c r="J50" s="59">
        <f>('תמהיל יצור'!Q7+'תמהיל יצור'!P7)*$E$6*10</f>
        <v>1131.3986177259119</v>
      </c>
      <c r="K50" s="28">
        <f>'תמהיל יצור'!$R7*$F$6*10</f>
        <v>666.64976511110012</v>
      </c>
      <c r="L50" s="28">
        <f>'תמהיל יצור'!$S7*$G$6*10</f>
        <v>8223.8340878860035</v>
      </c>
      <c r="M50" s="28">
        <f t="shared" si="35"/>
        <v>10021.882470723016</v>
      </c>
      <c r="N50" s="29">
        <f t="shared" si="27"/>
        <v>8566.747137981376</v>
      </c>
      <c r="O50" s="59">
        <f>('תמהיל יצור'!$W7+'תמהיל יצור'!$V7)*$E$6*10</f>
        <v>1102.7708706633293</v>
      </c>
      <c r="P50" s="28">
        <f>'תמהיל יצור'!X7*$G$6*10</f>
        <v>8832.575532082803</v>
      </c>
      <c r="Q50" s="28">
        <f>'תמהיל יצור'!Y7*$H$6*10</f>
        <v>0</v>
      </c>
      <c r="R50" s="28">
        <f>'תמהיל יצור'!Z7*$I$6*10</f>
        <v>0</v>
      </c>
      <c r="S50" s="28">
        <f t="shared" si="36"/>
        <v>9935.3464027461323</v>
      </c>
      <c r="T50" s="29">
        <f t="shared" si="28"/>
        <v>8492.7757443995033</v>
      </c>
      <c r="U50" s="59">
        <f>'תמהיל יצור'!$AC7*$E$6*10</f>
        <v>1102.7708706633293</v>
      </c>
      <c r="V50" s="28">
        <f>'תמהיל יצור'!AD7*$G$6*10</f>
        <v>8832.575532082803</v>
      </c>
      <c r="W50" s="28">
        <f>'תמהיל יצור'!AE7*$H$6*10</f>
        <v>0</v>
      </c>
      <c r="X50" s="28">
        <f>'תמהיל יצור'!AF7*$I$6*10</f>
        <v>0</v>
      </c>
      <c r="Y50" s="28">
        <f t="shared" si="37"/>
        <v>9935.3464027461323</v>
      </c>
      <c r="Z50" s="29">
        <f t="shared" si="29"/>
        <v>8492.7757443995033</v>
      </c>
      <c r="AA50" s="59">
        <f>'תמהיל יצור'!$AI7*($J$6)*10</f>
        <v>266.9691681887997</v>
      </c>
      <c r="AB50" s="28">
        <f>'תמהיל יצור'!$AK7*$E$6*10</f>
        <v>1666.409315669031</v>
      </c>
      <c r="AC50" s="28">
        <f>'תמהיל יצור'!$AL7*$G$6*10</f>
        <v>7884.5188532447764</v>
      </c>
      <c r="AD50" s="28">
        <f t="shared" si="38"/>
        <v>9817.8973371026077</v>
      </c>
      <c r="AE50" s="29">
        <f t="shared" si="31"/>
        <v>8392.3797908548931</v>
      </c>
    </row>
    <row r="51" spans="1:31">
      <c r="A51" s="100">
        <f t="shared" si="32"/>
        <v>2024</v>
      </c>
      <c r="B51" s="59">
        <f>'תמהיל יצור'!$H8*10*$E$6</f>
        <v>2362.094758132801</v>
      </c>
      <c r="C51" s="28">
        <f>'תמהיל יצור'!$I8*$G$6*10</f>
        <v>7568.154055480838</v>
      </c>
      <c r="D51" s="28">
        <f t="shared" si="33"/>
        <v>9930.248813613638</v>
      </c>
      <c r="E51" s="29">
        <f t="shared" si="23"/>
        <v>8161.940676773941</v>
      </c>
      <c r="F51" s="59">
        <f>'תמהיל יצור'!$L8*$E$6*10</f>
        <v>1666.409315669031</v>
      </c>
      <c r="G51" s="28">
        <f>'תמהיל יצור'!$M8*$G$6*10</f>
        <v>8451.279306620032</v>
      </c>
      <c r="H51" s="28">
        <f t="shared" si="34"/>
        <v>10117.688622289063</v>
      </c>
      <c r="I51" s="29">
        <f t="shared" si="25"/>
        <v>8316.0025364100584</v>
      </c>
      <c r="J51" s="59">
        <f>('תמהיל יצור'!Q8+'תמהיל יצור'!P8)*$E$6*10</f>
        <v>596.38791978279278</v>
      </c>
      <c r="K51" s="28">
        <f>'תמהיל יצור'!$R8*$F$6*10</f>
        <v>1333.2995302222002</v>
      </c>
      <c r="L51" s="28">
        <f>'תמהיל יצור'!$S8*$G$6*10</f>
        <v>8664.7975946619663</v>
      </c>
      <c r="M51" s="28">
        <f t="shared" si="35"/>
        <v>10594.485044666959</v>
      </c>
      <c r="N51" s="29">
        <f t="shared" si="27"/>
        <v>8707.8944403683327</v>
      </c>
      <c r="O51" s="59">
        <f>('תמהיל יצור'!$W8+'תמהיל יצור'!$V8)*$E$6*10</f>
        <v>562.26831920208213</v>
      </c>
      <c r="P51" s="28">
        <f>'תמהיל יצור'!X8*$G$6*10</f>
        <v>9005.7933817631783</v>
      </c>
      <c r="Q51" s="28">
        <f>'תמהיל יצור'!Y8*$H$6*10</f>
        <v>651.11621194929455</v>
      </c>
      <c r="R51" s="28">
        <f>'תמהיל יצור'!Z8*$I$6*10</f>
        <v>113.11061948345106</v>
      </c>
      <c r="S51" s="28">
        <f t="shared" si="36"/>
        <v>10332.288532398006</v>
      </c>
      <c r="T51" s="29">
        <f t="shared" si="28"/>
        <v>8492.388019636719</v>
      </c>
      <c r="U51" s="59">
        <f>'תמהיל יצור'!$AC8*$E$6*10</f>
        <v>539.13242565762766</v>
      </c>
      <c r="V51" s="28">
        <f>'תמהיל יצור'!AD8*$G$6*10</f>
        <v>9035.1628216704103</v>
      </c>
      <c r="W51" s="28">
        <f>'תמהיל יצור'!AE8*$H$6*10</f>
        <v>651.11621194929455</v>
      </c>
      <c r="X51" s="28">
        <f>'תמהיל יצור'!AF8*$I$6*10</f>
        <v>113.11061948345106</v>
      </c>
      <c r="Y51" s="28">
        <f t="shared" si="37"/>
        <v>10338.522078760785</v>
      </c>
      <c r="Z51" s="29">
        <f t="shared" si="29"/>
        <v>8497.5115403635282</v>
      </c>
      <c r="AA51" s="59">
        <f>'תמהיל יצור'!$AI8*($J$6)*10</f>
        <v>551.3773864367995</v>
      </c>
      <c r="AB51" s="28">
        <f>'תמהיל יצור'!$AK8*$E$6*10</f>
        <v>1666.409315669031</v>
      </c>
      <c r="AC51" s="28">
        <f>'תמהיל יצור'!$AL8*$G$6*10</f>
        <v>7970.9760179815557</v>
      </c>
      <c r="AD51" s="28">
        <f t="shared" si="38"/>
        <v>10188.762720087387</v>
      </c>
      <c r="AE51" s="29">
        <f t="shared" si="31"/>
        <v>8374.4202639789673</v>
      </c>
    </row>
    <row r="52" spans="1:31">
      <c r="A52" s="100">
        <f t="shared" si="32"/>
        <v>2025</v>
      </c>
      <c r="B52" s="59">
        <f>'תמהיל יצור'!$H9*10*$E$6</f>
        <v>2362.094758132801</v>
      </c>
      <c r="C52" s="28">
        <f>'תמהיל יצור'!$I9*$G$6*10</f>
        <v>7789.1677111497675</v>
      </c>
      <c r="D52" s="28">
        <f t="shared" si="33"/>
        <v>10151.262469282568</v>
      </c>
      <c r="E52" s="29">
        <f t="shared" si="23"/>
        <v>8022.6901839732809</v>
      </c>
      <c r="F52" s="59">
        <f>'תמהיל יצור'!$L9*$E$6*10</f>
        <v>1666.409315669031</v>
      </c>
      <c r="G52" s="28">
        <f>'תמהיל יצור'!$M9*$G$6*10</f>
        <v>8672.2929622889587</v>
      </c>
      <c r="H52" s="28">
        <f t="shared" si="34"/>
        <v>10338.702277957989</v>
      </c>
      <c r="I52" s="29">
        <f t="shared" si="25"/>
        <v>8170.8265874695453</v>
      </c>
      <c r="J52" s="59">
        <f>('תמהיל יצור'!Q9+'תמהיל יצור'!P9)*$E$6*10</f>
        <v>596.38791978279278</v>
      </c>
      <c r="K52" s="28">
        <f>'תמהיל יצור'!$R9*$F$6*10</f>
        <v>1333.2995302222002</v>
      </c>
      <c r="L52" s="28">
        <f>'תמהיל יצור'!$S9*$G$6*10</f>
        <v>8885.8112503308967</v>
      </c>
      <c r="M52" s="28">
        <f t="shared" si="35"/>
        <v>10815.498700335889</v>
      </c>
      <c r="N52" s="29">
        <f t="shared" si="27"/>
        <v>8547.645725890965</v>
      </c>
      <c r="O52" s="59">
        <f>('תמהיל יצור'!$W9+'תמהיל יצור'!$V9)*$E$6*10</f>
        <v>562.26831920208213</v>
      </c>
      <c r="P52" s="28">
        <f>'תמהיל יצור'!X9*$G$6*10</f>
        <v>9226.8070374321069</v>
      </c>
      <c r="Q52" s="28">
        <f>'תמהיל יצור'!Y9*$H$6*10</f>
        <v>651.11621194929455</v>
      </c>
      <c r="R52" s="28">
        <f>'תמהיל יצור'!Z9*$I$6*10</f>
        <v>113.11061948345106</v>
      </c>
      <c r="S52" s="28">
        <f t="shared" si="36"/>
        <v>10553.302188066935</v>
      </c>
      <c r="T52" s="29">
        <f t="shared" si="28"/>
        <v>8340.4280136490288</v>
      </c>
      <c r="U52" s="59">
        <f>'תמהיל יצור'!$AC9*$E$6*10</f>
        <v>539.13242565762766</v>
      </c>
      <c r="V52" s="28">
        <f>'תמהיל יצור'!AD9*$G$6*10</f>
        <v>9256.1764773393388</v>
      </c>
      <c r="W52" s="28">
        <f>'תמהיל יצור'!AE9*$H$6*10</f>
        <v>651.11621194929455</v>
      </c>
      <c r="X52" s="28">
        <f>'תמהיל יצור'!AF9*$I$6*10</f>
        <v>113.11061948345106</v>
      </c>
      <c r="Y52" s="28">
        <f t="shared" si="37"/>
        <v>10559.535734429714</v>
      </c>
      <c r="Z52" s="29">
        <f t="shared" si="29"/>
        <v>8345.3544758863445</v>
      </c>
      <c r="AA52" s="59">
        <f>'תמהיל יצור'!$AI9*($J$6)*10</f>
        <v>711.72535711199941</v>
      </c>
      <c r="AB52" s="28">
        <f>'תמהיל יצור'!$AK9*$E$6*10</f>
        <v>1666.409315669031</v>
      </c>
      <c r="AC52" s="28">
        <f>'תמהיל יצור'!$AL9*$G$6*10</f>
        <v>8052.3110079375001</v>
      </c>
      <c r="AD52" s="28">
        <f t="shared" si="38"/>
        <v>10430.445680718531</v>
      </c>
      <c r="AE52" s="29">
        <f t="shared" si="31"/>
        <v>8243.3327313111131</v>
      </c>
    </row>
    <row r="53" spans="1:31">
      <c r="A53" s="100">
        <f t="shared" si="32"/>
        <v>2026</v>
      </c>
      <c r="B53" s="59">
        <f>'תמהיל יצור'!$H10*10*$E$6</f>
        <v>2362.094758132801</v>
      </c>
      <c r="C53" s="28">
        <f>'תמהיל יצור'!$I10*$G$6*10</f>
        <v>8080.4352333040824</v>
      </c>
      <c r="D53" s="28">
        <f t="shared" si="33"/>
        <v>10442.529991436884</v>
      </c>
      <c r="E53" s="29">
        <f t="shared" si="23"/>
        <v>7935.4645553896771</v>
      </c>
      <c r="F53" s="59">
        <f>'תמהיל יצור'!$L10*$E$6*10</f>
        <v>1666.409315669031</v>
      </c>
      <c r="G53" s="28">
        <f>'תמהיל יצור'!$M10*$G$6*10</f>
        <v>8963.5604844432746</v>
      </c>
      <c r="H53" s="28">
        <f t="shared" si="34"/>
        <v>10629.969800112305</v>
      </c>
      <c r="I53" s="29">
        <f t="shared" si="25"/>
        <v>8077.9034049053162</v>
      </c>
      <c r="J53" s="59">
        <f>('תמהיל יצור'!Q10+'תמהיל יצור'!P10)*$E$6*10</f>
        <v>84.638556532852803</v>
      </c>
      <c r="K53" s="28">
        <f>'תמהיל יצור'!$R10*$F$6*10</f>
        <v>1970.9645229371654</v>
      </c>
      <c r="L53" s="28">
        <f>'תמהיל יצור'!$S10*$G$6*10</f>
        <v>9279.1962145922225</v>
      </c>
      <c r="M53" s="28">
        <f t="shared" si="35"/>
        <v>11334.799294062241</v>
      </c>
      <c r="N53" s="29">
        <f t="shared" si="27"/>
        <v>8613.5158926280692</v>
      </c>
      <c r="O53" s="59">
        <f>('תמהיל יצור'!$W10+'תמהיל יצור'!$V10)*$E$6*10</f>
        <v>46.271787088908965</v>
      </c>
      <c r="P53" s="28">
        <f>'תמהיל יצור'!X10*$G$6*10</f>
        <v>9325.9793252849431</v>
      </c>
      <c r="Q53" s="28">
        <f>'תמהיל יצור'!Y10*$H$6*10</f>
        <v>1302.2324238985891</v>
      </c>
      <c r="R53" s="28">
        <f>'תמהיל יצור'!Z10*$I$6*10</f>
        <v>226.22123896690212</v>
      </c>
      <c r="S53" s="28">
        <f t="shared" si="36"/>
        <v>10900.704775239343</v>
      </c>
      <c r="T53" s="29">
        <f t="shared" si="28"/>
        <v>8283.6397351611704</v>
      </c>
      <c r="U53" s="59">
        <f>'תמהיל יצור'!$AC10*$E$6*10</f>
        <v>0</v>
      </c>
      <c r="V53" s="28">
        <f>'תמהיל יצור'!AD10*$G$6*10</f>
        <v>9384.7182050994088</v>
      </c>
      <c r="W53" s="28">
        <f>'תמהיל יצור'!AE10*$H$6*10</f>
        <v>1302.2324238985891</v>
      </c>
      <c r="X53" s="28">
        <f>'תמהיל יצור'!AF10*$I$6*10</f>
        <v>226.22123896690212</v>
      </c>
      <c r="Y53" s="28">
        <f t="shared" si="37"/>
        <v>10913.1718679649</v>
      </c>
      <c r="Z53" s="29">
        <f t="shared" si="29"/>
        <v>8293.113701002163</v>
      </c>
      <c r="AA53" s="59">
        <f>'תמהיל יצור'!$AI10*($J$6)*10</f>
        <v>1023.3187184556333</v>
      </c>
      <c r="AB53" s="28">
        <f>'תמהיל יצור'!$AK10*$E$6*10</f>
        <v>1666.409315669031</v>
      </c>
      <c r="AC53" s="28">
        <f>'תמהיל יצור'!$AL10*$G$6*10</f>
        <v>8072.1504304767459</v>
      </c>
      <c r="AD53" s="28">
        <f t="shared" si="38"/>
        <v>10761.87846460141</v>
      </c>
      <c r="AE53" s="29">
        <f t="shared" si="31"/>
        <v>8178.1431487662812</v>
      </c>
    </row>
    <row r="54" spans="1:31">
      <c r="A54" s="100">
        <f t="shared" si="32"/>
        <v>2027</v>
      </c>
      <c r="B54" s="59">
        <f>'תמהיל יצור'!$H11*10*$E$6</f>
        <v>2362.094758132801</v>
      </c>
      <c r="C54" s="28">
        <f>'תמהיל יצור'!$I11*$G$6*10</f>
        <v>8248.7843892103301</v>
      </c>
      <c r="D54" s="28">
        <f t="shared" si="33"/>
        <v>10610.87914734313</v>
      </c>
      <c r="E54" s="29">
        <f t="shared" si="23"/>
        <v>7753.2654594234264</v>
      </c>
      <c r="F54" s="59">
        <f>'תמהיל יצור'!$L11*$E$6*10</f>
        <v>1666.409315669031</v>
      </c>
      <c r="G54" s="28">
        <f>'תמהיל יצור'!$M11*$G$6*10</f>
        <v>9131.9096403495223</v>
      </c>
      <c r="H54" s="28">
        <f t="shared" si="34"/>
        <v>10798.318956018553</v>
      </c>
      <c r="I54" s="29">
        <f t="shared" si="25"/>
        <v>7890.2258916500041</v>
      </c>
      <c r="J54" s="59">
        <f>('תמהיל יצור'!Q11+'תמהיל יצור'!P11)*$E$6*10</f>
        <v>84.638556532852803</v>
      </c>
      <c r="K54" s="28">
        <f>'תמהיל יצור'!$R11*$F$6*10</f>
        <v>1970.9645229371654</v>
      </c>
      <c r="L54" s="28">
        <f>'תמהיל יצור'!$S11*$G$6*10</f>
        <v>9447.545370498472</v>
      </c>
      <c r="M54" s="28">
        <f t="shared" si="35"/>
        <v>11503.14844996849</v>
      </c>
      <c r="N54" s="29">
        <f t="shared" si="27"/>
        <v>8405.2378990757279</v>
      </c>
      <c r="O54" s="59">
        <f>('תמהיל יצור'!$W11+'תמהיל יצור'!$V11)*$E$6*10</f>
        <v>46.271787088908965</v>
      </c>
      <c r="P54" s="28">
        <f>'תמהיל יצור'!X11*$G$6*10</f>
        <v>9494.3284811911908</v>
      </c>
      <c r="Q54" s="28">
        <f>'תמהיל יצור'!Y11*$H$6*10</f>
        <v>1302.2324238985891</v>
      </c>
      <c r="R54" s="28">
        <f>'תמהיל יצור'!Z11*$I$6*10</f>
        <v>226.22123896690212</v>
      </c>
      <c r="S54" s="28">
        <f t="shared" si="36"/>
        <v>11069.05393114559</v>
      </c>
      <c r="T54" s="29">
        <f t="shared" si="28"/>
        <v>8088.0492861267858</v>
      </c>
      <c r="U54" s="59">
        <f>'תמהיל יצור'!$AC11*$E$6*10</f>
        <v>0</v>
      </c>
      <c r="V54" s="28">
        <f>'תמהיל יצור'!AD11*$G$6*10</f>
        <v>9553.0673610056565</v>
      </c>
      <c r="W54" s="28">
        <f>'תמהיל יצור'!AE11*$H$6*10</f>
        <v>1302.2324238985891</v>
      </c>
      <c r="X54" s="28">
        <f>'תמהיל יצור'!AF11*$I$6*10</f>
        <v>226.22123896690212</v>
      </c>
      <c r="Y54" s="28">
        <f t="shared" si="37"/>
        <v>11081.521023871148</v>
      </c>
      <c r="Z54" s="29">
        <f t="shared" si="29"/>
        <v>8097.1588686662026</v>
      </c>
      <c r="AA54" s="59">
        <f>'תמהיל יצור'!$AI11*($J$6)*10</f>
        <v>1201.0837986902113</v>
      </c>
      <c r="AB54" s="28">
        <f>'תמהיל יצור'!$AK11*$E$6*10</f>
        <v>1666.409315669031</v>
      </c>
      <c r="AC54" s="28">
        <f>'תמהיל יצור'!$AL11*$G$6*10</f>
        <v>8085.6489255796669</v>
      </c>
      <c r="AD54" s="28">
        <f t="shared" si="38"/>
        <v>10953.14203993891</v>
      </c>
      <c r="AE54" s="29">
        <f t="shared" si="31"/>
        <v>8003.3536025788089</v>
      </c>
    </row>
    <row r="55" spans="1:31">
      <c r="A55" s="100">
        <f t="shared" si="32"/>
        <v>2028</v>
      </c>
      <c r="B55" s="59">
        <f>'תמהיל יצור'!$H12*10*$E$6</f>
        <v>2362.094758132801</v>
      </c>
      <c r="C55" s="28">
        <f>'תמהיל יצור'!$I12*$G$6*10</f>
        <v>8418.1478424137022</v>
      </c>
      <c r="D55" s="28">
        <f t="shared" si="33"/>
        <v>10780.242600546502</v>
      </c>
      <c r="E55" s="29">
        <f t="shared" si="23"/>
        <v>7574.055457465809</v>
      </c>
      <c r="F55" s="59">
        <f>'תמהיל יצור'!$L12*$E$6*10</f>
        <v>1666.409315669031</v>
      </c>
      <c r="G55" s="28">
        <f>'תמהיל יצור'!$M12*$G$6*10</f>
        <v>9301.2730935528925</v>
      </c>
      <c r="H55" s="28">
        <f t="shared" si="34"/>
        <v>10967.682409221923</v>
      </c>
      <c r="I55" s="29">
        <f t="shared" si="25"/>
        <v>7705.7481807605936</v>
      </c>
      <c r="J55" s="59">
        <f>('תמהיל יצור'!Q12+'תמהיל יצור'!P12)*$E$6*10</f>
        <v>84.638556532852803</v>
      </c>
      <c r="K55" s="28">
        <f>'תמהיל יצור'!$R12*$F$6*10</f>
        <v>1970.9645229371654</v>
      </c>
      <c r="L55" s="28">
        <f>'תמהיל יצור'!$S12*$G$6*10</f>
        <v>9616.9088237018423</v>
      </c>
      <c r="M55" s="28">
        <f t="shared" si="35"/>
        <v>11672.51190317186</v>
      </c>
      <c r="N55" s="29">
        <f t="shared" si="27"/>
        <v>8200.9520340545587</v>
      </c>
      <c r="O55" s="59">
        <f>('תמהיל יצור'!$W12+'תמהיל יצור'!$V12)*$E$6*10</f>
        <v>68.401772218387165</v>
      </c>
      <c r="P55" s="28">
        <f>'תמהיל יצור'!X12*$G$6*10</f>
        <v>8788.4817652720594</v>
      </c>
      <c r="Q55" s="28">
        <f>'תמהיל יצור'!Y12*$H$6*10</f>
        <v>1953.348635847884</v>
      </c>
      <c r="R55" s="28">
        <f>'תמהיל יצור'!Z12*$I$6*10</f>
        <v>339.33185845035314</v>
      </c>
      <c r="S55" s="28">
        <f t="shared" si="36"/>
        <v>11149.564031788683</v>
      </c>
      <c r="T55" s="29">
        <f t="shared" si="28"/>
        <v>7833.5357962215548</v>
      </c>
      <c r="U55" s="59">
        <f>'תמהיל יצור'!$AC12*$E$6*10</f>
        <v>0</v>
      </c>
      <c r="V55" s="28">
        <f>'תמהיל יצור'!AD12*$G$6*10</f>
        <v>8875.3131528238755</v>
      </c>
      <c r="W55" s="28">
        <f>'תמהיל יצור'!AE12*$H$6*10</f>
        <v>1953.348635847884</v>
      </c>
      <c r="X55" s="28">
        <f>'תמהיל יצור'!AF12*$I$6*10</f>
        <v>339.33185845035314</v>
      </c>
      <c r="Y55" s="28">
        <f t="shared" si="37"/>
        <v>11167.993647122112</v>
      </c>
      <c r="Z55" s="29">
        <f t="shared" si="29"/>
        <v>7846.4841994966418</v>
      </c>
      <c r="AA55" s="59">
        <f>'תמהיל יצור'!$AI12*($J$6)*10</f>
        <v>1387.7021939117026</v>
      </c>
      <c r="AB55" s="28">
        <f>'תמהיל יצור'!$AK12*$E$6*10</f>
        <v>1666.409315669031</v>
      </c>
      <c r="AC55" s="28">
        <f>'תמהיל יצור'!$AL12*$G$6*10</f>
        <v>8092.4496202256705</v>
      </c>
      <c r="AD55" s="28">
        <f t="shared" si="38"/>
        <v>11146.561129806403</v>
      </c>
      <c r="AE55" s="29">
        <f t="shared" si="31"/>
        <v>7831.4259971205611</v>
      </c>
    </row>
    <row r="56" spans="1:31">
      <c r="A56" s="100">
        <f t="shared" si="32"/>
        <v>2029</v>
      </c>
      <c r="B56" s="59">
        <f>'תמהיל יצור'!$H13*10*$E$6</f>
        <v>2362.094758132801</v>
      </c>
      <c r="C56" s="28">
        <f>'תמהיל יצור'!$I13*$G$6*10</f>
        <v>8588.4576384335815</v>
      </c>
      <c r="D56" s="28">
        <f t="shared" si="33"/>
        <v>10950.552396566382</v>
      </c>
      <c r="E56" s="29">
        <f t="shared" si="23"/>
        <v>7397.8008279697242</v>
      </c>
      <c r="F56" s="59">
        <f>'תמהיל יצור'!$L13*$E$6*10</f>
        <v>1666.409315669031</v>
      </c>
      <c r="G56" s="28">
        <f>'תמהיל יצור'!$M13*$G$6*10</f>
        <v>9471.5828895727718</v>
      </c>
      <c r="H56" s="28">
        <f t="shared" si="34"/>
        <v>11137.992205241802</v>
      </c>
      <c r="I56" s="29">
        <f t="shared" si="25"/>
        <v>7524.4284465224009</v>
      </c>
      <c r="J56" s="59">
        <f>('תמהיל יצור'!Q13+'תמהיל יצור'!P13)*$E$6*10</f>
        <v>84.638556532852803</v>
      </c>
      <c r="K56" s="28">
        <f>'תמהיל יצור'!$R13*$F$6*10</f>
        <v>1970.9645229371654</v>
      </c>
      <c r="L56" s="28">
        <f>'תמהיל יצור'!$S13*$G$6*10</f>
        <v>9787.2186197217197</v>
      </c>
      <c r="M56" s="28">
        <f t="shared" si="35"/>
        <v>11842.821699191738</v>
      </c>
      <c r="N56" s="29">
        <f t="shared" si="27"/>
        <v>8000.5859977665978</v>
      </c>
      <c r="O56" s="59">
        <f>('תמהיל יצור'!$W13+'תמהיל יצור'!$V13)*$E$6*10</f>
        <v>68.401772218387165</v>
      </c>
      <c r="P56" s="28">
        <f>'תמהיל יצור'!X13*$G$6*10</f>
        <v>8958.7915612919369</v>
      </c>
      <c r="Q56" s="28">
        <f>'תמהיל יצור'!Y13*$H$6*10</f>
        <v>1953.348635847884</v>
      </c>
      <c r="R56" s="28">
        <f>'תמהיל יצור'!Z13*$I$6*10</f>
        <v>339.33185845035314</v>
      </c>
      <c r="S56" s="28">
        <f t="shared" si="36"/>
        <v>11319.873827808562</v>
      </c>
      <c r="T56" s="29">
        <f t="shared" si="28"/>
        <v>7647.3011536964023</v>
      </c>
      <c r="U56" s="59">
        <f>'תמהיל יצור'!$AC13*$E$6*10</f>
        <v>0</v>
      </c>
      <c r="V56" s="28">
        <f>'תמהיל יצור'!AD13*$G$6*10</f>
        <v>9045.622948843753</v>
      </c>
      <c r="W56" s="28">
        <f>'תמהיל יצור'!AE13*$H$6*10</f>
        <v>1953.348635847884</v>
      </c>
      <c r="X56" s="28">
        <f>'תמהיל יצור'!AF13*$I$6*10</f>
        <v>339.33185845035314</v>
      </c>
      <c r="Y56" s="28">
        <f t="shared" si="37"/>
        <v>11338.303443141991</v>
      </c>
      <c r="Z56" s="29">
        <f t="shared" si="29"/>
        <v>7659.7515414609088</v>
      </c>
      <c r="AA56" s="59">
        <f>'תמהיל יצור'!$AI13*($J$6)*10</f>
        <v>1583.5223923859094</v>
      </c>
      <c r="AB56" s="28">
        <f>'תמהיל יצור'!$AK13*$E$6*10</f>
        <v>1666.409315669031</v>
      </c>
      <c r="AC56" s="28">
        <f>'תמהיל יצור'!$AL13*$G$6*10</f>
        <v>8092.1809927871527</v>
      </c>
      <c r="AD56" s="28">
        <f t="shared" si="38"/>
        <v>11342.112700842094</v>
      </c>
      <c r="AE56" s="29">
        <f t="shared" si="31"/>
        <v>7662.3249394729219</v>
      </c>
    </row>
    <row r="57" spans="1:31">
      <c r="A57" s="100">
        <f t="shared" si="32"/>
        <v>2030</v>
      </c>
      <c r="B57" s="59">
        <f>'תמהיל יצור'!$H14*10*$E$6</f>
        <v>2362.094758132801</v>
      </c>
      <c r="C57" s="28">
        <f>'תמהיל יצור'!$I14*$G$6*10</f>
        <v>8759.6414138246746</v>
      </c>
      <c r="D57" s="28">
        <f t="shared" si="33"/>
        <v>11121.736171957476</v>
      </c>
      <c r="E57" s="29">
        <f t="shared" si="23"/>
        <v>7224.4677431810305</v>
      </c>
      <c r="F57" s="59">
        <f>'תמהיל יצור'!$L14*$E$6*10</f>
        <v>1666.409315669031</v>
      </c>
      <c r="G57" s="28">
        <f>'תמהיל יצור'!$M14*$G$6*10</f>
        <v>9642.7666649638668</v>
      </c>
      <c r="H57" s="28">
        <f t="shared" si="34"/>
        <v>11309.175980632897</v>
      </c>
      <c r="I57" s="29">
        <f t="shared" si="25"/>
        <v>7346.2250687124515</v>
      </c>
      <c r="J57" s="59">
        <f>('תמהיל יצור'!Q14+'תמהיל יצור'!P14)*$E$6*10</f>
        <v>84.638556532852803</v>
      </c>
      <c r="K57" s="28">
        <f>'תמהיל יצור'!$R14*$F$6*10</f>
        <v>1970.9645229371654</v>
      </c>
      <c r="L57" s="28">
        <f>'תמהיל יצור'!$S14*$G$6*10</f>
        <v>9958.4023951128147</v>
      </c>
      <c r="M57" s="28">
        <f t="shared" si="35"/>
        <v>12014.005474582833</v>
      </c>
      <c r="N57" s="29">
        <f t="shared" si="27"/>
        <v>7804.0688679857167</v>
      </c>
      <c r="O57" s="59">
        <f>('תמהיל יצור'!$W14+'תמהיל יצור'!$V14)*$E$6*10</f>
        <v>68.401772218387165</v>
      </c>
      <c r="P57" s="28">
        <f>'תמהיל יצור'!X14*$G$6*10</f>
        <v>9129.9753366830337</v>
      </c>
      <c r="Q57" s="28">
        <f>'תמהיל יצור'!Y14*$H$6*10</f>
        <v>1953.348635847884</v>
      </c>
      <c r="R57" s="28">
        <f>'תמהיל יצור'!Z14*$I$6*10</f>
        <v>339.33185845035314</v>
      </c>
      <c r="S57" s="28">
        <f t="shared" si="36"/>
        <v>11491.057603199657</v>
      </c>
      <c r="T57" s="29">
        <f t="shared" si="28"/>
        <v>7464.3719025336059</v>
      </c>
      <c r="U57" s="59">
        <f>'תמהיל יצור'!$AC14*$E$6*10</f>
        <v>0</v>
      </c>
      <c r="V57" s="28">
        <f>'תמהיל יצור'!AD14*$G$6*10</f>
        <v>9216.8067242348498</v>
      </c>
      <c r="W57" s="28">
        <f>'תמהיל יצור'!AE14*$H$6*10</f>
        <v>1953.348635847884</v>
      </c>
      <c r="X57" s="28">
        <f>'תמהיל יצור'!AF14*$I$6*10</f>
        <v>339.33185845035314</v>
      </c>
      <c r="Y57" s="28">
        <f t="shared" si="37"/>
        <v>11509.487218533086</v>
      </c>
      <c r="Z57" s="29">
        <f t="shared" si="29"/>
        <v>7476.3434292302472</v>
      </c>
      <c r="AA57" s="59">
        <f>'תמהיל יצור'!$AI14*($J$6)*10</f>
        <v>1301.0219975842633</v>
      </c>
      <c r="AB57" s="28">
        <f>'תמהיל יצור'!$AK14*$E$6*10</f>
        <v>1666.409315669031</v>
      </c>
      <c r="AC57" s="28">
        <f>'תמהיל יצור'!$AL14*$G$6*10</f>
        <v>8509.4500665648011</v>
      </c>
      <c r="AD57" s="28">
        <f t="shared" si="38"/>
        <v>11476.881379818096</v>
      </c>
      <c r="AE57" s="29">
        <f t="shared" si="31"/>
        <v>7455.1632981433622</v>
      </c>
    </row>
    <row r="58" spans="1:31">
      <c r="A58" s="100">
        <f t="shared" si="32"/>
        <v>2031</v>
      </c>
      <c r="B58" s="59">
        <f>'תמהיל יצור'!$H15*10*$E$6</f>
        <v>2362.094758132801</v>
      </c>
      <c r="C58" s="28">
        <f>'תמהיל יצור'!$I15*$G$6*10</f>
        <v>9077.1117259512139</v>
      </c>
      <c r="D58" s="28">
        <f t="shared" si="33"/>
        <v>11439.206484084014</v>
      </c>
      <c r="E58" s="29">
        <f t="shared" si="23"/>
        <v>7144.8946194960254</v>
      </c>
      <c r="F58" s="59">
        <f>'תמהיל יצור'!$L15*$E$6*10</f>
        <v>1666.409315669031</v>
      </c>
      <c r="G58" s="28">
        <f>'תמהיל יצור'!$M15*$G$6*10</f>
        <v>9960.2369770904043</v>
      </c>
      <c r="H58" s="28">
        <f t="shared" si="34"/>
        <v>11626.646292759435</v>
      </c>
      <c r="I58" s="29">
        <f t="shared" si="25"/>
        <v>7261.9689709685454</v>
      </c>
      <c r="J58" s="59">
        <f>('תמהיל יצור'!Q15+'תמהיל יצור'!P15)*$E$6*10</f>
        <v>84.638556532852803</v>
      </c>
      <c r="K58" s="28">
        <f>'תמהיל יצור'!$R15*$F$6*10</f>
        <v>1970.9645229371654</v>
      </c>
      <c r="L58" s="28">
        <f>'תמהיל יצור'!$S15*$G$6*10</f>
        <v>10275.872707239352</v>
      </c>
      <c r="M58" s="28">
        <f t="shared" si="35"/>
        <v>12331.47578670937</v>
      </c>
      <c r="N58" s="29">
        <f t="shared" si="27"/>
        <v>7702.2033933466855</v>
      </c>
      <c r="O58" s="59">
        <f>('תמהיל יצור'!$W15+'תמהיל יצור'!$V15)*$E$6*10</f>
        <v>68.401772218387165</v>
      </c>
      <c r="P58" s="28">
        <f>'תמהיל יצור'!X15*$G$6*10</f>
        <v>9447.4456488095711</v>
      </c>
      <c r="Q58" s="28">
        <f>'תמהיל יצור'!Y15*$H$6*10</f>
        <v>1953.348635847884</v>
      </c>
      <c r="R58" s="28">
        <f>'תמהיל יצור'!Z15*$I$6*10</f>
        <v>339.33185845035314</v>
      </c>
      <c r="S58" s="28">
        <f t="shared" si="36"/>
        <v>11808.527915326194</v>
      </c>
      <c r="T58" s="29">
        <f t="shared" si="28"/>
        <v>7375.5716957965788</v>
      </c>
      <c r="U58" s="59">
        <f>'תמהיל יצור'!$AC15*$E$6*10</f>
        <v>0</v>
      </c>
      <c r="V58" s="28">
        <f>'תמהיל יצור'!AD15*$G$6*10</f>
        <v>9534.2770363613872</v>
      </c>
      <c r="W58" s="28">
        <f>'תמהיל יצור'!AE15*$H$6*10</f>
        <v>1953.348635847884</v>
      </c>
      <c r="X58" s="28">
        <f>'תמהיל יצור'!AF15*$I$6*10</f>
        <v>339.33185845035314</v>
      </c>
      <c r="Y58" s="28">
        <f t="shared" si="37"/>
        <v>11826.957530659623</v>
      </c>
      <c r="Z58" s="29">
        <f t="shared" si="29"/>
        <v>7387.0827791587335</v>
      </c>
      <c r="AA58" s="59">
        <f>'תמהיל יצור'!$AI15*($J$6)*10</f>
        <v>1336.1495915190389</v>
      </c>
      <c r="AB58" s="28">
        <f>'תמהיל יצור'!$AK15*$E$6*10</f>
        <v>1666.409315669031</v>
      </c>
      <c r="AC58" s="28">
        <f>'תמהיל יצור'!$AL15*$G$6*10</f>
        <v>8796.3208305345652</v>
      </c>
      <c r="AD58" s="28">
        <f t="shared" si="38"/>
        <v>11798.879737722635</v>
      </c>
      <c r="AE58" s="29">
        <f t="shared" si="31"/>
        <v>7369.5454725315703</v>
      </c>
    </row>
    <row r="59" spans="1:31">
      <c r="A59" s="100">
        <f t="shared" si="32"/>
        <v>2032</v>
      </c>
      <c r="B59" s="59">
        <f>'תמהיל יצור'!$H16*10*$E$6</f>
        <v>2362.094758132801</v>
      </c>
      <c r="C59" s="28">
        <f>'תמהיל יצור'!$I16*$G$6*10</f>
        <v>9403.1537365051663</v>
      </c>
      <c r="D59" s="28">
        <f t="shared" si="33"/>
        <v>11765.248494637966</v>
      </c>
      <c r="E59" s="29">
        <f t="shared" si="23"/>
        <v>7065.9033628145926</v>
      </c>
      <c r="F59" s="59">
        <f>'תמהיל יצור'!$L16*$E$6*10</f>
        <v>1666.409315669031</v>
      </c>
      <c r="G59" s="28">
        <f>'תמהיל יצור'!$M16*$G$6*10</f>
        <v>10286.27898764436</v>
      </c>
      <c r="H59" s="28">
        <f t="shared" si="34"/>
        <v>11952.688303313391</v>
      </c>
      <c r="I59" s="29">
        <f t="shared" si="25"/>
        <v>7178.474854615095</v>
      </c>
      <c r="J59" s="59">
        <f>('תמהיל יצור'!Q16+'תמהיל יצור'!P16)*$E$6*10</f>
        <v>84.638556532852803</v>
      </c>
      <c r="K59" s="28">
        <f>'תמהיל יצור'!$R16*$F$6*10</f>
        <v>1970.9645229371654</v>
      </c>
      <c r="L59" s="28">
        <f>'תמהיל יצור'!$S16*$G$6*10</f>
        <v>10601.914717793308</v>
      </c>
      <c r="M59" s="28">
        <f t="shared" si="35"/>
        <v>12657.517797263326</v>
      </c>
      <c r="N59" s="29">
        <f t="shared" si="27"/>
        <v>7601.7771838248445</v>
      </c>
      <c r="O59" s="59">
        <f>('תמהיל יצור'!$W16+'תמהיל יצור'!$V16)*$E$6*10</f>
        <v>68.401772218387165</v>
      </c>
      <c r="P59" s="28">
        <f>'תמהיל יצור'!X16*$G$6*10</f>
        <v>9773.4876593635254</v>
      </c>
      <c r="Q59" s="28">
        <f>'תמהיל יצור'!Y16*$H$6*10</f>
        <v>1953.348635847884</v>
      </c>
      <c r="R59" s="28">
        <f>'תמהיל יצור'!Z16*$I$6*10</f>
        <v>339.33185845035314</v>
      </c>
      <c r="S59" s="28">
        <f t="shared" si="36"/>
        <v>12134.569925880151</v>
      </c>
      <c r="T59" s="29">
        <f t="shared" si="28"/>
        <v>7287.7082438728185</v>
      </c>
      <c r="U59" s="59">
        <f>'תמהיל יצור'!$AC16*$E$6*10</f>
        <v>0</v>
      </c>
      <c r="V59" s="28">
        <f>'תמהיל יצור'!AD16*$G$6*10</f>
        <v>9860.3190469153415</v>
      </c>
      <c r="W59" s="28">
        <f>'תמהיל יצור'!AE16*$H$6*10</f>
        <v>1953.348635847884</v>
      </c>
      <c r="X59" s="28">
        <f>'תמהיל יצור'!AF16*$I$6*10</f>
        <v>339.33185845035314</v>
      </c>
      <c r="Y59" s="28">
        <f t="shared" si="37"/>
        <v>12152.99954121358</v>
      </c>
      <c r="Z59" s="29">
        <f t="shared" si="29"/>
        <v>7298.7765932595066</v>
      </c>
      <c r="AA59" s="59">
        <f>'תמהיל יצור'!$AI16*($J$6)*10</f>
        <v>1372.2256304900525</v>
      </c>
      <c r="AB59" s="28">
        <f>'תמהיל יצור'!$AK16*$E$6*10</f>
        <v>1666.409315669031</v>
      </c>
      <c r="AC59" s="28">
        <f>'תמהיל יצור'!$AL16*$G$6*10</f>
        <v>9090.9371051315102</v>
      </c>
      <c r="AD59" s="28">
        <f t="shared" si="38"/>
        <v>12129.572051290594</v>
      </c>
      <c r="AE59" s="29">
        <f t="shared" si="31"/>
        <v>7284.7066499085795</v>
      </c>
    </row>
    <row r="60" spans="1:31">
      <c r="A60" s="100">
        <f t="shared" si="32"/>
        <v>2033</v>
      </c>
      <c r="B60" s="59">
        <f>'תמהיל יצור'!$H17*10*$E$6</f>
        <v>2362.094758132801</v>
      </c>
      <c r="C60" s="28">
        <f>'תמהיל יצור'!$I17*$G$6*10</f>
        <v>9737.9988813440759</v>
      </c>
      <c r="D60" s="28">
        <f t="shared" si="33"/>
        <v>12100.093639476876</v>
      </c>
      <c r="E60" s="29">
        <f t="shared" si="23"/>
        <v>6987.5025766085146</v>
      </c>
      <c r="F60" s="59">
        <f>'תמהיל יצור'!$L17*$E$6*10</f>
        <v>1666.409315669031</v>
      </c>
      <c r="G60" s="28">
        <f>'תמהיל יצור'!$M17*$G$6*10</f>
        <v>10621.12413248327</v>
      </c>
      <c r="H60" s="28">
        <f t="shared" si="34"/>
        <v>12287.5334481523</v>
      </c>
      <c r="I60" s="29">
        <f t="shared" si="25"/>
        <v>7095.7443956474581</v>
      </c>
      <c r="J60" s="59">
        <f>('תמהיל יצור'!Q17+'תמהיל יצור'!P17)*$E$6*10</f>
        <v>84.638556532852803</v>
      </c>
      <c r="K60" s="28">
        <f>'תמהיל יצור'!$R17*$F$6*10</f>
        <v>1970.9645229371654</v>
      </c>
      <c r="L60" s="28">
        <f>'תמהיל יצור'!$S17*$G$6*10</f>
        <v>10936.759862632218</v>
      </c>
      <c r="M60" s="28">
        <f t="shared" si="35"/>
        <v>12992.362942102236</v>
      </c>
      <c r="N60" s="29">
        <f t="shared" si="27"/>
        <v>7502.765866041449</v>
      </c>
      <c r="O60" s="59">
        <f>('תמהיל יצור'!$W17+'תמהיל יצור'!$V17)*$E$6*10</f>
        <v>68.401772218387165</v>
      </c>
      <c r="P60" s="28">
        <f>'תמהיל יצור'!X17*$G$6*10</f>
        <v>10108.332804202435</v>
      </c>
      <c r="Q60" s="28">
        <f>'תמהיל יצור'!Y17*$H$6*10</f>
        <v>1953.348635847884</v>
      </c>
      <c r="R60" s="28">
        <f>'תמהיל יצור'!Z17*$I$6*10</f>
        <v>339.33185845035314</v>
      </c>
      <c r="S60" s="28">
        <f t="shared" si="36"/>
        <v>12469.41507071906</v>
      </c>
      <c r="T60" s="29">
        <f t="shared" si="28"/>
        <v>7200.776500702962</v>
      </c>
      <c r="U60" s="59">
        <f>'תמהיל יצור'!$AC17*$E$6*10</f>
        <v>0</v>
      </c>
      <c r="V60" s="28">
        <f>'תמהיל יצור'!AD17*$G$6*10</f>
        <v>10195.164191754251</v>
      </c>
      <c r="W60" s="28">
        <f>'תמהיל יצור'!AE17*$H$6*10</f>
        <v>1953.348635847884</v>
      </c>
      <c r="X60" s="28">
        <f>'תמהיל יצור'!AF17*$I$6*10</f>
        <v>339.33185845035314</v>
      </c>
      <c r="Y60" s="28">
        <f t="shared" si="37"/>
        <v>12487.844686052489</v>
      </c>
      <c r="Z60" s="29">
        <f t="shared" si="29"/>
        <v>7211.4191443440086</v>
      </c>
      <c r="AA60" s="59">
        <f>'תמהיל יצור'!$AI17*($J$6)*10</f>
        <v>1409.2757225132841</v>
      </c>
      <c r="AB60" s="28">
        <f>'תמהיל יצור'!$AK17*$E$6*10</f>
        <v>1666.409315669031</v>
      </c>
      <c r="AC60" s="28">
        <f>'תמהיל יצור'!$AL17*$G$6*10</f>
        <v>9393.5080191425732</v>
      </c>
      <c r="AD60" s="28">
        <f t="shared" si="38"/>
        <v>12469.193057324888</v>
      </c>
      <c r="AE60" s="29">
        <f t="shared" si="31"/>
        <v>7200.6482934997757</v>
      </c>
    </row>
    <row r="61" spans="1:31">
      <c r="A61" s="100">
        <f t="shared" si="32"/>
        <v>2034</v>
      </c>
      <c r="B61" s="59">
        <f>'תמהיל יצור'!$H18*10*$E$6</f>
        <v>2362.094758132801</v>
      </c>
      <c r="C61" s="28">
        <f>'תמהיל יצור'!$I18*$G$6*10</f>
        <v>10081.884845093637</v>
      </c>
      <c r="D61" s="28">
        <f t="shared" si="33"/>
        <v>12443.979603226438</v>
      </c>
      <c r="E61" s="29">
        <f t="shared" si="23"/>
        <v>6909.7001461596628</v>
      </c>
      <c r="F61" s="59">
        <f>'תמהיל יצור'!$L18*$E$6*10</f>
        <v>1666.409315669031</v>
      </c>
      <c r="G61" s="28">
        <f>'תמהיל יצור'!$M18*$G$6*10</f>
        <v>10965.010096232829</v>
      </c>
      <c r="H61" s="28">
        <f t="shared" si="34"/>
        <v>12631.419411901859</v>
      </c>
      <c r="I61" s="29">
        <f t="shared" si="25"/>
        <v>7013.7788183124921</v>
      </c>
      <c r="J61" s="59">
        <f>('תמהיל יצור'!Q18+'תמהיל יצור'!P18)*$E$6*10</f>
        <v>84.638556532852803</v>
      </c>
      <c r="K61" s="28">
        <f>'תמהיל יצור'!$R18*$F$6*10</f>
        <v>1970.9645229371654</v>
      </c>
      <c r="L61" s="28">
        <f>'תמהיל יצור'!$S18*$G$6*10</f>
        <v>11280.645826381779</v>
      </c>
      <c r="M61" s="28">
        <f t="shared" si="35"/>
        <v>13336.248905851797</v>
      </c>
      <c r="N61" s="29">
        <f t="shared" si="27"/>
        <v>7405.1456167682527</v>
      </c>
      <c r="O61" s="59">
        <f>('תמהיל יצור'!$W18+'תמהיל יצור'!$V18)*$E$6*10</f>
        <v>68.401772218387165</v>
      </c>
      <c r="P61" s="28">
        <f>'תמהיל יצור'!X18*$G$6*10</f>
        <v>10452.218767951996</v>
      </c>
      <c r="Q61" s="28">
        <f>'תמהיל יצור'!Y18*$H$6*10</f>
        <v>1953.348635847884</v>
      </c>
      <c r="R61" s="28">
        <f>'תמהיל יצור'!Z18*$I$6*10</f>
        <v>339.33185845035314</v>
      </c>
      <c r="S61" s="28">
        <f t="shared" si="36"/>
        <v>12813.301034468619</v>
      </c>
      <c r="T61" s="29">
        <f t="shared" si="28"/>
        <v>7114.7712270197071</v>
      </c>
      <c r="U61" s="59">
        <f>'תמהיל יצור'!$AC18*$E$6*10</f>
        <v>0</v>
      </c>
      <c r="V61" s="28">
        <f>'תמהיל יצור'!AD18*$G$6*10</f>
        <v>10539.050155503812</v>
      </c>
      <c r="W61" s="28">
        <f>'תמהיל יצור'!AE18*$H$6*10</f>
        <v>1953.348635847884</v>
      </c>
      <c r="X61" s="28">
        <f>'תמהיל יצור'!AF18*$I$6*10</f>
        <v>339.33185845035314</v>
      </c>
      <c r="Y61" s="28">
        <f t="shared" si="37"/>
        <v>12831.730649802048</v>
      </c>
      <c r="Z61" s="29">
        <f t="shared" si="29"/>
        <v>7125.0045382130211</v>
      </c>
      <c r="AA61" s="59">
        <f>'תמהיל יצור'!$AI18*($J$6)*10</f>
        <v>1447.3261670211423</v>
      </c>
      <c r="AB61" s="28">
        <f>'תמהיל יצור'!$AK18*$E$6*10</f>
        <v>1666.409315669031</v>
      </c>
      <c r="AC61" s="28">
        <f>'תמהיל יצור'!$AL18*$G$6*10</f>
        <v>9704.2483478319355</v>
      </c>
      <c r="AD61" s="28">
        <f t="shared" si="38"/>
        <v>12817.983830522109</v>
      </c>
      <c r="AE61" s="29">
        <f t="shared" si="31"/>
        <v>7117.3714174416564</v>
      </c>
    </row>
    <row r="62" spans="1:31">
      <c r="A62" s="100">
        <f t="shared" si="32"/>
        <v>2035</v>
      </c>
      <c r="B62" s="59">
        <f>'תמהיל יצור'!$H19*10*$E$6</f>
        <v>2362.094758132801</v>
      </c>
      <c r="C62" s="28">
        <f>'תמהיל יצור'!$I19*$G$6*10</f>
        <v>10435.055729864434</v>
      </c>
      <c r="D62" s="28">
        <f t="shared" si="33"/>
        <v>12797.150487997234</v>
      </c>
      <c r="E62" s="29">
        <f t="shared" si="23"/>
        <v>6832.5032710237738</v>
      </c>
      <c r="F62" s="59">
        <f>'תמהיל יצור'!$L19*$E$6*10</f>
        <v>1666.409315669031</v>
      </c>
      <c r="G62" s="28">
        <f>'תמהיל יצור'!$M19*$G$6*10</f>
        <v>11318.180981003627</v>
      </c>
      <c r="H62" s="28">
        <f t="shared" si="34"/>
        <v>12984.590296672657</v>
      </c>
      <c r="I62" s="29">
        <f t="shared" si="25"/>
        <v>6932.5789173245721</v>
      </c>
      <c r="J62" s="59">
        <f>('תמהיל יצור'!Q19+'תמהיל יצור'!P19)*$E$6*10</f>
        <v>84.638556532852803</v>
      </c>
      <c r="K62" s="28">
        <f>'תמהיל יצור'!$R19*$F$6*10</f>
        <v>1970.9645229371654</v>
      </c>
      <c r="L62" s="28">
        <f>'תמהיל יצור'!$S19*$G$6*10</f>
        <v>11633.816711152576</v>
      </c>
      <c r="M62" s="28">
        <f t="shared" si="35"/>
        <v>13689.419790622595</v>
      </c>
      <c r="N62" s="29">
        <f t="shared" si="27"/>
        <v>7308.893146608958</v>
      </c>
      <c r="O62" s="59">
        <f>('תמהיל יצור'!$W19+'תמהיל יצור'!$V19)*$E$6*10</f>
        <v>68.401772218387165</v>
      </c>
      <c r="P62" s="28">
        <f>'תמהיל יצור'!X19*$G$6*10</f>
        <v>10805.389652722795</v>
      </c>
      <c r="Q62" s="28">
        <f>'תמהיל יצור'!Y19*$H$6*10</f>
        <v>1953.348635847884</v>
      </c>
      <c r="R62" s="28">
        <f>'תמהיל יצור'!Z19*$I$6*10</f>
        <v>339.33185845035314</v>
      </c>
      <c r="S62" s="28">
        <f t="shared" si="36"/>
        <v>13166.471919239419</v>
      </c>
      <c r="T62" s="29">
        <f t="shared" si="28"/>
        <v>7029.6870026199722</v>
      </c>
      <c r="U62" s="59">
        <f>'תמהיל יצור'!$AC19*$E$6*10</f>
        <v>0</v>
      </c>
      <c r="V62" s="28">
        <f>'תמהיל יצור'!AD19*$G$6*10</f>
        <v>10892.22104027461</v>
      </c>
      <c r="W62" s="28">
        <f>'תמהיל יצור'!AE19*$H$6*10</f>
        <v>1953.348635847884</v>
      </c>
      <c r="X62" s="28">
        <f>'תמהיל יצור'!AF19*$I$6*10</f>
        <v>339.33185845035314</v>
      </c>
      <c r="Y62" s="28">
        <f t="shared" si="37"/>
        <v>13184.901534572848</v>
      </c>
      <c r="Z62" s="29">
        <f t="shared" si="29"/>
        <v>7039.5267249212357</v>
      </c>
      <c r="AA62" s="59">
        <f>'תמהיל יצור'!$AI19*($J$6)*10</f>
        <v>1486.4039735307128</v>
      </c>
      <c r="AB62" s="28">
        <f>'תמהיל יצור'!$AK19*$E$6*10</f>
        <v>1666.409315669031</v>
      </c>
      <c r="AC62" s="28">
        <f>'תמהיל יצור'!$AL19*$G$6*10</f>
        <v>10023.378665395911</v>
      </c>
      <c r="AD62" s="28">
        <f t="shared" si="38"/>
        <v>13176.191954595655</v>
      </c>
      <c r="AE62" s="29">
        <f t="shared" si="31"/>
        <v>7034.8766089646224</v>
      </c>
    </row>
    <row r="63" spans="1:31">
      <c r="A63" s="100">
        <f t="shared" si="32"/>
        <v>2036</v>
      </c>
      <c r="B63" s="59">
        <f>'תמהיל יצור'!$H20*10*$E$6</f>
        <v>2362.094758132801</v>
      </c>
      <c r="C63" s="28">
        <f>'תמהיל יצור'!$I20*$G$6*10</f>
        <v>10797.762228524045</v>
      </c>
      <c r="D63" s="28">
        <f t="shared" si="33"/>
        <v>13159.856986656847</v>
      </c>
      <c r="E63" s="29">
        <f t="shared" si="23"/>
        <v>6755.9184961851215</v>
      </c>
      <c r="F63" s="59">
        <f>'תמהיל יצור'!$L20*$E$6*10</f>
        <v>1666.409315669031</v>
      </c>
      <c r="G63" s="28">
        <f>'תמהיל יצור'!$M20*$G$6*10</f>
        <v>11680.887479663237</v>
      </c>
      <c r="H63" s="28">
        <f t="shared" si="34"/>
        <v>13347.296795332268</v>
      </c>
      <c r="I63" s="29">
        <f t="shared" si="25"/>
        <v>6852.1450791666575</v>
      </c>
      <c r="J63" s="59">
        <f>('תמהיל יצור'!Q20+'תמהיל יצור'!P20)*$E$6*10</f>
        <v>84.638556532852803</v>
      </c>
      <c r="K63" s="28">
        <f>'תמהיל יצור'!$R20*$F$6*10</f>
        <v>1970.9645229371654</v>
      </c>
      <c r="L63" s="28">
        <f>'תמהיל יצור'!$S20*$G$6*10</f>
        <v>11996.523209812187</v>
      </c>
      <c r="M63" s="28">
        <f t="shared" si="35"/>
        <v>14052.126289282205</v>
      </c>
      <c r="N63" s="29">
        <f t="shared" si="27"/>
        <v>7213.9856842477975</v>
      </c>
      <c r="O63" s="59">
        <f>('תמהיל יצור'!$W20+'תמהיל יצור'!$V20)*$E$6*10</f>
        <v>68.401772218387165</v>
      </c>
      <c r="P63" s="28">
        <f>'תמהיל יצור'!X20*$G$6*10</f>
        <v>11168.096151382406</v>
      </c>
      <c r="Q63" s="28">
        <f>'תמהיל יצור'!Y20*$H$6*10</f>
        <v>1953.348635847884</v>
      </c>
      <c r="R63" s="28">
        <f>'תמהיל יצור'!Z20*$I$6*10</f>
        <v>339.33185845035314</v>
      </c>
      <c r="S63" s="28">
        <f t="shared" si="36"/>
        <v>13529.178417899031</v>
      </c>
      <c r="T63" s="29">
        <f t="shared" si="28"/>
        <v>6945.5182381045433</v>
      </c>
      <c r="U63" s="59">
        <f>'תמהיל יצור'!$AC20*$E$6*10</f>
        <v>0</v>
      </c>
      <c r="V63" s="28">
        <f>'תמהיל יצור'!AD20*$G$6*10</f>
        <v>11254.927538934222</v>
      </c>
      <c r="W63" s="28">
        <f>'תמהיל יצור'!AE20*$H$6*10</f>
        <v>1953.348635847884</v>
      </c>
      <c r="X63" s="28">
        <f>'תמהיל יצור'!AF20*$I$6*10</f>
        <v>339.33185845035314</v>
      </c>
      <c r="Y63" s="28">
        <f t="shared" si="37"/>
        <v>13547.60803323246</v>
      </c>
      <c r="Z63" s="29">
        <f t="shared" si="29"/>
        <v>6954.9795095480649</v>
      </c>
      <c r="AA63" s="59">
        <f>'תמהיל יצור'!$AI20*($J$6)*10</f>
        <v>1526.5368808160424</v>
      </c>
      <c r="AB63" s="28">
        <f>'תמהיל יצור'!$AK20*$E$6*10</f>
        <v>1666.409315669031</v>
      </c>
      <c r="AC63" s="28">
        <f>'תמהיל יצור'!$AL20*$G$6*10</f>
        <v>10351.125501534114</v>
      </c>
      <c r="AD63" s="28">
        <f t="shared" si="38"/>
        <v>13544.071698019186</v>
      </c>
      <c r="AE63" s="29">
        <f t="shared" si="31"/>
        <v>6953.1640496612072</v>
      </c>
    </row>
    <row r="64" spans="1:31">
      <c r="A64" s="100">
        <f t="shared" si="32"/>
        <v>2037</v>
      </c>
      <c r="B64" s="59">
        <f>'תמהיל יצור'!$H21*10*$E$6</f>
        <v>2362.094758132801</v>
      </c>
      <c r="C64" s="28">
        <f>'תמהיל יצור'!$I21*$G$6*10</f>
        <v>11170.261802647467</v>
      </c>
      <c r="D64" s="28">
        <f t="shared" si="33"/>
        <v>13532.356560780267</v>
      </c>
      <c r="E64" s="29">
        <f t="shared" si="23"/>
        <v>6679.9517419531376</v>
      </c>
      <c r="F64" s="59">
        <f>'תמהיל יצור'!$L21*$E$6*10</f>
        <v>1666.409315669031</v>
      </c>
      <c r="G64" s="28">
        <f>'תמהיל יצור'!$M21*$G$6*10</f>
        <v>12053.387053786661</v>
      </c>
      <c r="H64" s="28">
        <f t="shared" si="34"/>
        <v>13719.796369455691</v>
      </c>
      <c r="I64" s="29">
        <f t="shared" si="25"/>
        <v>6772.4773025123077</v>
      </c>
      <c r="J64" s="59">
        <f>('תמהיל יצור'!Q21+'תמהיל יצור'!P21)*$E$6*10</f>
        <v>84.638556532852803</v>
      </c>
      <c r="K64" s="28">
        <f>'תמהיל יצור'!$R21*$F$6*10</f>
        <v>1970.9645229371654</v>
      </c>
      <c r="L64" s="28">
        <f>'תמהיל יצור'!$S21*$G$6*10</f>
        <v>12369.022783935608</v>
      </c>
      <c r="M64" s="28">
        <f t="shared" si="35"/>
        <v>14424.625863405627</v>
      </c>
      <c r="N64" s="29">
        <f t="shared" si="27"/>
        <v>7120.4009612441723</v>
      </c>
      <c r="O64" s="59">
        <f>('תמהיל יצור'!$W21+'תמהיל יצור'!$V21)*$E$6*10</f>
        <v>68.401772218387165</v>
      </c>
      <c r="P64" s="28">
        <f>'תמהיל יצור'!X21*$G$6*10</f>
        <v>11540.595725505826</v>
      </c>
      <c r="Q64" s="28">
        <f>'תמהיל יצור'!Y21*$H$6*10</f>
        <v>1953.348635847884</v>
      </c>
      <c r="R64" s="28">
        <f>'תמהיל יצור'!Z21*$I$6*10</f>
        <v>339.33185845035314</v>
      </c>
      <c r="S64" s="28">
        <f t="shared" si="36"/>
        <v>13901.677992022451</v>
      </c>
      <c r="T64" s="29">
        <f t="shared" si="28"/>
        <v>6862.2591861064275</v>
      </c>
      <c r="U64" s="59">
        <f>'תמהיל יצור'!$AC21*$E$6*10</f>
        <v>0</v>
      </c>
      <c r="V64" s="28">
        <f>'תמהיל יצור'!AD21*$G$6*10</f>
        <v>11627.427113057642</v>
      </c>
      <c r="W64" s="28">
        <f>'תמהיל יצור'!AE21*$H$6*10</f>
        <v>1953.348635847884</v>
      </c>
      <c r="X64" s="28">
        <f>'תמהיל יצור'!AF21*$I$6*10</f>
        <v>339.33185845035314</v>
      </c>
      <c r="Y64" s="28">
        <f t="shared" si="37"/>
        <v>13920.10760735588</v>
      </c>
      <c r="Z64" s="29">
        <f t="shared" si="29"/>
        <v>6871.3565624944295</v>
      </c>
      <c r="AA64" s="59">
        <f>'תמהיל יצור'!$AI21*($J$6)*10</f>
        <v>1567.753376598075</v>
      </c>
      <c r="AB64" s="28">
        <f>'תמהיל יצור'!$AK21*$E$6*10</f>
        <v>1666.409315669031</v>
      </c>
      <c r="AC64" s="28">
        <f>'תמהיל יצור'!$AL21*$G$6*10</f>
        <v>10687.721502248045</v>
      </c>
      <c r="AD64" s="28">
        <f t="shared" si="38"/>
        <v>13921.884194515151</v>
      </c>
      <c r="AE64" s="29">
        <f t="shared" si="31"/>
        <v>6872.2335358756727</v>
      </c>
    </row>
    <row r="65" spans="1:31">
      <c r="A65" s="100">
        <f t="shared" si="32"/>
        <v>2038</v>
      </c>
      <c r="B65" s="59">
        <f>'תמהיל יצור'!$H22*10*$E$6</f>
        <v>2362.094758132801</v>
      </c>
      <c r="C65" s="28">
        <f>'תמהיל יצור'!$I22*$G$6*10</f>
        <v>11552.81886527222</v>
      </c>
      <c r="D65" s="28">
        <f t="shared" si="33"/>
        <v>13914.91362340502</v>
      </c>
      <c r="E65" s="29">
        <f t="shared" si="23"/>
        <v>6604.6083326501957</v>
      </c>
      <c r="F65" s="59">
        <f>'תמהיל יצור'!$L22*$E$6*10</f>
        <v>1666.409315669031</v>
      </c>
      <c r="G65" s="28">
        <f>'תמהיל יצור'!$M22*$G$6*10</f>
        <v>12435.944116411412</v>
      </c>
      <c r="H65" s="28">
        <f t="shared" si="34"/>
        <v>14102.353432080443</v>
      </c>
      <c r="I65" s="29">
        <f t="shared" si="25"/>
        <v>6693.5752178032435</v>
      </c>
      <c r="J65" s="59">
        <f>('תמהיל יצור'!Q22+'תמהיל יצור'!P22)*$E$6*10</f>
        <v>84.638556532852803</v>
      </c>
      <c r="K65" s="28">
        <f>'תמהיל יצור'!$R22*$F$6*10</f>
        <v>1970.9645229371654</v>
      </c>
      <c r="L65" s="28">
        <f>'תמהיל יצור'!$S22*$G$6*10</f>
        <v>12751.579846560362</v>
      </c>
      <c r="M65" s="28">
        <f t="shared" si="35"/>
        <v>14807.18292603038</v>
      </c>
      <c r="N65" s="29">
        <f t="shared" si="27"/>
        <v>7028.1171973531145</v>
      </c>
      <c r="O65" s="59">
        <f>('תמהיל יצור'!$W22+'תמהיל יצור'!$V22)*$E$6*10</f>
        <v>68.401772218387165</v>
      </c>
      <c r="P65" s="28">
        <f>'תמהיל יצור'!X22*$G$6*10</f>
        <v>11923.152788130581</v>
      </c>
      <c r="Q65" s="28">
        <f>'תמהיל יצור'!Y22*$H$6*10</f>
        <v>1953.348635847884</v>
      </c>
      <c r="R65" s="28">
        <f>'תמהיל יצור'!Z22*$I$6*10</f>
        <v>339.33185845035314</v>
      </c>
      <c r="S65" s="28">
        <f t="shared" si="36"/>
        <v>14284.235054647204</v>
      </c>
      <c r="T65" s="29">
        <f t="shared" si="28"/>
        <v>6779.9039520283595</v>
      </c>
      <c r="U65" s="59">
        <f>'תמהיל יצור'!$AC22*$E$6*10</f>
        <v>0</v>
      </c>
      <c r="V65" s="28">
        <f>'תמהיל יצור'!AD22*$G$6*10</f>
        <v>12009.984175682395</v>
      </c>
      <c r="W65" s="28">
        <f>'תמהיל יצור'!AE22*$H$6*10</f>
        <v>1953.348635847884</v>
      </c>
      <c r="X65" s="28">
        <f>'תמהיל יצור'!AF22*$I$6*10</f>
        <v>339.33185845035314</v>
      </c>
      <c r="Y65" s="28">
        <f t="shared" si="37"/>
        <v>14302.664669980633</v>
      </c>
      <c r="Z65" s="29">
        <f t="shared" si="29"/>
        <v>6788.6514293245145</v>
      </c>
      <c r="AA65" s="59">
        <f>'תמהיל יצור'!$AI22*($J$6)*10</f>
        <v>1610.0827177662234</v>
      </c>
      <c r="AB65" s="28">
        <f>'תמהיל יצור'!$AK22*$E$6*10</f>
        <v>1666.409315669031</v>
      </c>
      <c r="AC65" s="28">
        <f>'תמהיל יצור'!$AL22*$G$6*10</f>
        <v>11033.405594981259</v>
      </c>
      <c r="AD65" s="28">
        <f t="shared" si="38"/>
        <v>14309.897628416515</v>
      </c>
      <c r="AE65" s="29">
        <f t="shared" si="31"/>
        <v>6792.0844982495701</v>
      </c>
    </row>
    <row r="66" spans="1:31">
      <c r="A66" s="100">
        <f t="shared" si="32"/>
        <v>2039</v>
      </c>
      <c r="B66" s="59">
        <f>'תמהיל יצור'!$H23*10*$E$6</f>
        <v>2362.094758132801</v>
      </c>
      <c r="C66" s="28">
        <f>'תמהיל יצור'!$I23*$G$6*10</f>
        <v>11945.704968587841</v>
      </c>
      <c r="D66" s="28">
        <f t="shared" si="33"/>
        <v>14307.799726720641</v>
      </c>
      <c r="E66" s="29">
        <f t="shared" si="23"/>
        <v>6529.8930241377147</v>
      </c>
      <c r="F66" s="59">
        <f>'תמהיל יצור'!$L23*$E$6*10</f>
        <v>1666.409315669031</v>
      </c>
      <c r="G66" s="28">
        <f>'תמהיל יצור'!$M23*$G$6*10</f>
        <v>12828.830219727033</v>
      </c>
      <c r="H66" s="28">
        <f t="shared" si="34"/>
        <v>14495.239535396064</v>
      </c>
      <c r="I66" s="29">
        <f t="shared" si="25"/>
        <v>6615.4381060156447</v>
      </c>
      <c r="J66" s="59">
        <f>('תמהיל יצור'!Q23+'תמהיל יצור'!P23)*$E$6*10</f>
        <v>84.638556532852803</v>
      </c>
      <c r="K66" s="28">
        <f>'תמהיל יצור'!$R23*$F$6*10</f>
        <v>1970.9645229371654</v>
      </c>
      <c r="L66" s="28">
        <f>'תמהיל יצור'!$S23*$G$6*10</f>
        <v>13144.465949875983</v>
      </c>
      <c r="M66" s="28">
        <f t="shared" si="35"/>
        <v>15200.069029346001</v>
      </c>
      <c r="N66" s="29">
        <f t="shared" si="27"/>
        <v>6937.1130863520593</v>
      </c>
      <c r="O66" s="59">
        <f>('תמהיל יצור'!$W23+'תמהיל יצור'!$V23)*$E$6*10</f>
        <v>68.401772218387165</v>
      </c>
      <c r="P66" s="28">
        <f>'תמהיל יצור'!X23*$G$6*10</f>
        <v>12316.038891446202</v>
      </c>
      <c r="Q66" s="28">
        <f>'תמהיל יצור'!Y23*$H$6*10</f>
        <v>1953.348635847884</v>
      </c>
      <c r="R66" s="28">
        <f>'תמהיל יצור'!Z23*$I$6*10</f>
        <v>339.33185845035314</v>
      </c>
      <c r="S66" s="28">
        <f t="shared" si="36"/>
        <v>14677.121157962825</v>
      </c>
      <c r="T66" s="29">
        <f t="shared" si="28"/>
        <v>6698.4465043090249</v>
      </c>
      <c r="U66" s="59">
        <f>'תמהיל יצור'!$AC23*$E$6*10</f>
        <v>0</v>
      </c>
      <c r="V66" s="28">
        <f>'תמהיל יצור'!AD23*$G$6*10</f>
        <v>12402.870278998016</v>
      </c>
      <c r="W66" s="28">
        <f>'תמהיל יצור'!AE23*$H$6*10</f>
        <v>1953.348635847884</v>
      </c>
      <c r="X66" s="28">
        <f>'תמהיל יצור'!AF23*$I$6*10</f>
        <v>339.33185845035314</v>
      </c>
      <c r="Y66" s="28">
        <f t="shared" si="37"/>
        <v>14695.550773296254</v>
      </c>
      <c r="Z66" s="29">
        <f t="shared" si="29"/>
        <v>6706.8575401707139</v>
      </c>
      <c r="AA66" s="59">
        <f>'תמהיל יצור'!$AI23*($J$6)*10</f>
        <v>1653.5549511459114</v>
      </c>
      <c r="AB66" s="28">
        <f>'תמהיל יצור'!$AK23*$E$6*10</f>
        <v>1666.409315669031</v>
      </c>
      <c r="AC66" s="28">
        <f>'תמהיל יצור'!$AL23*$G$6*10</f>
        <v>11388.423158218266</v>
      </c>
      <c r="AD66" s="28">
        <f t="shared" si="38"/>
        <v>14708.387425033208</v>
      </c>
      <c r="AE66" s="29">
        <f t="shared" si="31"/>
        <v>6712.7160204563916</v>
      </c>
    </row>
    <row r="67" spans="1:31">
      <c r="A67" s="100">
        <f t="shared" si="32"/>
        <v>2040</v>
      </c>
      <c r="B67" s="59">
        <f>'תמהיל יצור'!$H24*10*$E$6</f>
        <v>1563.1509428820009</v>
      </c>
      <c r="C67" s="28">
        <f>'תמהיל יצור'!$I24*$G$6*10</f>
        <v>13363.403713972537</v>
      </c>
      <c r="D67" s="28">
        <f t="shared" ref="D67:D72" si="39">SUM(B67:C67)</f>
        <v>14926.554656854538</v>
      </c>
      <c r="E67" s="29">
        <f t="shared" ref="E67:E72" si="40">+D67/(1+$L$4)^($A67-$A$46)</f>
        <v>6550.2737472581885</v>
      </c>
      <c r="F67" s="59">
        <f>'תמהיל יצור'!$L24*$E$6*10</f>
        <v>1102.7708706633293</v>
      </c>
      <c r="G67" s="28">
        <f>'תמהיל יצור'!$M24*$G$6*10</f>
        <v>13947.824836049946</v>
      </c>
      <c r="H67" s="28">
        <f t="shared" ref="H67:H72" si="41">SUM(F67:G67)</f>
        <v>15050.595706713275</v>
      </c>
      <c r="I67" s="29">
        <f t="shared" ref="I67:I72" si="42">+H67/(1+$L$4)^($A67-$A$46)</f>
        <v>6604.7071279780257</v>
      </c>
      <c r="J67" s="59">
        <f>('תמהיל יצור'!Q24+'תמהיל יצור'!P24)*$E$6*10</f>
        <v>56.010809470270246</v>
      </c>
      <c r="K67" s="28">
        <f>'תמהיל יצור'!$R24*$F$6*10</f>
        <v>863.14947209077843</v>
      </c>
      <c r="L67" s="28">
        <f>'תמהיל יצור'!$S24*$G$6*10</f>
        <v>14535.495851234389</v>
      </c>
      <c r="M67" s="28">
        <f t="shared" ref="M67:M72" si="43">SUM(J67:L67)</f>
        <v>15454.656132795439</v>
      </c>
      <c r="N67" s="29">
        <f t="shared" ref="N67:N72" si="44">+M67/(1+$L$4)^($A67-$A$46)</f>
        <v>6782.0224202284408</v>
      </c>
      <c r="O67" s="59">
        <f>('תמהיל יצור'!$W24+'תמהיל יצור'!$V24)*$E$6*10</f>
        <v>68.401772218387165</v>
      </c>
      <c r="P67" s="28">
        <f>'תמהיל יצור'!X24*$G$6*10</f>
        <v>12719.532919551344</v>
      </c>
      <c r="Q67" s="28">
        <f>'תמהיל יצור'!Y24*$H$6*10</f>
        <v>1953.348635847884</v>
      </c>
      <c r="R67" s="28">
        <f>'תמהיל יצור'!Z24*$I$6*10</f>
        <v>339.33185845035314</v>
      </c>
      <c r="S67" s="28">
        <f t="shared" ref="S67:S72" si="45">SUM(O67:R67)</f>
        <v>15080.615186067967</v>
      </c>
      <c r="T67" s="29">
        <f t="shared" ref="T67:T72" si="46">+S67/(1+$L$4)^($A67-$A$46)</f>
        <v>6617.8806842369113</v>
      </c>
      <c r="U67" s="59">
        <f>'תמהיל יצור'!$AC24*$E$6*10</f>
        <v>0</v>
      </c>
      <c r="V67" s="28">
        <f>'תמהיל יצור'!AD24*$G$6*10</f>
        <v>12806.36430710316</v>
      </c>
      <c r="W67" s="28">
        <f>'תמהיל יצור'!AE24*$H$6*10</f>
        <v>1953.348635847884</v>
      </c>
      <c r="X67" s="28">
        <f>'תמהיל יצור'!AF24*$I$6*10</f>
        <v>339.33185845035314</v>
      </c>
      <c r="Y67" s="28">
        <f t="shared" ref="Y67:Y72" si="47">SUM(U67:X67)</f>
        <v>15099.044801401396</v>
      </c>
      <c r="Z67" s="29">
        <f t="shared" ref="Z67:Z72" si="48">+Y67/(1+$L$4)^($A67-$A$46)</f>
        <v>6625.9682187193039</v>
      </c>
      <c r="AA67" s="59">
        <f>'תמהיל יצור'!$AI24*($J$6)*10</f>
        <v>1698.2009348268505</v>
      </c>
      <c r="AB67" s="28">
        <f>'תמהיל יצור'!$AK24*$E$6*10</f>
        <v>1102.7708706633293</v>
      </c>
      <c r="AC67" s="28">
        <f>'תמהיל יצור'!$AL24*$G$6*10</f>
        <v>12468.526783880439</v>
      </c>
      <c r="AD67" s="28">
        <f t="shared" ref="AD67:AD72" si="49">SUM(AA67:AC67)</f>
        <v>15269.498589370618</v>
      </c>
      <c r="AE67" s="29">
        <f t="shared" ref="AE67:AE72" si="50">+AD67/(1+$L$4)^($A67-$A$46)</f>
        <v>6700.7690684882609</v>
      </c>
    </row>
    <row r="68" spans="1:31">
      <c r="A68" s="100">
        <f t="shared" si="32"/>
        <v>2041</v>
      </c>
      <c r="B68" s="59">
        <f>'תמהיל יצור'!$H25*10*$E$6</f>
        <v>1563.1509428820009</v>
      </c>
      <c r="C68" s="28">
        <f>'תמהיל יצור'!$I25*$G$6*10</f>
        <v>13777.792080836516</v>
      </c>
      <c r="D68" s="28">
        <f t="shared" si="39"/>
        <v>15340.943023718517</v>
      </c>
      <c r="E68" s="29">
        <f t="shared" si="40"/>
        <v>6473.1935451580139</v>
      </c>
      <c r="F68" s="59">
        <f>'תמהיל יצור'!$L25*$E$6*10</f>
        <v>1102.7708706633293</v>
      </c>
      <c r="G68" s="28">
        <f>'תמהיל יצור'!$M25*$G$6*10</f>
        <v>14362.213202913925</v>
      </c>
      <c r="H68" s="28">
        <f t="shared" si="41"/>
        <v>15464.984073577254</v>
      </c>
      <c r="I68" s="29">
        <f t="shared" si="42"/>
        <v>6525.5333343117045</v>
      </c>
      <c r="J68" s="59">
        <f>('תמהיל יצור'!Q25+'תמהיל יצור'!P25)*$E$6*10</f>
        <v>56.010809470270246</v>
      </c>
      <c r="K68" s="28">
        <f>'תמהיל יצור'!$R25*$F$6*10</f>
        <v>863.14947209077843</v>
      </c>
      <c r="L68" s="28">
        <f>'תמהיל יצור'!$S25*$G$6*10</f>
        <v>14949.884218098368</v>
      </c>
      <c r="M68" s="28">
        <f t="shared" si="43"/>
        <v>15869.044499659418</v>
      </c>
      <c r="N68" s="29">
        <f t="shared" si="44"/>
        <v>6696.0288076294109</v>
      </c>
      <c r="O68" s="59">
        <f>('תמהיל יצור'!$W25+'תמהיל יצור'!$V25)*$E$6*10</f>
        <v>45.265878673932683</v>
      </c>
      <c r="P68" s="28">
        <f>'תמהיל יצור'!X25*$G$6*10</f>
        <v>13163.290726322553</v>
      </c>
      <c r="Q68" s="28">
        <f>'תמהיל יצור'!Y25*$H$6*10</f>
        <v>1953.348635847884</v>
      </c>
      <c r="R68" s="28">
        <f>'תמהיל יצור'!Z25*$I$6*10</f>
        <v>339.33185845035314</v>
      </c>
      <c r="S68" s="28">
        <f t="shared" si="45"/>
        <v>15501.237099294722</v>
      </c>
      <c r="T68" s="29">
        <f t="shared" si="46"/>
        <v>6540.8304937955727</v>
      </c>
      <c r="U68" s="59">
        <f>'תמהיל יצור'!$AC25*$E$6*10</f>
        <v>0</v>
      </c>
      <c r="V68" s="28">
        <f>'תמהיל יצור'!AD25*$G$6*10</f>
        <v>13220.752673967141</v>
      </c>
      <c r="W68" s="28">
        <f>'תמהיל יצור'!AE25*$H$6*10</f>
        <v>1953.348635847884</v>
      </c>
      <c r="X68" s="28">
        <f>'תמהיל יצור'!AF25*$I$6*10</f>
        <v>339.33185845035314</v>
      </c>
      <c r="Y68" s="28">
        <f t="shared" si="47"/>
        <v>15513.433168265379</v>
      </c>
      <c r="Z68" s="29">
        <f t="shared" si="48"/>
        <v>6545.9766907937037</v>
      </c>
      <c r="AA68" s="59">
        <f>'תמהיל יצור'!$AI25*($J$6)*10</f>
        <v>1744.0523600671754</v>
      </c>
      <c r="AB68" s="28">
        <f>'תמהיל יצור'!$AK25*$E$6*10</f>
        <v>1102.7708706633293</v>
      </c>
      <c r="AC68" s="28">
        <f>'תמהיל יצור'!$AL25*$G$6*10</f>
        <v>12842.97410333584</v>
      </c>
      <c r="AD68" s="28">
        <f t="shared" si="49"/>
        <v>15689.797334066345</v>
      </c>
      <c r="AE68" s="29">
        <f t="shared" si="50"/>
        <v>6620.3945005655614</v>
      </c>
    </row>
    <row r="69" spans="1:31">
      <c r="A69" s="100">
        <f t="shared" si="32"/>
        <v>2042</v>
      </c>
      <c r="B69" s="59">
        <f>'תמהיל יצור'!$H26*10*$E$6</f>
        <v>1563.1509428820009</v>
      </c>
      <c r="C69" s="28">
        <f>'תמהיל יצור'!$I26*$G$6*10</f>
        <v>14203.368933605823</v>
      </c>
      <c r="D69" s="28">
        <f t="shared" si="39"/>
        <v>15766.519876487824</v>
      </c>
      <c r="E69" s="29">
        <f t="shared" si="40"/>
        <v>6396.8922986709949</v>
      </c>
      <c r="F69" s="59">
        <f>'תמהיל יצור'!$L26*$E$6*10</f>
        <v>1102.7708706633293</v>
      </c>
      <c r="G69" s="28">
        <f>'תמהיל יצור'!$M26*$G$6*10</f>
        <v>14787.790055683232</v>
      </c>
      <c r="H69" s="28">
        <f t="shared" si="41"/>
        <v>15890.560926346561</v>
      </c>
      <c r="I69" s="29">
        <f t="shared" si="42"/>
        <v>6447.2190190110814</v>
      </c>
      <c r="J69" s="59">
        <f>('תמהיל יצור'!Q26+'תמהיל יצור'!P26)*$E$6*10</f>
        <v>56.010809470270246</v>
      </c>
      <c r="K69" s="28">
        <f>'תמהיל יצור'!$R26*$F$6*10</f>
        <v>863.14947209077843</v>
      </c>
      <c r="L69" s="28">
        <f>'תמהיל יצור'!$S26*$G$6*10</f>
        <v>15375.461070867676</v>
      </c>
      <c r="M69" s="28">
        <f t="shared" si="43"/>
        <v>16294.621352428725</v>
      </c>
      <c r="N69" s="29">
        <f t="shared" si="44"/>
        <v>6611.1569741242611</v>
      </c>
      <c r="O69" s="59">
        <f>('תמהיל יצור'!$W26+'תמהיל יצור'!$V26)*$E$6*10</f>
        <v>45.265878673932683</v>
      </c>
      <c r="P69" s="28">
        <f>'תמהיל יצור'!X26*$G$6*10</f>
        <v>13588.867579091859</v>
      </c>
      <c r="Q69" s="28">
        <f>'תמהיל יצור'!Y26*$H$6*10</f>
        <v>1953.348635847884</v>
      </c>
      <c r="R69" s="28">
        <f>'תמהיל יצור'!Z26*$I$6*10</f>
        <v>339.33185845035314</v>
      </c>
      <c r="S69" s="28">
        <f t="shared" si="45"/>
        <v>15926.813952064029</v>
      </c>
      <c r="T69" s="29">
        <f t="shared" si="46"/>
        <v>6461.9278262071084</v>
      </c>
      <c r="U69" s="59">
        <f>'תמהיל יצור'!$AC26*$E$6*10</f>
        <v>0</v>
      </c>
      <c r="V69" s="28">
        <f>'תמהיל יצור'!AD26*$G$6*10</f>
        <v>13646.329526736446</v>
      </c>
      <c r="W69" s="28">
        <f>'תמהיל יצור'!AE26*$H$6*10</f>
        <v>1953.348635847884</v>
      </c>
      <c r="X69" s="28">
        <f>'תמהיל יצור'!AF26*$I$6*10</f>
        <v>339.33185845035314</v>
      </c>
      <c r="Y69" s="28">
        <f t="shared" si="47"/>
        <v>15939.010021034683</v>
      </c>
      <c r="Z69" s="29">
        <f t="shared" si="48"/>
        <v>6466.8760925514644</v>
      </c>
      <c r="AA69" s="59">
        <f>'תמהיל יצור'!$AI26*($J$6)*10</f>
        <v>1791.1417737889885</v>
      </c>
      <c r="AB69" s="28">
        <f>'תמהיל יצור'!$AK26*$E$6*10</f>
        <v>1102.7708706633293</v>
      </c>
      <c r="AC69" s="28">
        <f>'תמהיל יצור'!$AL26*$G$6*10</f>
        <v>13227.531500416542</v>
      </c>
      <c r="AD69" s="28">
        <f t="shared" si="49"/>
        <v>16121.444144868859</v>
      </c>
      <c r="AE69" s="29">
        <f t="shared" si="50"/>
        <v>6540.8944206867664</v>
      </c>
    </row>
    <row r="70" spans="1:31">
      <c r="A70" s="100">
        <f t="shared" si="32"/>
        <v>2043</v>
      </c>
      <c r="B70" s="59">
        <f>'תמהיל יצור'!$H27*10*$E$6</f>
        <v>1563.1509428820009</v>
      </c>
      <c r="C70" s="28">
        <f>'תמהיל יצור'!$I27*$G$6*10</f>
        <v>14640.436361399901</v>
      </c>
      <c r="D70" s="28">
        <f t="shared" si="39"/>
        <v>16203.587304281902</v>
      </c>
      <c r="E70" s="29">
        <f t="shared" si="40"/>
        <v>6321.3673688101599</v>
      </c>
      <c r="F70" s="59">
        <f>'תמהיל יצור'!$L27*$E$6*10</f>
        <v>1102.7708706633293</v>
      </c>
      <c r="G70" s="28">
        <f>'תמהיל יצור'!$M27*$G$6*10</f>
        <v>15224.85748347731</v>
      </c>
      <c r="H70" s="28">
        <f t="shared" si="41"/>
        <v>16327.628354140639</v>
      </c>
      <c r="I70" s="29">
        <f t="shared" si="42"/>
        <v>6369.7584460602429</v>
      </c>
      <c r="J70" s="59">
        <f>('תמהיל יצור'!Q27+'תמהיל יצור'!P27)*$E$6*10</f>
        <v>56.010809470270246</v>
      </c>
      <c r="K70" s="28">
        <f>'תמהיל יצור'!$R27*$F$6*10</f>
        <v>863.14947209077843</v>
      </c>
      <c r="L70" s="28">
        <f>'תמהיל יצור'!$S27*$G$6*10</f>
        <v>15812.528498661755</v>
      </c>
      <c r="M70" s="28">
        <f t="shared" si="43"/>
        <v>16731.688780222805</v>
      </c>
      <c r="N70" s="29">
        <f t="shared" si="44"/>
        <v>6527.3910952075312</v>
      </c>
      <c r="O70" s="59">
        <f>('תמהיל יצור'!$W27+'תמהיל יצור'!$V27)*$E$6*10</f>
        <v>45.265878673932683</v>
      </c>
      <c r="P70" s="28">
        <f>'תמהיל יצור'!X27*$G$6*10</f>
        <v>14025.93500688594</v>
      </c>
      <c r="Q70" s="28">
        <f>'תמהיל יצור'!Y27*$H$6*10</f>
        <v>1953.348635847884</v>
      </c>
      <c r="R70" s="28">
        <f>'תמהיל יצור'!Z27*$I$6*10</f>
        <v>339.33185845035314</v>
      </c>
      <c r="S70" s="28">
        <f t="shared" si="45"/>
        <v>16363.88137985811</v>
      </c>
      <c r="T70" s="29">
        <f t="shared" si="46"/>
        <v>6383.9015299025777</v>
      </c>
      <c r="U70" s="59">
        <f>'תמהיל יצור'!$AC27*$E$6*10</f>
        <v>0</v>
      </c>
      <c r="V70" s="28">
        <f>'תמהיל יצור'!AD27*$G$6*10</f>
        <v>14083.396954530526</v>
      </c>
      <c r="W70" s="28">
        <f>'תמהיל יצור'!AE27*$H$6*10</f>
        <v>1953.348635847884</v>
      </c>
      <c r="X70" s="28">
        <f>'תמהיל יצור'!AF27*$I$6*10</f>
        <v>339.33185845035314</v>
      </c>
      <c r="Y70" s="28">
        <f t="shared" si="47"/>
        <v>16376.077448828764</v>
      </c>
      <c r="Z70" s="29">
        <f t="shared" si="48"/>
        <v>6388.659478310612</v>
      </c>
      <c r="AA70" s="59">
        <f>'תמהיל יצור'!$AI27*($J$6)*10</f>
        <v>1839.5026016812908</v>
      </c>
      <c r="AB70" s="28">
        <f>'תמהיל יצור'!$AK27*$E$6*10</f>
        <v>1102.7708706633293</v>
      </c>
      <c r="AC70" s="28">
        <f>'תמהיל יצור'!$AL27*$G$6*10</f>
        <v>13622.471947218419</v>
      </c>
      <c r="AD70" s="28">
        <f t="shared" si="49"/>
        <v>16564.745419563038</v>
      </c>
      <c r="AE70" s="29">
        <f t="shared" si="50"/>
        <v>6462.2629052149805</v>
      </c>
    </row>
    <row r="71" spans="1:31">
      <c r="A71" s="100">
        <f t="shared" si="32"/>
        <v>2044</v>
      </c>
      <c r="B71" s="59">
        <f>'תמהיל יצור'!$H28*10*$E$6</f>
        <v>1563.1509428820009</v>
      </c>
      <c r="C71" s="28">
        <f>'תמהיל יצור'!$I28*$G$6*10</f>
        <v>15089.30460974442</v>
      </c>
      <c r="D71" s="28">
        <f t="shared" si="39"/>
        <v>16652.455552626423</v>
      </c>
      <c r="E71" s="29">
        <f t="shared" si="40"/>
        <v>6246.6158765774871</v>
      </c>
      <c r="F71" s="59">
        <f>'תמהיל יצור'!$L28*$E$6*10</f>
        <v>1102.7708706633293</v>
      </c>
      <c r="G71" s="28">
        <f>'תמהיל יצור'!$M28*$G$6*10</f>
        <v>15673.725731821829</v>
      </c>
      <c r="H71" s="28">
        <f t="shared" si="41"/>
        <v>16776.49660248516</v>
      </c>
      <c r="I71" s="29">
        <f t="shared" si="42"/>
        <v>6293.1457585487206</v>
      </c>
      <c r="J71" s="59">
        <f>('תמהיל יצור'!Q28+'תמהיל יצור'!P28)*$E$6*10</f>
        <v>56.010809470270246</v>
      </c>
      <c r="K71" s="28">
        <f>'תמהיל יצור'!$R28*$F$6*10</f>
        <v>863.14947209077843</v>
      </c>
      <c r="L71" s="28">
        <f>'תמהיל יצור'!$S28*$G$6*10</f>
        <v>16261.396747006274</v>
      </c>
      <c r="M71" s="28">
        <f t="shared" si="43"/>
        <v>17180.557028567324</v>
      </c>
      <c r="N71" s="29">
        <f t="shared" si="44"/>
        <v>6444.715613498036</v>
      </c>
      <c r="O71" s="59">
        <f>('תמהיל יצור'!$W28+'תמהיל יצור'!$V28)*$E$6*10</f>
        <v>45.265878673932683</v>
      </c>
      <c r="P71" s="28">
        <f>'תמהיל יצור'!X28*$G$6*10</f>
        <v>14474.803255230458</v>
      </c>
      <c r="Q71" s="28">
        <f>'תמהיל יצור'!Y28*$H$6*10</f>
        <v>1953.348635847884</v>
      </c>
      <c r="R71" s="28">
        <f>'תמהיל יצור'!Z28*$I$6*10</f>
        <v>339.33185845035314</v>
      </c>
      <c r="S71" s="28">
        <f t="shared" si="45"/>
        <v>16812.74962820263</v>
      </c>
      <c r="T71" s="29">
        <f t="shared" si="46"/>
        <v>6306.7448776278889</v>
      </c>
      <c r="U71" s="59">
        <f>'תמהיל יצור'!$AC28*$E$6*10</f>
        <v>0</v>
      </c>
      <c r="V71" s="28">
        <f>'תמהיל יצור'!AD28*$G$6*10</f>
        <v>14532.265202875044</v>
      </c>
      <c r="W71" s="28">
        <f>'תמהיל יצור'!AE28*$H$6*10</f>
        <v>1953.348635847884</v>
      </c>
      <c r="X71" s="28">
        <f>'תמהיל יצור'!AF28*$I$6*10</f>
        <v>339.33185845035314</v>
      </c>
      <c r="Y71" s="28">
        <f t="shared" si="47"/>
        <v>16824.945697173283</v>
      </c>
      <c r="Z71" s="29">
        <f t="shared" si="48"/>
        <v>6311.3198280202287</v>
      </c>
      <c r="AA71" s="59">
        <f>'תמהיל יצור'!$AI28*($J$6)*10</f>
        <v>1889.169171926686</v>
      </c>
      <c r="AB71" s="28">
        <f>'תמהיל יצור'!$AK28*$E$6*10</f>
        <v>1102.7708706633293</v>
      </c>
      <c r="AC71" s="28">
        <f>'תמהיל יצור'!$AL28*$G$6*10</f>
        <v>14028.075786083948</v>
      </c>
      <c r="AD71" s="28">
        <f t="shared" si="49"/>
        <v>17020.015828673964</v>
      </c>
      <c r="AE71" s="29">
        <f t="shared" si="50"/>
        <v>6384.4939119640248</v>
      </c>
    </row>
    <row r="72" spans="1:31">
      <c r="A72" s="100">
        <f t="shared" si="32"/>
        <v>2045</v>
      </c>
      <c r="B72" s="59">
        <f>'תמהיל יצור'!$H29*10*$E$6</f>
        <v>764.20712763120036</v>
      </c>
      <c r="C72" s="28">
        <f>'תמהיל יצור'!$I29*$G$6*10</f>
        <v>16564.497018073798</v>
      </c>
      <c r="D72" s="28">
        <f t="shared" si="39"/>
        <v>17328.704145705</v>
      </c>
      <c r="E72" s="29">
        <f t="shared" si="40"/>
        <v>6250.2770060979474</v>
      </c>
      <c r="F72" s="59">
        <f>'תמהיל יצור'!$L29*$E$6*10</f>
        <v>539.13242565762766</v>
      </c>
      <c r="G72" s="28">
        <f>'תמהיל יצור'!$M29*$G$6*10</f>
        <v>16850.214011089418</v>
      </c>
      <c r="H72" s="28">
        <f t="shared" si="41"/>
        <v>17389.346436747044</v>
      </c>
      <c r="I72" s="29">
        <f t="shared" si="42"/>
        <v>6272.1500275374146</v>
      </c>
      <c r="J72" s="59">
        <f>('תמהיל יצור'!Q29+'תמהיל יצור'!P29)*$E$6*10</f>
        <v>27.383062407687675</v>
      </c>
      <c r="K72" s="28">
        <f>'תמהיל יצור'!$R29*$F$6*10</f>
        <v>206.30337999601821</v>
      </c>
      <c r="L72" s="28">
        <f>'תמהיל יצור'!$S29*$G$6*10</f>
        <v>17322.708228273863</v>
      </c>
      <c r="M72" s="28">
        <f t="shared" si="43"/>
        <v>17556.394670677568</v>
      </c>
      <c r="N72" s="29">
        <f t="shared" si="44"/>
        <v>6332.4025268972127</v>
      </c>
      <c r="O72" s="59">
        <f>('תמהיל יצור'!$W29+'תמהיל יצור'!$V29)*$E$6*10</f>
        <v>45.265878673932683</v>
      </c>
      <c r="P72" s="28">
        <f>'תמהיל יצור'!X29*$G$6*10</f>
        <v>14935.790946280284</v>
      </c>
      <c r="Q72" s="28">
        <f>'תמהיל יצור'!Y29*$H$6*10</f>
        <v>1953.348635847884</v>
      </c>
      <c r="R72" s="28">
        <f>'תמהיל יצור'!Z29*$I$6*10</f>
        <v>339.33185845035314</v>
      </c>
      <c r="S72" s="28">
        <f t="shared" si="45"/>
        <v>17273.737319252454</v>
      </c>
      <c r="T72" s="29">
        <f t="shared" si="46"/>
        <v>6230.4510636278246</v>
      </c>
      <c r="U72" s="59">
        <f>'תמהיל יצור'!$AC29*$E$6*10</f>
        <v>0</v>
      </c>
      <c r="V72" s="28">
        <f>'תמהיל יצור'!AD29*$G$6*10</f>
        <v>14993.25289392487</v>
      </c>
      <c r="W72" s="28">
        <f>'תמהיל יצור'!AE29*$H$6*10</f>
        <v>1953.348635847884</v>
      </c>
      <c r="X72" s="28">
        <f>'תמהיל יצור'!AF29*$I$6*10</f>
        <v>339.33185845035314</v>
      </c>
      <c r="Y72" s="28">
        <f t="shared" si="47"/>
        <v>17285.933388223108</v>
      </c>
      <c r="Z72" s="29">
        <f t="shared" si="48"/>
        <v>6234.8500543896907</v>
      </c>
      <c r="AA72" s="59">
        <f>'תמהיל יצור'!$AI29*($J$6)*10</f>
        <v>1940.1767395687059</v>
      </c>
      <c r="AB72" s="28">
        <f>'תמהיל יצור'!$AK29*$E$6*10</f>
        <v>539.13242565762766</v>
      </c>
      <c r="AC72" s="28">
        <f>'תמהיל יצור'!$AL29*$G$6*10</f>
        <v>15160.131516816617</v>
      </c>
      <c r="AD72" s="28">
        <f t="shared" si="49"/>
        <v>17639.44068204295</v>
      </c>
      <c r="AE72" s="29">
        <f t="shared" si="50"/>
        <v>6362.3563290350285</v>
      </c>
    </row>
    <row r="73" spans="1:31" ht="16" thickBot="1">
      <c r="A73" s="185"/>
      <c r="B73" s="89"/>
      <c r="C73" s="64"/>
      <c r="D73" s="64"/>
      <c r="E73" s="61">
        <f>SUM(E47:E72)</f>
        <v>187423.28778708968</v>
      </c>
      <c r="F73" s="89"/>
      <c r="G73" s="64"/>
      <c r="H73" s="64"/>
      <c r="I73" s="61">
        <f>SUM(I47:I72)</f>
        <v>190244.54982790141</v>
      </c>
      <c r="J73" s="89"/>
      <c r="K73" s="64"/>
      <c r="L73" s="64"/>
      <c r="M73" s="64"/>
      <c r="N73" s="61">
        <f>SUM(N47:N72)</f>
        <v>198194.23369851892</v>
      </c>
      <c r="O73" s="89"/>
      <c r="P73" s="64"/>
      <c r="Q73" s="64"/>
      <c r="R73" s="64"/>
      <c r="S73" s="64"/>
      <c r="T73" s="61">
        <f>SUM(T47:T72)</f>
        <v>192535.40455745321</v>
      </c>
      <c r="U73" s="89"/>
      <c r="V73" s="64"/>
      <c r="W73" s="64"/>
      <c r="X73" s="64"/>
      <c r="Y73" s="64"/>
      <c r="Z73" s="61">
        <f>SUM(Z47:Z72)</f>
        <v>192722.33456479496</v>
      </c>
      <c r="AA73" s="89"/>
      <c r="AB73" s="64"/>
      <c r="AC73" s="64"/>
      <c r="AD73" s="64"/>
      <c r="AE73" s="61">
        <f>SUM(AE47:AE72)</f>
        <v>192470.59244250535</v>
      </c>
    </row>
    <row r="74" spans="1:31" ht="16" thickBot="1">
      <c r="A74" s="454" t="s">
        <v>236</v>
      </c>
      <c r="B74" s="330"/>
      <c r="C74" s="330"/>
      <c r="D74" s="330"/>
      <c r="E74" s="330">
        <f>MIN(E73-I73,0)</f>
        <v>-2821.2620408117364</v>
      </c>
      <c r="F74" s="330"/>
      <c r="G74" s="330"/>
      <c r="H74" s="330"/>
      <c r="I74" s="330"/>
      <c r="J74" s="330"/>
      <c r="K74" s="330"/>
      <c r="L74" s="330"/>
      <c r="M74" s="330"/>
      <c r="N74" s="330">
        <f>N73-I73</f>
        <v>7949.683870617504</v>
      </c>
      <c r="O74" s="330"/>
      <c r="P74" s="330"/>
      <c r="Q74" s="330"/>
      <c r="R74" s="330"/>
      <c r="S74" s="330"/>
      <c r="T74" s="330">
        <f>T73-I73</f>
        <v>2290.8547295517928</v>
      </c>
      <c r="U74" s="330"/>
      <c r="V74" s="330"/>
      <c r="W74" s="330"/>
      <c r="X74" s="330"/>
      <c r="Y74" s="330"/>
      <c r="Z74" s="330">
        <f>Z73-I73</f>
        <v>2477.7847368935472</v>
      </c>
      <c r="AA74" s="330"/>
      <c r="AB74" s="330"/>
      <c r="AC74" s="330"/>
      <c r="AD74" s="330"/>
      <c r="AE74" s="455">
        <f>AE73-I73</f>
        <v>2226.042614603939</v>
      </c>
    </row>
    <row r="75" spans="1:31" ht="16" thickBot="1"/>
    <row r="76" spans="1:31" ht="16" thickBot="1">
      <c r="A76" s="1121" t="s">
        <v>232</v>
      </c>
      <c r="B76" s="1122"/>
      <c r="C76" s="1122"/>
      <c r="D76" s="1122"/>
      <c r="E76" s="1122"/>
      <c r="F76" s="1122"/>
      <c r="G76" s="1122"/>
      <c r="H76" s="1122"/>
      <c r="I76" s="1122"/>
      <c r="J76" s="1122"/>
      <c r="K76" s="1122"/>
      <c r="L76" s="1122"/>
      <c r="M76" s="1122"/>
      <c r="N76" s="1122"/>
      <c r="O76" s="1122"/>
      <c r="P76" s="1122"/>
      <c r="Q76" s="1122"/>
      <c r="R76" s="1122"/>
      <c r="S76" s="1122"/>
      <c r="T76" s="1122"/>
      <c r="U76" s="1122"/>
      <c r="V76" s="1122"/>
      <c r="W76" s="1122"/>
      <c r="X76" s="1122"/>
      <c r="Y76" s="1122"/>
      <c r="Z76" s="1122"/>
      <c r="AA76" s="1122"/>
      <c r="AB76" s="1122"/>
      <c r="AC76" s="1122"/>
      <c r="AD76" s="1122"/>
      <c r="AE76" s="227"/>
    </row>
    <row r="77" spans="1:31" ht="16" thickBot="1">
      <c r="A77" s="264"/>
      <c r="B77" s="1115" t="s">
        <v>92</v>
      </c>
      <c r="C77" s="1116"/>
      <c r="D77" s="1116"/>
      <c r="E77" s="1117"/>
      <c r="F77" s="1115" t="s">
        <v>128</v>
      </c>
      <c r="G77" s="1116"/>
      <c r="H77" s="1116"/>
      <c r="I77" s="1117"/>
      <c r="J77" s="1115" t="s">
        <v>4</v>
      </c>
      <c r="K77" s="1116"/>
      <c r="L77" s="1116"/>
      <c r="M77" s="1116"/>
      <c r="N77" s="1117"/>
      <c r="O77" s="1115" t="s">
        <v>8</v>
      </c>
      <c r="P77" s="1116"/>
      <c r="Q77" s="1116"/>
      <c r="R77" s="1116"/>
      <c r="S77" s="1116"/>
      <c r="T77" s="1117"/>
      <c r="U77" s="1115" t="s">
        <v>5</v>
      </c>
      <c r="V77" s="1116"/>
      <c r="W77" s="1116"/>
      <c r="X77" s="1116"/>
      <c r="Y77" s="1116"/>
      <c r="Z77" s="1117"/>
      <c r="AA77" s="1123" t="s">
        <v>49</v>
      </c>
      <c r="AB77" s="1124"/>
      <c r="AC77" s="1124"/>
      <c r="AD77" s="1125"/>
      <c r="AE77" s="1126"/>
    </row>
    <row r="78" spans="1:31" s="110" customFormat="1" ht="49" thickBot="1">
      <c r="A78" s="710" t="s">
        <v>6</v>
      </c>
      <c r="B78" s="711" t="str">
        <f>B45</f>
        <v>פחם</v>
      </c>
      <c r="C78" s="711" t="str">
        <f t="shared" ref="C78:AE78" si="51">C45</f>
        <v>גז מתקנים קיימים</v>
      </c>
      <c r="D78" s="711" t="str">
        <f t="shared" si="51"/>
        <v>סה"כ</v>
      </c>
      <c r="E78" s="711" t="str">
        <f t="shared" si="51"/>
        <v>מהוון</v>
      </c>
      <c r="F78" s="711" t="str">
        <f t="shared" si="51"/>
        <v>פחם</v>
      </c>
      <c r="G78" s="711" t="str">
        <f t="shared" si="51"/>
        <v>גז מתקנים קיימים</v>
      </c>
      <c r="H78" s="711" t="str">
        <f t="shared" si="51"/>
        <v>סה"כ</v>
      </c>
      <c r="I78" s="711" t="str">
        <f t="shared" si="51"/>
        <v>מהוון</v>
      </c>
      <c r="J78" s="711" t="str">
        <f t="shared" si="51"/>
        <v>פחם</v>
      </c>
      <c r="K78" s="711" t="str">
        <f t="shared" si="51"/>
        <v>גז מוסב</v>
      </c>
      <c r="L78" s="711" t="str">
        <f t="shared" si="51"/>
        <v>גז מתקנים קיימים</v>
      </c>
      <c r="M78" s="711" t="str">
        <f t="shared" si="51"/>
        <v>סה"כ</v>
      </c>
      <c r="N78" s="711" t="str">
        <f t="shared" si="51"/>
        <v>מהוון</v>
      </c>
      <c r="O78" s="711" t="str">
        <f t="shared" si="51"/>
        <v>פחם</v>
      </c>
      <c r="P78" s="711" t="str">
        <f t="shared" si="51"/>
        <v>גז מתקנים קיימים</v>
      </c>
      <c r="Q78" s="711" t="str">
        <f t="shared" si="51"/>
        <v>מח״זמים חדשים</v>
      </c>
      <c r="R78" s="711" t="str">
        <f t="shared" si="51"/>
        <v>פיקרים חדשים</v>
      </c>
      <c r="S78" s="711" t="str">
        <f t="shared" si="51"/>
        <v>סה"כ</v>
      </c>
      <c r="T78" s="711" t="str">
        <f t="shared" si="51"/>
        <v>מהוון</v>
      </c>
      <c r="U78" s="711" t="str">
        <f t="shared" si="51"/>
        <v>פחם</v>
      </c>
      <c r="V78" s="711" t="str">
        <f t="shared" si="51"/>
        <v>גז מתקנים קיימים</v>
      </c>
      <c r="W78" s="711" t="str">
        <f t="shared" si="51"/>
        <v>מח״זמים חדשים</v>
      </c>
      <c r="X78" s="711" t="str">
        <f t="shared" si="51"/>
        <v>פיקרים חדשים</v>
      </c>
      <c r="Y78" s="711" t="str">
        <f t="shared" si="51"/>
        <v>סה"כ</v>
      </c>
      <c r="Z78" s="711" t="str">
        <f t="shared" si="51"/>
        <v>מהוון</v>
      </c>
      <c r="AA78" s="711" t="str">
        <f t="shared" si="51"/>
        <v>תוספת מתחדשות</v>
      </c>
      <c r="AB78" s="711" t="str">
        <f t="shared" si="51"/>
        <v>פחם</v>
      </c>
      <c r="AC78" s="711" t="str">
        <f>AC45</f>
        <v>גז</v>
      </c>
      <c r="AD78" s="711" t="str">
        <f t="shared" si="51"/>
        <v>סה"כ</v>
      </c>
      <c r="AE78" s="711" t="str">
        <f t="shared" si="51"/>
        <v>מהוון</v>
      </c>
    </row>
    <row r="79" spans="1:31">
      <c r="A79" s="100">
        <v>2019</v>
      </c>
      <c r="B79" s="59"/>
      <c r="C79" s="28"/>
      <c r="D79" s="28"/>
      <c r="E79" s="29"/>
      <c r="F79" s="59"/>
      <c r="G79" s="28"/>
      <c r="H79" s="28"/>
      <c r="I79" s="29"/>
      <c r="J79" s="59"/>
      <c r="K79" s="28"/>
      <c r="L79" s="28"/>
      <c r="M79" s="28"/>
      <c r="N79" s="29"/>
      <c r="O79" s="59"/>
      <c r="P79" s="28"/>
      <c r="Q79" s="28"/>
      <c r="R79" s="28"/>
      <c r="S79" s="28"/>
      <c r="T79" s="29"/>
      <c r="U79" s="59"/>
      <c r="V79" s="28"/>
      <c r="W79" s="28"/>
      <c r="X79" s="28"/>
      <c r="Y79" s="28"/>
      <c r="Z79" s="29"/>
      <c r="AA79" s="59"/>
      <c r="AB79" s="28"/>
      <c r="AC79" s="266"/>
      <c r="AD79" s="28"/>
      <c r="AE79" s="29"/>
    </row>
    <row r="80" spans="1:31">
      <c r="A80" s="100">
        <f>A79+1</f>
        <v>2020</v>
      </c>
      <c r="B80" s="59">
        <f>'תמהיל יצור'!$H4*10*$E$7</f>
        <v>3516.6210902231637</v>
      </c>
      <c r="C80" s="28">
        <f>'תמהיל יצור'!$I4*$G$7*10</f>
        <v>5446.9226411059608</v>
      </c>
      <c r="D80" s="28">
        <f t="shared" ref="D80" si="52">SUM(B80:C80)</f>
        <v>8963.5437313291241</v>
      </c>
      <c r="E80" s="29">
        <f t="shared" ref="E80:E99" si="53">+D80/(1+$L$4)^($A80-$A$79)</f>
        <v>8618.7920493549263</v>
      </c>
      <c r="F80" s="59">
        <f>'תמהיל יצור'!$L4*$E$7*10</f>
        <v>2480.9039198149721</v>
      </c>
      <c r="G80" s="28">
        <f>'תמהיל יצור'!$M4*$G$7*10</f>
        <v>6169.3177207297831</v>
      </c>
      <c r="H80" s="28">
        <f t="shared" ref="H80" si="54">SUM(F80:G80)</f>
        <v>8650.2216405447543</v>
      </c>
      <c r="I80" s="29">
        <f t="shared" ref="I80:I99" si="55">+H80/(1+$L$4)^($A80-$A$79)</f>
        <v>8317.5208082161098</v>
      </c>
      <c r="J80" s="59">
        <f>('תמהיל יצור'!Q4+'תמהיל יצור'!P4)*$E$7*10</f>
        <v>2480.9039198149721</v>
      </c>
      <c r="K80" s="28">
        <f>'תמהיל יצור'!$R4*$F$7*10</f>
        <v>0</v>
      </c>
      <c r="L80" s="28">
        <f>'תמהיל יצור'!$S4*$G$7*10</f>
        <v>6169.3177207297831</v>
      </c>
      <c r="M80" s="28">
        <f t="shared" ref="M80" si="56">SUM(J80:L80)</f>
        <v>8650.2216405447543</v>
      </c>
      <c r="N80" s="29">
        <f t="shared" ref="N80:N99" si="57">+M80/(1+$L$4)^($A80-$A$79)</f>
        <v>8317.5208082161098</v>
      </c>
      <c r="O80" s="59">
        <f>('תמהיל יצור'!$W4+'תמהיל יצור'!$V4)*$E$7*10</f>
        <v>2480.9039198149721</v>
      </c>
      <c r="P80" s="28">
        <f>'תמהיל יצור'!X4*$G$7*10</f>
        <v>6169.3177207297849</v>
      </c>
      <c r="Q80" s="28">
        <f>'תמהיל יצור'!Y4*$H$7*10</f>
        <v>0</v>
      </c>
      <c r="R80" s="28">
        <f>'תמהיל יצור'!Z4*$I$7*10</f>
        <v>0</v>
      </c>
      <c r="S80" s="28">
        <f>SUM(O80:R80)</f>
        <v>8650.221640544758</v>
      </c>
      <c r="T80" s="29">
        <f t="shared" ref="T80:T99" si="58">+S80/(1+$L$4)^($A80-$A$79)</f>
        <v>8317.5208082161134</v>
      </c>
      <c r="U80" s="59">
        <f>'תמהיל יצור'!$AC4*$E$7*10</f>
        <v>2480.9039198149721</v>
      </c>
      <c r="V80" s="28">
        <f>'תמהיל יצור'!AD4*$G$7*10</f>
        <v>6169.3177207297831</v>
      </c>
      <c r="W80" s="28">
        <f>'תמהיל יצור'!AE4*$H$7*10</f>
        <v>0</v>
      </c>
      <c r="X80" s="28">
        <f>'תמהיל יצור'!AF4*$I$7*10</f>
        <v>0</v>
      </c>
      <c r="Y80" s="28">
        <f>SUM(U80:X80)</f>
        <v>8650.2216405447543</v>
      </c>
      <c r="Z80" s="29">
        <f t="shared" ref="Z80:Z99" si="59">+Y80/(1+$L$4)^($A80-$A$79)</f>
        <v>8317.5208082161098</v>
      </c>
      <c r="AA80" s="59">
        <f>'תמהיל יצור'!$AI4*($J$7)*10</f>
        <v>0</v>
      </c>
      <c r="AB80" s="28">
        <f>'תמהיל יצור'!$AK4*$E$7*10</f>
        <v>2480.9039198149721</v>
      </c>
      <c r="AC80" s="28">
        <f>'תמהיל יצור'!$AL4*$G$7*10</f>
        <v>6169.3177207297849</v>
      </c>
      <c r="AD80" s="28">
        <f t="shared" ref="AD80" si="60">SUM(AA80:AC80)</f>
        <v>8650.221640544758</v>
      </c>
      <c r="AE80" s="29">
        <f t="shared" ref="AE80:AE99" si="61">+AD80/(1+$L$4)^($A80-$A$79)</f>
        <v>8317.5208082161134</v>
      </c>
    </row>
    <row r="81" spans="1:31">
      <c r="A81" s="100">
        <f t="shared" ref="A81:A105" si="62">A80+1</f>
        <v>2021</v>
      </c>
      <c r="B81" s="59">
        <f>'תמהיל יצור'!$H5*10*$E$7</f>
        <v>3516.6210902231637</v>
      </c>
      <c r="C81" s="28">
        <f>'תמהיל יצור'!$I5*$G$7*10</f>
        <v>5485.5778634646322</v>
      </c>
      <c r="D81" s="28">
        <f t="shared" ref="D81:D99" si="63">SUM(B81:C81)</f>
        <v>9002.1989536877954</v>
      </c>
      <c r="E81" s="29">
        <f t="shared" si="53"/>
        <v>8323.0389734539513</v>
      </c>
      <c r="F81" s="59">
        <f>'תמהיל יצור'!$L5*$E$7*10</f>
        <v>2480.9039198149721</v>
      </c>
      <c r="G81" s="28">
        <f>'תמהיל יצור'!$M5*$G$7*10</f>
        <v>6207.9729430884563</v>
      </c>
      <c r="H81" s="28">
        <f t="shared" ref="H81:H99" si="64">SUM(F81:G81)</f>
        <v>8688.8768629034275</v>
      </c>
      <c r="I81" s="29">
        <f t="shared" si="55"/>
        <v>8033.3550877435528</v>
      </c>
      <c r="J81" s="59">
        <f>('תמהיל יצור'!Q5+'תמהיל יצור'!P5)*$E$7*10</f>
        <v>2480.9039198149721</v>
      </c>
      <c r="K81" s="28">
        <f>'תמהיל יצור'!$R5*$F$7*10</f>
        <v>0</v>
      </c>
      <c r="L81" s="28">
        <f>'תמהיל יצור'!$S5*$G$7*10</f>
        <v>6207.9729430884563</v>
      </c>
      <c r="M81" s="28">
        <f t="shared" ref="M81:M99" si="65">SUM(J81:L81)</f>
        <v>8688.8768629034275</v>
      </c>
      <c r="N81" s="29">
        <f t="shared" si="57"/>
        <v>8033.3550877435528</v>
      </c>
      <c r="O81" s="59">
        <f>('תמהיל יצור'!$W5+'תמהיל יצור'!$V5)*$E$7*10</f>
        <v>2480.9039198149721</v>
      </c>
      <c r="P81" s="28">
        <f>'תמהיל יצור'!X5*$G$7*10</f>
        <v>6207.9729430884563</v>
      </c>
      <c r="Q81" s="28">
        <f>'תמהיל יצור'!Y5*$H$7*10</f>
        <v>0</v>
      </c>
      <c r="R81" s="28">
        <f>'תמהיל יצור'!Z5*$I$7*10</f>
        <v>0</v>
      </c>
      <c r="S81" s="28">
        <f t="shared" ref="S81:S99" si="66">SUM(O81:R81)</f>
        <v>8688.8768629034275</v>
      </c>
      <c r="T81" s="29">
        <f t="shared" si="58"/>
        <v>8033.3550877435528</v>
      </c>
      <c r="U81" s="59">
        <f>'תמהיל יצור'!$AC5*$E$7*10</f>
        <v>2480.9039198149721</v>
      </c>
      <c r="V81" s="28">
        <f>'תמהיל יצור'!AD5*$G$7*10</f>
        <v>6207.9729430884563</v>
      </c>
      <c r="W81" s="28">
        <f>'תמהיל יצור'!AE5*$H$7*10</f>
        <v>0</v>
      </c>
      <c r="X81" s="28">
        <f>'תמהיל יצור'!AF5*$I$7*10</f>
        <v>0</v>
      </c>
      <c r="Y81" s="28">
        <f t="shared" ref="Y81:Y99" si="67">SUM(U81:X81)</f>
        <v>8688.8768629034275</v>
      </c>
      <c r="Z81" s="29">
        <f t="shared" si="59"/>
        <v>8033.3550877435528</v>
      </c>
      <c r="AA81" s="59">
        <f>'תמהיל יצור'!$AI5*($J$7)*10</f>
        <v>0</v>
      </c>
      <c r="AB81" s="28">
        <f>'תמהיל יצור'!$AK5*$E$7*10</f>
        <v>2480.9039198149721</v>
      </c>
      <c r="AC81" s="28">
        <f>'תמהיל יצור'!$AL5*$G$7*10</f>
        <v>6207.9729430884563</v>
      </c>
      <c r="AD81" s="28">
        <f t="shared" ref="AD81:AD99" si="68">SUM(AA81:AC81)</f>
        <v>8688.8768629034275</v>
      </c>
      <c r="AE81" s="29">
        <f t="shared" si="61"/>
        <v>8033.3550877435528</v>
      </c>
    </row>
    <row r="82" spans="1:31">
      <c r="A82" s="100">
        <f t="shared" si="62"/>
        <v>2022</v>
      </c>
      <c r="B82" s="59">
        <f>'תמהיל יצור'!$H6*10*$E$7</f>
        <v>3516.6210902231637</v>
      </c>
      <c r="C82" s="28">
        <f>'תמהיל יצור'!$I6*$G$7*10</f>
        <v>5744.8226689909561</v>
      </c>
      <c r="D82" s="28">
        <f t="shared" si="63"/>
        <v>9261.4437592141203</v>
      </c>
      <c r="E82" s="29">
        <f t="shared" si="53"/>
        <v>8233.3897779768213</v>
      </c>
      <c r="F82" s="59">
        <f>'תמהיל יצור'!$L6*$E$7*10</f>
        <v>2480.9039198149721</v>
      </c>
      <c r="G82" s="28">
        <f>'תמהיל יצור'!$M6*$G$7*10</f>
        <v>6467.2177486147812</v>
      </c>
      <c r="H82" s="28">
        <f t="shared" si="64"/>
        <v>8948.1216684297542</v>
      </c>
      <c r="I82" s="29">
        <f t="shared" si="55"/>
        <v>7954.8475801783625</v>
      </c>
      <c r="J82" s="59">
        <f>('תמהיל יצור'!Q6+'תמהיל יצור'!P6)*$E$7*10</f>
        <v>1684.3948477703648</v>
      </c>
      <c r="K82" s="28">
        <f>'תמהיל יצור'!$R6*$F$7*10</f>
        <v>540.00486840741485</v>
      </c>
      <c r="L82" s="28">
        <f>'תמהיל יצור'!$S6*$G$7*10</f>
        <v>6554.5465621054082</v>
      </c>
      <c r="M82" s="28">
        <f t="shared" si="65"/>
        <v>8778.946278283187</v>
      </c>
      <c r="N82" s="29">
        <f t="shared" si="57"/>
        <v>7804.4512743613332</v>
      </c>
      <c r="O82" s="59">
        <f>('תמהיל יצור'!$W6+'תמהיל יצור'!$V6)*$E$7*10</f>
        <v>1641.7746528187313</v>
      </c>
      <c r="P82" s="28">
        <f>'תמהיל יצור'!X6*$G$7*10</f>
        <v>7052.4961151089137</v>
      </c>
      <c r="Q82" s="28">
        <f>'תמהיל יצור'!Y6*$H$7*10</f>
        <v>0</v>
      </c>
      <c r="R82" s="28">
        <f>'תמהיל יצור'!Z6*$I$7*10</f>
        <v>0</v>
      </c>
      <c r="S82" s="28">
        <f t="shared" si="66"/>
        <v>8694.2707679276446</v>
      </c>
      <c r="T82" s="29">
        <f t="shared" si="58"/>
        <v>7729.1750539866543</v>
      </c>
      <c r="U82" s="59">
        <f>'תמהיל יצור'!$AC6*$E$7*10</f>
        <v>1641.7746528187313</v>
      </c>
      <c r="V82" s="28">
        <f>'תמהיל יצור'!AD6*$G$7*10</f>
        <v>7052.4961151089137</v>
      </c>
      <c r="W82" s="28">
        <f>'תמהיל יצור'!AE6*$H$7*10</f>
        <v>0</v>
      </c>
      <c r="X82" s="28">
        <f>'תמהיל יצור'!AF6*$I$7*10</f>
        <v>0</v>
      </c>
      <c r="Y82" s="28">
        <f t="shared" si="67"/>
        <v>8694.2707679276446</v>
      </c>
      <c r="Z82" s="29">
        <f t="shared" si="59"/>
        <v>7729.1750539866543</v>
      </c>
      <c r="AA82" s="59">
        <f>'תמהיל יצור'!$AI6*($J$7)*10</f>
        <v>0</v>
      </c>
      <c r="AB82" s="28">
        <f>'תמהיל יצור'!$AK6*$E$7*10</f>
        <v>2480.9039198149721</v>
      </c>
      <c r="AC82" s="28">
        <f>'תמהיל יצור'!$AL6*$G$7*10</f>
        <v>6467.2177486147812</v>
      </c>
      <c r="AD82" s="28">
        <f t="shared" si="68"/>
        <v>8948.1216684297542</v>
      </c>
      <c r="AE82" s="29">
        <f t="shared" si="61"/>
        <v>7954.8475801783625</v>
      </c>
    </row>
    <row r="83" spans="1:31">
      <c r="A83" s="100">
        <f t="shared" si="62"/>
        <v>2023</v>
      </c>
      <c r="B83" s="59">
        <f>'תמהיל יצור'!$H7*10*$E$7</f>
        <v>3516.6210902231637</v>
      </c>
      <c r="C83" s="28">
        <f>'תמהיל יצור'!$I7*$G$7*10</f>
        <v>5917.3595789843112</v>
      </c>
      <c r="D83" s="28">
        <f t="shared" si="63"/>
        <v>9433.9806692074744</v>
      </c>
      <c r="E83" s="29">
        <f t="shared" si="53"/>
        <v>8064.2062141319657</v>
      </c>
      <c r="F83" s="59">
        <f>'תמהיל יצור'!$L7*$E$7*10</f>
        <v>2480.9039198149721</v>
      </c>
      <c r="G83" s="28">
        <f>'תמהיל יצור'!$M7*$G$7*10</f>
        <v>6639.7546586081344</v>
      </c>
      <c r="H83" s="28">
        <f t="shared" si="64"/>
        <v>9120.6585784231065</v>
      </c>
      <c r="I83" s="29">
        <f t="shared" si="55"/>
        <v>7796.3771777872917</v>
      </c>
      <c r="J83" s="59">
        <f>('תמהיל יצור'!Q7+'תמהיל יצור'!P7)*$E$7*10</f>
        <v>1684.3948477703648</v>
      </c>
      <c r="K83" s="28">
        <f>'תמהיל יצור'!$R7*$F$7*10</f>
        <v>540.00486840741485</v>
      </c>
      <c r="L83" s="28">
        <f>'תמהיל יצור'!$S7*$G$7*10</f>
        <v>6727.0834720987623</v>
      </c>
      <c r="M83" s="28">
        <f t="shared" si="65"/>
        <v>8951.4831882765429</v>
      </c>
      <c r="N83" s="29">
        <f t="shared" si="57"/>
        <v>7651.7653452709201</v>
      </c>
      <c r="O83" s="59">
        <f>('תמהיל יצור'!$W7+'תמהיל יצור'!$V7)*$E$7*10</f>
        <v>1641.7746528187313</v>
      </c>
      <c r="P83" s="28">
        <f>'תמהיל יצור'!X7*$G$7*10</f>
        <v>7225.0330251022669</v>
      </c>
      <c r="Q83" s="28">
        <f>'תמהיל יצור'!Y7*$H$7*10</f>
        <v>0</v>
      </c>
      <c r="R83" s="28">
        <f>'תמהיל יצור'!Z7*$I$7*10</f>
        <v>0</v>
      </c>
      <c r="S83" s="28">
        <f t="shared" si="66"/>
        <v>8866.8076779209987</v>
      </c>
      <c r="T83" s="29">
        <f t="shared" si="58"/>
        <v>7579.3843641414196</v>
      </c>
      <c r="U83" s="59">
        <f>'תמהיל יצור'!$AC7*$E$7*10</f>
        <v>1641.7746528187313</v>
      </c>
      <c r="V83" s="28">
        <f>'תמהיל יצור'!AD7*$G$7*10</f>
        <v>7225.0330251022669</v>
      </c>
      <c r="W83" s="28">
        <f>'תמהיל יצור'!AE7*$H$7*10</f>
        <v>0</v>
      </c>
      <c r="X83" s="28">
        <f>'תמהיל יצור'!AF7*$I$7*10</f>
        <v>0</v>
      </c>
      <c r="Y83" s="28">
        <f t="shared" si="67"/>
        <v>8866.8076779209987</v>
      </c>
      <c r="Z83" s="29">
        <f t="shared" si="59"/>
        <v>7579.3843641414196</v>
      </c>
      <c r="AA83" s="59">
        <f>'תמהיל יצור'!$AI7*($J$7)*10</f>
        <v>266.9691681887997</v>
      </c>
      <c r="AB83" s="28">
        <f>'תמהיל יצור'!$AK7*$E$7*10</f>
        <v>2480.9039198149721</v>
      </c>
      <c r="AC83" s="28">
        <f>'תמהיל יצור'!$AL7*$G$7*10</f>
        <v>6449.5241387765273</v>
      </c>
      <c r="AD83" s="28">
        <f t="shared" si="68"/>
        <v>9197.3972267803001</v>
      </c>
      <c r="AE83" s="29">
        <f t="shared" si="61"/>
        <v>7861.9736960169766</v>
      </c>
    </row>
    <row r="84" spans="1:31">
      <c r="A84" s="100">
        <f t="shared" si="62"/>
        <v>2024</v>
      </c>
      <c r="B84" s="59">
        <f>'תמהיל יצור'!$H8*10*$E$7</f>
        <v>3516.6210902231637</v>
      </c>
      <c r="C84" s="28">
        <f>'תמהיל יצור'!$I8*$G$7*10</f>
        <v>6190.7382270657617</v>
      </c>
      <c r="D84" s="28">
        <f t="shared" si="63"/>
        <v>9707.359317288925</v>
      </c>
      <c r="E84" s="29">
        <f t="shared" si="53"/>
        <v>7978.7417579327202</v>
      </c>
      <c r="F84" s="59">
        <f>'תמהיל יצור'!$L8*$E$7*10</f>
        <v>2480.9039198149721</v>
      </c>
      <c r="G84" s="28">
        <f>'תמהיל יצור'!$M8*$G$7*10</f>
        <v>6913.1333066895859</v>
      </c>
      <c r="H84" s="28">
        <f t="shared" si="64"/>
        <v>9394.0372265045589</v>
      </c>
      <c r="I84" s="29">
        <f t="shared" si="55"/>
        <v>7721.2138383705351</v>
      </c>
      <c r="J84" s="59">
        <f>('תמהיל יצור'!Q8+'תמהיל יצור'!P8)*$E$7*10</f>
        <v>887.88577572575832</v>
      </c>
      <c r="K84" s="28">
        <f>'תמהיל יצור'!$R8*$F$7*10</f>
        <v>1080.0097368148297</v>
      </c>
      <c r="L84" s="28">
        <f>'תמהיל יצור'!$S8*$G$7*10</f>
        <v>7087.7909336708408</v>
      </c>
      <c r="M84" s="28">
        <f t="shared" si="65"/>
        <v>9055.6864462114281</v>
      </c>
      <c r="N84" s="29">
        <f t="shared" si="57"/>
        <v>7443.1141604544337</v>
      </c>
      <c r="O84" s="59">
        <f>('תמהיל יצור'!$W8+'תמהיל יצור'!$V8)*$E$7*10</f>
        <v>837.08946174258676</v>
      </c>
      <c r="P84" s="28">
        <f>'תמהיל יצור'!X8*$G$7*10</f>
        <v>7366.7249562872348</v>
      </c>
      <c r="Q84" s="28">
        <f>'תמהיל יצור'!Y8*$H$7*10</f>
        <v>534.45459532022198</v>
      </c>
      <c r="R84" s="28">
        <f>'תמהיל יצור'!Z8*$I$7*10</f>
        <v>92.173668018574531</v>
      </c>
      <c r="S84" s="28">
        <f t="shared" si="66"/>
        <v>8830.4426813686187</v>
      </c>
      <c r="T84" s="29">
        <f t="shared" si="58"/>
        <v>7257.9802045015995</v>
      </c>
      <c r="U84" s="59">
        <f>'תמהיל יצור'!$AC8*$E$7*10</f>
        <v>802.64538582249088</v>
      </c>
      <c r="V84" s="28">
        <f>'תמהיל יצור'!AD8*$G$7*10</f>
        <v>7390.749112377126</v>
      </c>
      <c r="W84" s="28">
        <f>'תמהיל יצור'!AE8*$H$7*10</f>
        <v>534.45459532022198</v>
      </c>
      <c r="X84" s="28">
        <f>'תמהיל יצור'!AF8*$I$7*10</f>
        <v>92.173668018574531</v>
      </c>
      <c r="Y84" s="28">
        <f t="shared" si="67"/>
        <v>8820.0227615384138</v>
      </c>
      <c r="Z84" s="29">
        <f t="shared" si="59"/>
        <v>7249.4157899428947</v>
      </c>
      <c r="AA84" s="59">
        <f>'תמהיל יצור'!$AI8*($J$7)*10</f>
        <v>551.3773864367995</v>
      </c>
      <c r="AB84" s="28">
        <f>'תמהיל יצור'!$AK8*$E$7*10</f>
        <v>2480.9039198149721</v>
      </c>
      <c r="AC84" s="28">
        <f>'תמהיל יצור'!$AL8*$G$7*10</f>
        <v>6520.2459648408467</v>
      </c>
      <c r="AD84" s="28">
        <f t="shared" si="68"/>
        <v>9552.5272710926183</v>
      </c>
      <c r="AE84" s="29">
        <f t="shared" si="61"/>
        <v>7851.4811021689593</v>
      </c>
    </row>
    <row r="85" spans="1:31">
      <c r="A85" s="100">
        <f t="shared" si="62"/>
        <v>2025</v>
      </c>
      <c r="B85" s="59">
        <f>'תמהיל יצור'!$H9*10*$E$7</f>
        <v>3516.6210902231637</v>
      </c>
      <c r="C85" s="28">
        <f>'תמהיל יצור'!$I9*$G$7*10</f>
        <v>6371.527053088972</v>
      </c>
      <c r="D85" s="28">
        <f t="shared" si="63"/>
        <v>9888.1481433121353</v>
      </c>
      <c r="E85" s="29">
        <f t="shared" si="53"/>
        <v>7814.7471102311511</v>
      </c>
      <c r="F85" s="59">
        <f>'תמהיל יצור'!$L9*$E$7*10</f>
        <v>2480.9039198149721</v>
      </c>
      <c r="G85" s="28">
        <f>'תמהיל יצור'!$M9*$G$7*10</f>
        <v>7093.9221327127962</v>
      </c>
      <c r="H85" s="28">
        <f t="shared" si="64"/>
        <v>9574.8260525277692</v>
      </c>
      <c r="I85" s="29">
        <f t="shared" si="55"/>
        <v>7567.1241106521275</v>
      </c>
      <c r="J85" s="59">
        <f>('תמהיל יצור'!Q9+'תמהיל יצור'!P9)*$E$7*10</f>
        <v>887.88577572575832</v>
      </c>
      <c r="K85" s="28">
        <f>'תמהיל יצור'!$R9*$F$7*10</f>
        <v>1080.0097368148297</v>
      </c>
      <c r="L85" s="28">
        <f>'תמהיל יצור'!$S9*$G$7*10</f>
        <v>7268.5797596940529</v>
      </c>
      <c r="M85" s="28">
        <f t="shared" si="65"/>
        <v>9236.4752722346402</v>
      </c>
      <c r="N85" s="29">
        <f t="shared" si="57"/>
        <v>7299.720574194338</v>
      </c>
      <c r="O85" s="59">
        <f>('תמהיל יצור'!$W9+'תמהיל יצור'!$V9)*$E$7*10</f>
        <v>837.08946174258676</v>
      </c>
      <c r="P85" s="28">
        <f>'תמהיל יצור'!X9*$G$7*10</f>
        <v>7547.5137823104469</v>
      </c>
      <c r="Q85" s="28">
        <f>'תמהיל יצור'!Y9*$H$7*10</f>
        <v>534.45459532022198</v>
      </c>
      <c r="R85" s="28">
        <f>'תמהיל יצור'!Z9*$I$7*10</f>
        <v>92.173668018574531</v>
      </c>
      <c r="S85" s="28">
        <f t="shared" si="66"/>
        <v>9011.2315073918307</v>
      </c>
      <c r="T85" s="29">
        <f t="shared" si="58"/>
        <v>7121.7071550089204</v>
      </c>
      <c r="U85" s="59">
        <f>'תמהיל יצור'!$AC9*$E$7*10</f>
        <v>802.64538582249088</v>
      </c>
      <c r="V85" s="28">
        <f>'תמהיל יצור'!AD9*$G$7*10</f>
        <v>7571.5379384003372</v>
      </c>
      <c r="W85" s="28">
        <f>'תמהיל יצור'!AE9*$H$7*10</f>
        <v>534.45459532022198</v>
      </c>
      <c r="X85" s="28">
        <f>'תמהיל יצור'!AF9*$I$7*10</f>
        <v>92.173668018574531</v>
      </c>
      <c r="Y85" s="28">
        <f t="shared" si="67"/>
        <v>9000.811587561624</v>
      </c>
      <c r="Z85" s="29">
        <f t="shared" si="59"/>
        <v>7113.4721410101647</v>
      </c>
      <c r="AA85" s="59">
        <f>'תמהיל יצור'!$AI9*($J$7)*10</f>
        <v>711.72535711199941</v>
      </c>
      <c r="AB85" s="28">
        <f>'תמהיל יצור'!$AK9*$E$7*10</f>
        <v>2480.9039198149721</v>
      </c>
      <c r="AC85" s="28">
        <f>'תמהיל יצור'!$AL9*$G$7*10</f>
        <v>6586.7778599142084</v>
      </c>
      <c r="AD85" s="28">
        <f t="shared" si="68"/>
        <v>9779.4071368411805</v>
      </c>
      <c r="AE85" s="29">
        <f t="shared" si="61"/>
        <v>7728.8075132746399</v>
      </c>
    </row>
    <row r="86" spans="1:31">
      <c r="A86" s="100">
        <f t="shared" si="62"/>
        <v>2026</v>
      </c>
      <c r="B86" s="59">
        <f>'תמהיל יצור'!$H10*10*$E$7</f>
        <v>3516.6210902231637</v>
      </c>
      <c r="C86" s="28">
        <f>'תמהיל יצור'!$I10*$G$7*10</f>
        <v>6609.783432449748</v>
      </c>
      <c r="D86" s="28">
        <f t="shared" si="63"/>
        <v>10126.404522672912</v>
      </c>
      <c r="E86" s="29">
        <f t="shared" si="53"/>
        <v>7695.2351804690825</v>
      </c>
      <c r="F86" s="59">
        <f>'תמהיל יצור'!$L10*$E$7*10</f>
        <v>2480.9039198149721</v>
      </c>
      <c r="G86" s="28">
        <f>'תמהיל יצור'!$M10*$G$7*10</f>
        <v>7332.1785120735731</v>
      </c>
      <c r="H86" s="28">
        <f t="shared" si="64"/>
        <v>9813.0824318885461</v>
      </c>
      <c r="I86" s="29">
        <f t="shared" si="55"/>
        <v>7457.1361424123288</v>
      </c>
      <c r="J86" s="59">
        <f>('תמהיל יצור'!Q10+'תמהיל יצור'!P10)*$E$7*10</f>
        <v>126.0075329004823</v>
      </c>
      <c r="K86" s="28">
        <f>'תמהיל יצור'!$R10*$F$7*10</f>
        <v>1596.5361326827915</v>
      </c>
      <c r="L86" s="28">
        <f>'תמהיל יצור'!$S10*$G$7*10</f>
        <v>7590.3680476110812</v>
      </c>
      <c r="M86" s="28">
        <f t="shared" si="65"/>
        <v>9312.9117131943549</v>
      </c>
      <c r="N86" s="29">
        <f t="shared" si="57"/>
        <v>7077.0475036345342</v>
      </c>
      <c r="O86" s="59">
        <f>('תמהיל יצור'!$W10+'תמהיל יצור'!$V10)*$E$7*10</f>
        <v>68.88815184019164</v>
      </c>
      <c r="P86" s="28">
        <f>'תמהיל יצור'!X10*$G$7*10</f>
        <v>7628.6365592749962</v>
      </c>
      <c r="Q86" s="28">
        <f>'תמהיל יצור'!Y10*$H$7*10</f>
        <v>1068.909190640444</v>
      </c>
      <c r="R86" s="28">
        <f>'תמהיל יצור'!Z10*$I$7*10</f>
        <v>184.34733603714906</v>
      </c>
      <c r="S86" s="28">
        <f t="shared" si="66"/>
        <v>8950.7812377927821</v>
      </c>
      <c r="T86" s="29">
        <f t="shared" si="58"/>
        <v>6801.858104673548</v>
      </c>
      <c r="U86" s="59">
        <f>'תמהיל יצור'!$AC10*$E$7*10</f>
        <v>0</v>
      </c>
      <c r="V86" s="28">
        <f>'תמהיל יצור'!AD10*$G$7*10</f>
        <v>7676.6848714547777</v>
      </c>
      <c r="W86" s="28">
        <f>'תמהיל יצור'!AE10*$H$7*10</f>
        <v>1068.909190640444</v>
      </c>
      <c r="X86" s="28">
        <f>'תמהיל יצור'!AF10*$I$7*10</f>
        <v>184.34733603714906</v>
      </c>
      <c r="Y86" s="28">
        <f t="shared" si="67"/>
        <v>8929.9413981323723</v>
      </c>
      <c r="Z86" s="29">
        <f t="shared" si="59"/>
        <v>6786.0215392913278</v>
      </c>
      <c r="AA86" s="59">
        <f>'תמהיל יצור'!$AI10*($J$7)*10</f>
        <v>1023.3187184556333</v>
      </c>
      <c r="AB86" s="28">
        <f>'תמהיל יצור'!$AK10*$E$7*10</f>
        <v>2480.9039198149721</v>
      </c>
      <c r="AC86" s="28">
        <f>'תמהיל יצור'!$AL10*$G$7*10</f>
        <v>6603.0064766437627</v>
      </c>
      <c r="AD86" s="28">
        <f t="shared" si="68"/>
        <v>10107.229114914368</v>
      </c>
      <c r="AE86" s="29">
        <f t="shared" si="61"/>
        <v>7680.6634465379511</v>
      </c>
    </row>
    <row r="87" spans="1:31">
      <c r="A87" s="100">
        <f t="shared" si="62"/>
        <v>2027</v>
      </c>
      <c r="B87" s="59">
        <f>'תמהיל יצור'!$H11*10*$E$7</f>
        <v>3516.6210902231637</v>
      </c>
      <c r="C87" s="28">
        <f>'תמהיל יצור'!$I11*$G$7*10</f>
        <v>6747.4927797123482</v>
      </c>
      <c r="D87" s="28">
        <f t="shared" si="63"/>
        <v>10264.113869935512</v>
      </c>
      <c r="E87" s="29">
        <f t="shared" si="53"/>
        <v>7499.8874677868844</v>
      </c>
      <c r="F87" s="59">
        <f>'תמהיל יצור'!$L11*$E$7*10</f>
        <v>2480.9039198149721</v>
      </c>
      <c r="G87" s="28">
        <f>'תמהיל יצור'!$M11*$G$7*10</f>
        <v>7469.8878593361724</v>
      </c>
      <c r="H87" s="28">
        <f t="shared" si="64"/>
        <v>9950.7917791511445</v>
      </c>
      <c r="I87" s="29">
        <f t="shared" si="55"/>
        <v>7270.9460850400046</v>
      </c>
      <c r="J87" s="59">
        <f>('תמהיל יצור'!Q11+'תמהיל יצור'!P11)*$E$7*10</f>
        <v>126.0075329004823</v>
      </c>
      <c r="K87" s="28">
        <f>'תמהיל יצור'!$R11*$F$7*10</f>
        <v>1596.5361326827915</v>
      </c>
      <c r="L87" s="28">
        <f>'תמהיל יצור'!$S11*$G$7*10</f>
        <v>7728.0773948736814</v>
      </c>
      <c r="M87" s="28">
        <f t="shared" si="65"/>
        <v>9450.6210604569551</v>
      </c>
      <c r="N87" s="29">
        <f t="shared" si="57"/>
        <v>6905.4762400613581</v>
      </c>
      <c r="O87" s="59">
        <f>('תמהיל יצור'!$W11+'תמהיל יצור'!$V11)*$E$7*10</f>
        <v>68.88815184019164</v>
      </c>
      <c r="P87" s="28">
        <f>'תמהיל יצור'!X11*$G$7*10</f>
        <v>7766.3459065375955</v>
      </c>
      <c r="Q87" s="28">
        <f>'תמהיל יצור'!Y11*$H$7*10</f>
        <v>1068.909190640444</v>
      </c>
      <c r="R87" s="28">
        <f>'תמהיל יצור'!Z11*$I$7*10</f>
        <v>184.34733603714906</v>
      </c>
      <c r="S87" s="28">
        <f t="shared" si="66"/>
        <v>9088.4905850553805</v>
      </c>
      <c r="T87" s="29">
        <f t="shared" si="58"/>
        <v>6640.8710487527151</v>
      </c>
      <c r="U87" s="59">
        <f>'תמהיל יצור'!$AC11*$E$7*10</f>
        <v>0</v>
      </c>
      <c r="V87" s="28">
        <f>'תמהיל יצור'!AD11*$G$7*10</f>
        <v>7814.3942187173789</v>
      </c>
      <c r="W87" s="28">
        <f>'תמהיל יצור'!AE11*$H$7*10</f>
        <v>1068.909190640444</v>
      </c>
      <c r="X87" s="28">
        <f>'תמהיל יצור'!AF11*$I$7*10</f>
        <v>184.34733603714906</v>
      </c>
      <c r="Y87" s="28">
        <f t="shared" si="67"/>
        <v>9067.6507453949725</v>
      </c>
      <c r="Z87" s="29">
        <f t="shared" si="59"/>
        <v>6625.6435820390434</v>
      </c>
      <c r="AA87" s="59">
        <f>'תמהיל יצור'!$AI11*($J$7)*10</f>
        <v>1201.0837986902113</v>
      </c>
      <c r="AB87" s="28">
        <f>'תמהיל יצור'!$AK11*$E$7*10</f>
        <v>2480.9039198149721</v>
      </c>
      <c r="AC87" s="28">
        <f>'תמהיל יצור'!$AL11*$G$7*10</f>
        <v>6614.0482246088413</v>
      </c>
      <c r="AD87" s="28">
        <f t="shared" si="68"/>
        <v>10296.035943114024</v>
      </c>
      <c r="AE87" s="29">
        <f t="shared" si="61"/>
        <v>7523.2126139817792</v>
      </c>
    </row>
    <row r="88" spans="1:31">
      <c r="A88" s="100">
        <f t="shared" si="62"/>
        <v>2028</v>
      </c>
      <c r="B88" s="59">
        <f>'תמהיל יצור'!$H12*10*$E$7</f>
        <v>3516.6210902231637</v>
      </c>
      <c r="C88" s="28">
        <f>'תמהיל יצור'!$I12*$G$7*10</f>
        <v>6886.0318205838357</v>
      </c>
      <c r="D88" s="28">
        <f t="shared" si="63"/>
        <v>10402.652910806999</v>
      </c>
      <c r="E88" s="29">
        <f t="shared" si="53"/>
        <v>7308.7659499635083</v>
      </c>
      <c r="F88" s="59">
        <f>'תמהיל יצור'!$L12*$E$7*10</f>
        <v>2480.9039198149721</v>
      </c>
      <c r="G88" s="28">
        <f>'תמהיל יצור'!$M12*$G$7*10</f>
        <v>7608.4269002076599</v>
      </c>
      <c r="H88" s="28">
        <f t="shared" si="64"/>
        <v>10089.330820022631</v>
      </c>
      <c r="I88" s="29">
        <f t="shared" si="55"/>
        <v>7088.6300050145855</v>
      </c>
      <c r="J88" s="59">
        <f>('תמהיל יצור'!Q12+'תמהיל יצור'!P12)*$E$7*10</f>
        <v>126.0075329004823</v>
      </c>
      <c r="K88" s="28">
        <f>'תמהיל יצור'!$R12*$F$7*10</f>
        <v>1596.5361326827915</v>
      </c>
      <c r="L88" s="28">
        <f>'תמהיל יצור'!$S12*$G$7*10</f>
        <v>7866.6164357451689</v>
      </c>
      <c r="M88" s="28">
        <f t="shared" si="65"/>
        <v>9589.1601013284435</v>
      </c>
      <c r="N88" s="29">
        <f t="shared" si="57"/>
        <v>6737.2166925351185</v>
      </c>
      <c r="O88" s="59">
        <f>('תמהיל יצור'!$W12+'תמהיל יצור'!$V12)*$E$7*10</f>
        <v>101.83465924202244</v>
      </c>
      <c r="P88" s="28">
        <f>'תמהיל יצור'!X12*$G$7*10</f>
        <v>7188.9643925441178</v>
      </c>
      <c r="Q88" s="28">
        <f>'תמהיל יצור'!Y12*$H$7*10</f>
        <v>1603.3637859606663</v>
      </c>
      <c r="R88" s="28">
        <f>'תמהיל יצור'!Z12*$I$7*10</f>
        <v>276.52100405572361</v>
      </c>
      <c r="S88" s="28">
        <f t="shared" si="66"/>
        <v>9170.6838418025291</v>
      </c>
      <c r="T88" s="29">
        <f t="shared" si="58"/>
        <v>6443.2008234375671</v>
      </c>
      <c r="U88" s="59">
        <f>'תמהיל יצור'!$AC12*$E$7*10</f>
        <v>0</v>
      </c>
      <c r="V88" s="28">
        <f>'תמהיל יצור'!AD12*$G$7*10</f>
        <v>7259.9923322881432</v>
      </c>
      <c r="W88" s="28">
        <f>'תמהיל יצור'!AE12*$H$7*10</f>
        <v>1603.3637859606663</v>
      </c>
      <c r="X88" s="28">
        <f>'תמהיל יצור'!AF12*$I$7*10</f>
        <v>276.52100405572361</v>
      </c>
      <c r="Y88" s="28">
        <f t="shared" si="67"/>
        <v>9139.8771223045333</v>
      </c>
      <c r="Z88" s="29">
        <f t="shared" si="59"/>
        <v>6421.5564309515776</v>
      </c>
      <c r="AA88" s="59">
        <f>'תמהיל יצור'!$AI12*($J$7)*10</f>
        <v>1387.7021939117026</v>
      </c>
      <c r="AB88" s="28">
        <f>'תמהיל יצור'!$AK12*$E$7*10</f>
        <v>2480.9039198149721</v>
      </c>
      <c r="AC88" s="28">
        <f>'תמהיל יצור'!$AL12*$G$7*10</f>
        <v>6619.6111822345683</v>
      </c>
      <c r="AD88" s="28">
        <f t="shared" si="68"/>
        <v>10488.217295961244</v>
      </c>
      <c r="AE88" s="29">
        <f t="shared" si="61"/>
        <v>7368.882352010839</v>
      </c>
    </row>
    <row r="89" spans="1:31">
      <c r="A89" s="100">
        <f t="shared" si="62"/>
        <v>2029</v>
      </c>
      <c r="B89" s="59">
        <f>'תמהיל יצור'!$H13*10*$E$7</f>
        <v>3516.6210902231637</v>
      </c>
      <c r="C89" s="28">
        <f>'תמהיל יצור'!$I13*$G$7*10</f>
        <v>7025.3449684049328</v>
      </c>
      <c r="D89" s="28">
        <f t="shared" si="63"/>
        <v>10541.966058628097</v>
      </c>
      <c r="E89" s="29">
        <f t="shared" si="53"/>
        <v>7121.7745381868699</v>
      </c>
      <c r="F89" s="59">
        <f>'תמהיל יצור'!$L13*$E$7*10</f>
        <v>2480.9039198149721</v>
      </c>
      <c r="G89" s="28">
        <f>'תמהיל יצור'!$M13*$G$7*10</f>
        <v>7747.7400480287561</v>
      </c>
      <c r="H89" s="28">
        <f t="shared" si="64"/>
        <v>10228.643967843727</v>
      </c>
      <c r="I89" s="29">
        <f t="shared" si="55"/>
        <v>6910.1053603513656</v>
      </c>
      <c r="J89" s="59">
        <f>('תמהיל יצור'!Q13+'תמהיל יצור'!P13)*$E$7*10</f>
        <v>126.0075329004823</v>
      </c>
      <c r="K89" s="28">
        <f>'תמהיל יצור'!$R13*$F$7*10</f>
        <v>1596.5361326827915</v>
      </c>
      <c r="L89" s="28">
        <f>'תמהיל יצור'!$S13*$G$7*10</f>
        <v>8005.9295835662651</v>
      </c>
      <c r="M89" s="28">
        <f t="shared" si="65"/>
        <v>9728.4732491495397</v>
      </c>
      <c r="N89" s="29">
        <f t="shared" si="57"/>
        <v>6572.2079445057243</v>
      </c>
      <c r="O89" s="59">
        <f>('תמהיל יצור'!$W13+'תמהיל יצור'!$V13)*$E$7*10</f>
        <v>101.83465924202244</v>
      </c>
      <c r="P89" s="28">
        <f>'תמהיל יצור'!X13*$G$7*10</f>
        <v>7328.2775403652149</v>
      </c>
      <c r="Q89" s="28">
        <f>'תמהיל יצור'!Y13*$H$7*10</f>
        <v>1603.3637859606663</v>
      </c>
      <c r="R89" s="28">
        <f>'תמהיל יצור'!Z13*$I$7*10</f>
        <v>276.52100405572361</v>
      </c>
      <c r="S89" s="28">
        <f t="shared" si="66"/>
        <v>9309.9969896236271</v>
      </c>
      <c r="T89" s="29">
        <f t="shared" si="58"/>
        <v>6289.5003780657726</v>
      </c>
      <c r="U89" s="59">
        <f>'תמהיל יצור'!$AC13*$E$7*10</f>
        <v>0</v>
      </c>
      <c r="V89" s="28">
        <f>'תמהיל יצור'!AD13*$G$7*10</f>
        <v>7399.3054801092403</v>
      </c>
      <c r="W89" s="28">
        <f>'תמהיל יצור'!AE13*$H$7*10</f>
        <v>1603.3637859606663</v>
      </c>
      <c r="X89" s="28">
        <f>'תמהיל יצור'!AF13*$I$7*10</f>
        <v>276.52100405572361</v>
      </c>
      <c r="Y89" s="28">
        <f t="shared" si="67"/>
        <v>9279.1902701256295</v>
      </c>
      <c r="Z89" s="29">
        <f t="shared" si="59"/>
        <v>6268.6884622138577</v>
      </c>
      <c r="AA89" s="59">
        <f>'תמהיל יצור'!$AI13*($J$7)*10</f>
        <v>1583.5223923859094</v>
      </c>
      <c r="AB89" s="28">
        <f>'תמהיל יצור'!$AK13*$E$7*10</f>
        <v>2480.9039198149721</v>
      </c>
      <c r="AC89" s="28">
        <f>'תמהיל יצור'!$AL13*$G$7*10</f>
        <v>6619.3914454083515</v>
      </c>
      <c r="AD89" s="28">
        <f t="shared" si="68"/>
        <v>10683.817757609233</v>
      </c>
      <c r="AE89" s="29">
        <f t="shared" si="61"/>
        <v>7217.6044633055881</v>
      </c>
    </row>
    <row r="90" spans="1:31">
      <c r="A90" s="100">
        <f t="shared" si="62"/>
        <v>2030</v>
      </c>
      <c r="B90" s="59">
        <f>'תמהיל יצור'!$H14*10*$E$7</f>
        <v>3516.6210902231637</v>
      </c>
      <c r="C90" s="28">
        <f>'תמהיל יצור'!$I14*$G$7*10</f>
        <v>7165.3730299901235</v>
      </c>
      <c r="D90" s="28">
        <f t="shared" si="63"/>
        <v>10681.994120213287</v>
      </c>
      <c r="E90" s="29">
        <f t="shared" si="53"/>
        <v>6938.8196915614972</v>
      </c>
      <c r="F90" s="59">
        <f>'תמהיל יצור'!$L14*$E$7*10</f>
        <v>2480.9039198149721</v>
      </c>
      <c r="G90" s="28">
        <f>'תמהיל יצור'!$M14*$G$7*10</f>
        <v>7887.7681096139477</v>
      </c>
      <c r="H90" s="28">
        <f t="shared" si="64"/>
        <v>10368.672029428919</v>
      </c>
      <c r="I90" s="29">
        <f t="shared" si="55"/>
        <v>6735.2916359504361</v>
      </c>
      <c r="J90" s="59">
        <f>('תמהיל יצור'!Q14+'תמהיל יצור'!P14)*$E$7*10</f>
        <v>126.0075329004823</v>
      </c>
      <c r="K90" s="28">
        <f>'תמהיל יצור'!$R14*$F$7*10</f>
        <v>1596.5361326827915</v>
      </c>
      <c r="L90" s="28">
        <f>'תמהיל יצור'!$S14*$G$7*10</f>
        <v>8145.9576451514567</v>
      </c>
      <c r="M90" s="28">
        <f t="shared" si="65"/>
        <v>9868.5013107347313</v>
      </c>
      <c r="N90" s="29">
        <f t="shared" si="57"/>
        <v>6410.3902745603973</v>
      </c>
      <c r="O90" s="59">
        <f>('תמהיל יצור'!$W14+'תמהיל יצור'!$V14)*$E$7*10</f>
        <v>101.83465924202244</v>
      </c>
      <c r="P90" s="28">
        <f>'תמהיל יצור'!X14*$G$7*10</f>
        <v>7468.3056019504065</v>
      </c>
      <c r="Q90" s="28">
        <f>'תמהיל יצור'!Y14*$H$7*10</f>
        <v>1603.3637859606663</v>
      </c>
      <c r="R90" s="28">
        <f>'תמהיל יצור'!Z14*$I$7*10</f>
        <v>276.52100405572361</v>
      </c>
      <c r="S90" s="28">
        <f t="shared" si="66"/>
        <v>9450.0250512088187</v>
      </c>
      <c r="T90" s="29">
        <f t="shared" si="58"/>
        <v>6138.556076060443</v>
      </c>
      <c r="U90" s="59">
        <f>'תמהיל יצור'!$AC14*$E$7*10</f>
        <v>0</v>
      </c>
      <c r="V90" s="28">
        <f>'תמהיל יצור'!AD14*$G$7*10</f>
        <v>7539.3335416944319</v>
      </c>
      <c r="W90" s="28">
        <f>'תמהיל יצור'!AE14*$H$7*10</f>
        <v>1603.3637859606663</v>
      </c>
      <c r="X90" s="28">
        <f>'תמהיל יצור'!AF14*$I$7*10</f>
        <v>276.52100405572361</v>
      </c>
      <c r="Y90" s="28">
        <f t="shared" si="67"/>
        <v>9419.2183317108211</v>
      </c>
      <c r="Z90" s="29">
        <f t="shared" si="59"/>
        <v>6118.5446185105257</v>
      </c>
      <c r="AA90" s="59">
        <f>'תמהיל יצור'!$AI14*($J$7)*10</f>
        <v>1301.0219975842633</v>
      </c>
      <c r="AB90" s="28">
        <f>'תמהיל יצור'!$AK14*$E$7*10</f>
        <v>2480.9039198149721</v>
      </c>
      <c r="AC90" s="28">
        <f>'תמהיל יצור'!$AL14*$G$7*10</f>
        <v>6960.7168977010233</v>
      </c>
      <c r="AD90" s="28">
        <f t="shared" si="68"/>
        <v>10742.642815100258</v>
      </c>
      <c r="AE90" s="29">
        <f t="shared" si="61"/>
        <v>6978.2159272842728</v>
      </c>
    </row>
    <row r="91" spans="1:31">
      <c r="A91" s="100">
        <f t="shared" si="62"/>
        <v>2031</v>
      </c>
      <c r="B91" s="59">
        <f>'תמהיל יצור'!$H15*10*$E$7</f>
        <v>3516.6210902231637</v>
      </c>
      <c r="C91" s="28">
        <f>'תמהיל יצור'!$I15*$G$7*10</f>
        <v>7425.0632507272312</v>
      </c>
      <c r="D91" s="28">
        <f t="shared" si="63"/>
        <v>10941.684340950394</v>
      </c>
      <c r="E91" s="29">
        <f t="shared" si="53"/>
        <v>6834.1437567940156</v>
      </c>
      <c r="F91" s="59">
        <f>'תמהיל יצור'!$L15*$E$7*10</f>
        <v>2480.9039198149721</v>
      </c>
      <c r="G91" s="28">
        <f>'תמהיל יצור'!$M15*$G$7*10</f>
        <v>8147.4583303510562</v>
      </c>
      <c r="H91" s="28">
        <f t="shared" si="64"/>
        <v>10628.362250166028</v>
      </c>
      <c r="I91" s="29">
        <f t="shared" si="55"/>
        <v>6638.4437033218437</v>
      </c>
      <c r="J91" s="59">
        <f>('תמהיל יצור'!Q15+'תמהיל יצור'!P15)*$E$7*10</f>
        <v>126.0075329004823</v>
      </c>
      <c r="K91" s="28">
        <f>'תמהיל יצור'!$R15*$F$7*10</f>
        <v>1596.5361326827915</v>
      </c>
      <c r="L91" s="28">
        <f>'תמהיל יצור'!$S15*$G$7*10</f>
        <v>8405.6478658885644</v>
      </c>
      <c r="M91" s="28">
        <f t="shared" si="65"/>
        <v>10128.191531471839</v>
      </c>
      <c r="N91" s="29">
        <f t="shared" si="57"/>
        <v>6326.0385481391122</v>
      </c>
      <c r="O91" s="59">
        <f>('תמהיל יצור'!$W15+'תמהיל יצור'!$V15)*$E$7*10</f>
        <v>101.83465924202244</v>
      </c>
      <c r="P91" s="28">
        <f>'תמהיל יצור'!X15*$G$7*10</f>
        <v>7727.995822687516</v>
      </c>
      <c r="Q91" s="28">
        <f>'תמהיל יצור'!Y15*$H$7*10</f>
        <v>1603.3637859606663</v>
      </c>
      <c r="R91" s="28">
        <f>'תמהיל יצור'!Z15*$I$7*10</f>
        <v>276.52100405572361</v>
      </c>
      <c r="S91" s="28">
        <f t="shared" si="66"/>
        <v>9709.7152719459282</v>
      </c>
      <c r="T91" s="29">
        <f t="shared" si="58"/>
        <v>6064.6595111199267</v>
      </c>
      <c r="U91" s="59">
        <f>'תמהיל יצור'!$AC15*$E$7*10</f>
        <v>0</v>
      </c>
      <c r="V91" s="28">
        <f>'תמהיל יצור'!AD15*$G$7*10</f>
        <v>7799.0237624315414</v>
      </c>
      <c r="W91" s="28">
        <f>'תמהיל יצור'!AE15*$H$7*10</f>
        <v>1603.3637859606663</v>
      </c>
      <c r="X91" s="28">
        <f>'תמהיל יצור'!AF15*$I$7*10</f>
        <v>276.52100405572361</v>
      </c>
      <c r="Y91" s="28">
        <f t="shared" si="67"/>
        <v>9678.9085524479306</v>
      </c>
      <c r="Z91" s="29">
        <f t="shared" si="59"/>
        <v>6045.4177250142366</v>
      </c>
      <c r="AA91" s="59">
        <f>'תמהיל יצור'!$AI15*($J$7)*10</f>
        <v>1336.1495915190389</v>
      </c>
      <c r="AB91" s="28">
        <f>'תמהיל יצור'!$AK15*$E$7*10</f>
        <v>2480.9039198149721</v>
      </c>
      <c r="AC91" s="28">
        <f>'תמהיל יצור'!$AL15*$G$7*10</f>
        <v>7195.3767357164825</v>
      </c>
      <c r="AD91" s="28">
        <f t="shared" si="68"/>
        <v>11012.430247050494</v>
      </c>
      <c r="AE91" s="29">
        <f t="shared" si="61"/>
        <v>6878.3314410140065</v>
      </c>
    </row>
    <row r="92" spans="1:31">
      <c r="A92" s="100">
        <f t="shared" si="62"/>
        <v>2032</v>
      </c>
      <c r="B92" s="59">
        <f>'תמהיל יצור'!$H16*10*$E$7</f>
        <v>3516.6210902231637</v>
      </c>
      <c r="C92" s="28">
        <f>'תמהיל יצור'!$I16*$G$7*10</f>
        <v>7691.7651074242422</v>
      </c>
      <c r="D92" s="28">
        <f t="shared" si="63"/>
        <v>11208.386197647405</v>
      </c>
      <c r="E92" s="29">
        <f t="shared" si="53"/>
        <v>6731.4662976966292</v>
      </c>
      <c r="F92" s="59">
        <f>'תמהיל יצור'!$L16*$E$7*10</f>
        <v>2480.9039198149721</v>
      </c>
      <c r="G92" s="28">
        <f>'תמהיל יצור'!$M16*$G$7*10</f>
        <v>8414.1601870480663</v>
      </c>
      <c r="H92" s="28">
        <f t="shared" si="64"/>
        <v>10895.064106863039</v>
      </c>
      <c r="I92" s="29">
        <f t="shared" si="55"/>
        <v>6543.2931693580013</v>
      </c>
      <c r="J92" s="59">
        <f>('תמהיל יצור'!Q16+'תמהיל יצור'!P16)*$E$7*10</f>
        <v>126.0075329004823</v>
      </c>
      <c r="K92" s="28">
        <f>'תמהיל יצור'!$R16*$F$7*10</f>
        <v>1596.5361326827915</v>
      </c>
      <c r="L92" s="28">
        <f>'תמהיל יצור'!$S16*$G$7*10</f>
        <v>8672.3497225855735</v>
      </c>
      <c r="M92" s="28">
        <f t="shared" si="65"/>
        <v>10394.893388168848</v>
      </c>
      <c r="N92" s="29">
        <f t="shared" si="57"/>
        <v>6242.9035970669129</v>
      </c>
      <c r="O92" s="59">
        <f>('תמהיל יצור'!$W16+'תמהיל יצור'!$V16)*$E$7*10</f>
        <v>101.83465924202244</v>
      </c>
      <c r="P92" s="28">
        <f>'תמהיל יצור'!X16*$G$7*10</f>
        <v>7994.6976793845261</v>
      </c>
      <c r="Q92" s="28">
        <f>'תמהיל יצור'!Y16*$H$7*10</f>
        <v>1603.3637859606663</v>
      </c>
      <c r="R92" s="28">
        <f>'תמהיל יצור'!Z16*$I$7*10</f>
        <v>276.52100405572361</v>
      </c>
      <c r="S92" s="28">
        <f t="shared" si="66"/>
        <v>9976.4171286429373</v>
      </c>
      <c r="T92" s="29">
        <f t="shared" si="58"/>
        <v>5991.5775999330808</v>
      </c>
      <c r="U92" s="59">
        <f>'תמהיל יצור'!$AC16*$E$7*10</f>
        <v>0</v>
      </c>
      <c r="V92" s="28">
        <f>'תמהיל יצור'!AD16*$G$7*10</f>
        <v>8065.7256191285505</v>
      </c>
      <c r="W92" s="28">
        <f>'תמהיל יצור'!AE16*$H$7*10</f>
        <v>1603.3637859606663</v>
      </c>
      <c r="X92" s="28">
        <f>'תמהיל יצור'!AF16*$I$7*10</f>
        <v>276.52100405572361</v>
      </c>
      <c r="Y92" s="28">
        <f t="shared" si="67"/>
        <v>9945.6104091449397</v>
      </c>
      <c r="Z92" s="29">
        <f t="shared" si="59"/>
        <v>5973.0758825237635</v>
      </c>
      <c r="AA92" s="59">
        <f>'תמהיל יצור'!$AI16*($J$7)*10</f>
        <v>1372.2256304900525</v>
      </c>
      <c r="AB92" s="28">
        <f>'תמהיל יצור'!$AK16*$E$7*10</f>
        <v>2480.9039198149721</v>
      </c>
      <c r="AC92" s="28">
        <f>'תמהיל יצור'!$AL16*$G$7*10</f>
        <v>7436.3723893583574</v>
      </c>
      <c r="AD92" s="28">
        <f t="shared" si="68"/>
        <v>11289.501939663382</v>
      </c>
      <c r="AE92" s="29">
        <f t="shared" si="61"/>
        <v>6780.1823103290099</v>
      </c>
    </row>
    <row r="93" spans="1:31">
      <c r="A93" s="100">
        <f t="shared" si="62"/>
        <v>2033</v>
      </c>
      <c r="B93" s="59">
        <f>'תמהיל יצור'!$H17*10*$E$7</f>
        <v>3516.6210902231637</v>
      </c>
      <c r="C93" s="28">
        <f>'תמהיל יצור'!$I17*$G$7*10</f>
        <v>7965.6679142520697</v>
      </c>
      <c r="D93" s="28">
        <f t="shared" si="63"/>
        <v>11482.289004475233</v>
      </c>
      <c r="E93" s="29">
        <f t="shared" si="53"/>
        <v>6630.7357938432451</v>
      </c>
      <c r="F93" s="59">
        <f>'תמהיל יצור'!$L17*$E$7*10</f>
        <v>2480.9039198149721</v>
      </c>
      <c r="G93" s="28">
        <f>'תמהיל יצור'!$M17*$G$7*10</f>
        <v>8688.0629938758939</v>
      </c>
      <c r="H93" s="28">
        <f t="shared" si="64"/>
        <v>11168.966913690867</v>
      </c>
      <c r="I93" s="29">
        <f t="shared" si="55"/>
        <v>6449.8000935176415</v>
      </c>
      <c r="J93" s="59">
        <f>('תמהיל יצור'!Q17+'תמהיל יצור'!P17)*$E$7*10</f>
        <v>126.0075329004823</v>
      </c>
      <c r="K93" s="28">
        <f>'תמהיל יצור'!$R17*$F$7*10</f>
        <v>1596.5361326827915</v>
      </c>
      <c r="L93" s="28">
        <f>'תמהיל יצור'!$S17*$G$7*10</f>
        <v>8946.252529413403</v>
      </c>
      <c r="M93" s="28">
        <f t="shared" si="65"/>
        <v>10668.796194996678</v>
      </c>
      <c r="N93" s="29">
        <f t="shared" si="57"/>
        <v>6160.9639663146727</v>
      </c>
      <c r="O93" s="59">
        <f>('תמהיל יצור'!$W17+'תמהיל יצור'!$V17)*$E$7*10</f>
        <v>101.83465924202244</v>
      </c>
      <c r="P93" s="28">
        <f>'תמהיל יצור'!X17*$G$7*10</f>
        <v>8268.6004862123536</v>
      </c>
      <c r="Q93" s="28">
        <f>'תמהיל יצור'!Y17*$H$7*10</f>
        <v>1603.3637859606663</v>
      </c>
      <c r="R93" s="28">
        <f>'תמהיל יצור'!Z17*$I$7*10</f>
        <v>276.52100405572361</v>
      </c>
      <c r="S93" s="28">
        <f t="shared" si="66"/>
        <v>10250.319935470765</v>
      </c>
      <c r="T93" s="29">
        <f t="shared" si="58"/>
        <v>5919.3043536859868</v>
      </c>
      <c r="U93" s="59">
        <f>'תמהיל יצור'!$AC17*$E$7*10</f>
        <v>0</v>
      </c>
      <c r="V93" s="28">
        <f>'תמהיל יצור'!AD17*$G$7*10</f>
        <v>8339.6284259563781</v>
      </c>
      <c r="W93" s="28">
        <f>'תמהיל יצור'!AE17*$H$7*10</f>
        <v>1603.3637859606663</v>
      </c>
      <c r="X93" s="28">
        <f>'תמהיל יצור'!AF17*$I$7*10</f>
        <v>276.52100405572361</v>
      </c>
      <c r="Y93" s="28">
        <f t="shared" si="67"/>
        <v>10219.513215972767</v>
      </c>
      <c r="Z93" s="29">
        <f t="shared" si="59"/>
        <v>5901.5142407924122</v>
      </c>
      <c r="AA93" s="59">
        <f>'תמהיל יצור'!$AI17*($J$7)*10</f>
        <v>1409.2757225132841</v>
      </c>
      <c r="AB93" s="28">
        <f>'תמהיל יצור'!$AK17*$E$7*10</f>
        <v>2480.9039198149721</v>
      </c>
      <c r="AC93" s="28">
        <f>'תמהיל יצור'!$AL17*$G$7*10</f>
        <v>7683.8749256485644</v>
      </c>
      <c r="AD93" s="28">
        <f t="shared" si="68"/>
        <v>11574.05456797682</v>
      </c>
      <c r="AE93" s="29">
        <f t="shared" si="61"/>
        <v>6683.728120226514</v>
      </c>
    </row>
    <row r="94" spans="1:31">
      <c r="A94" s="100">
        <f t="shared" si="62"/>
        <v>2034</v>
      </c>
      <c r="B94" s="59">
        <f>'תמהיל יצור'!$H18*10*$E$7</f>
        <v>3516.6210902231637</v>
      </c>
      <c r="C94" s="28">
        <f>'תמהיל יצור'!$I18*$G$7*10</f>
        <v>8246.9660968642493</v>
      </c>
      <c r="D94" s="28">
        <f t="shared" si="63"/>
        <v>11763.587187087413</v>
      </c>
      <c r="E94" s="29">
        <f t="shared" si="53"/>
        <v>6531.9023895623432</v>
      </c>
      <c r="F94" s="59">
        <f>'תמהיל יצור'!$L18*$E$7*10</f>
        <v>2480.9039198149721</v>
      </c>
      <c r="G94" s="28">
        <f>'תמהיל יצור'!$M18*$G$7*10</f>
        <v>8969.3611764880716</v>
      </c>
      <c r="H94" s="28">
        <f t="shared" si="64"/>
        <v>11450.265096303043</v>
      </c>
      <c r="I94" s="29">
        <f t="shared" si="55"/>
        <v>6357.9257546338767</v>
      </c>
      <c r="J94" s="59">
        <f>('תמהיל יצור'!Q18+'תמהיל יצור'!P18)*$E$7*10</f>
        <v>126.0075329004823</v>
      </c>
      <c r="K94" s="28">
        <f>'תמהיל יצור'!$R18*$F$7*10</f>
        <v>1596.5361326827915</v>
      </c>
      <c r="L94" s="28">
        <f>'תמהיל יצור'!$S18*$G$7*10</f>
        <v>9227.5507120255825</v>
      </c>
      <c r="M94" s="28">
        <f t="shared" si="65"/>
        <v>10950.094377608857</v>
      </c>
      <c r="N94" s="29">
        <f t="shared" si="57"/>
        <v>6080.1987092464087</v>
      </c>
      <c r="O94" s="59">
        <f>('תמהיל יצור'!$W18+'תמהיל יצור'!$V18)*$E$7*10</f>
        <v>101.83465924202244</v>
      </c>
      <c r="P94" s="28">
        <f>'תמהיל יצור'!X18*$G$7*10</f>
        <v>8549.8986688245332</v>
      </c>
      <c r="Q94" s="28">
        <f>'תמהיל יצור'!Y18*$H$7*10</f>
        <v>1603.3637859606663</v>
      </c>
      <c r="R94" s="28">
        <f>'תמהיל יצור'!Z18*$I$7*10</f>
        <v>276.52100405572361</v>
      </c>
      <c r="S94" s="28">
        <f t="shared" si="66"/>
        <v>10531.618118082944</v>
      </c>
      <c r="T94" s="29">
        <f t="shared" si="58"/>
        <v>5847.8336971034414</v>
      </c>
      <c r="U94" s="59">
        <f>'תמהיל יצור'!$AC18*$E$7*10</f>
        <v>0</v>
      </c>
      <c r="V94" s="28">
        <f>'תמהיל יצור'!AD18*$G$7*10</f>
        <v>8620.9266085685576</v>
      </c>
      <c r="W94" s="28">
        <f>'תמהיל יצור'!AE18*$H$7*10</f>
        <v>1603.3637859606663</v>
      </c>
      <c r="X94" s="28">
        <f>'תמהיל יצור'!AF18*$I$7*10</f>
        <v>276.52100405572361</v>
      </c>
      <c r="Y94" s="28">
        <f t="shared" si="67"/>
        <v>10500.811398584947</v>
      </c>
      <c r="Z94" s="29">
        <f t="shared" si="59"/>
        <v>5830.7278193211578</v>
      </c>
      <c r="AA94" s="59">
        <f>'תמהיל יצור'!$AI18*($J$7)*10</f>
        <v>1447.3261670211423</v>
      </c>
      <c r="AB94" s="28">
        <f>'תמהיל יצור'!$AK18*$E$7*10</f>
        <v>2480.9039198149721</v>
      </c>
      <c r="AC94" s="28">
        <f>'תמהיל יצור'!$AL18*$G$7*10</f>
        <v>7938.0600304186055</v>
      </c>
      <c r="AD94" s="28">
        <f t="shared" si="68"/>
        <v>11866.290117254721</v>
      </c>
      <c r="AE94" s="29">
        <f t="shared" si="61"/>
        <v>6588.9296810088899</v>
      </c>
    </row>
    <row r="95" spans="1:31">
      <c r="A95" s="100">
        <f t="shared" si="62"/>
        <v>2035</v>
      </c>
      <c r="B95" s="59">
        <f>'תמהיל יצור'!$H19*10*$E$7</f>
        <v>3516.6210902231637</v>
      </c>
      <c r="C95" s="28">
        <f>'תמהיל יצור'!$I19*$G$7*10</f>
        <v>8535.8593304069564</v>
      </c>
      <c r="D95" s="28">
        <f t="shared" si="63"/>
        <v>12052.48042063012</v>
      </c>
      <c r="E95" s="29">
        <f t="shared" si="53"/>
        <v>6434.9178338679458</v>
      </c>
      <c r="F95" s="59">
        <f>'תמהיל יצור'!$L19*$E$7*10</f>
        <v>2480.9039198149721</v>
      </c>
      <c r="G95" s="28">
        <f>'תמהיל יצור'!$M19*$G$7*10</f>
        <v>9258.2544100307805</v>
      </c>
      <c r="H95" s="28">
        <f t="shared" si="64"/>
        <v>11739.158329845752</v>
      </c>
      <c r="I95" s="29">
        <f t="shared" si="55"/>
        <v>6267.6326079751898</v>
      </c>
      <c r="J95" s="59">
        <f>('תמהיל יצור'!Q19+'תמהיל יצור'!P19)*$E$7*10</f>
        <v>126.0075329004823</v>
      </c>
      <c r="K95" s="28">
        <f>'תמהיל יצור'!$R19*$F$7*10</f>
        <v>1596.5361326827915</v>
      </c>
      <c r="L95" s="28">
        <f>'תמהיל יצור'!$S19*$G$7*10</f>
        <v>9516.4439455682896</v>
      </c>
      <c r="M95" s="28">
        <f t="shared" si="65"/>
        <v>11238.987611151564</v>
      </c>
      <c r="N95" s="29">
        <f t="shared" si="57"/>
        <v>6000.5873720257005</v>
      </c>
      <c r="O95" s="59">
        <f>('תמהיל יצור'!$W19+'תמהיל יצור'!$V19)*$E$7*10</f>
        <v>101.83465924202244</v>
      </c>
      <c r="P95" s="28">
        <f>'תמהיל יצור'!X19*$G$7*10</f>
        <v>8838.7919023672403</v>
      </c>
      <c r="Q95" s="28">
        <f>'תמהיל יצור'!Y19*$H$7*10</f>
        <v>1603.3637859606663</v>
      </c>
      <c r="R95" s="28">
        <f>'תמהיל יצור'!Z19*$I$7*10</f>
        <v>276.52100405572361</v>
      </c>
      <c r="S95" s="28">
        <f t="shared" si="66"/>
        <v>10820.511351625652</v>
      </c>
      <c r="T95" s="29">
        <f t="shared" si="58"/>
        <v>5777.1594757343855</v>
      </c>
      <c r="U95" s="59">
        <f>'תמהיל יצור'!$AC19*$E$7*10</f>
        <v>0</v>
      </c>
      <c r="V95" s="28">
        <f>'תמהיל יצור'!AD19*$G$7*10</f>
        <v>8909.8198421112666</v>
      </c>
      <c r="W95" s="28">
        <f>'תמהיל יצור'!AE19*$H$7*10</f>
        <v>1603.3637859606663</v>
      </c>
      <c r="X95" s="28">
        <f>'תמהיל יצור'!AF19*$I$7*10</f>
        <v>276.52100405572361</v>
      </c>
      <c r="Y95" s="28">
        <f t="shared" si="67"/>
        <v>10789.704632127656</v>
      </c>
      <c r="Z95" s="29">
        <f t="shared" si="59"/>
        <v>5760.7115163283452</v>
      </c>
      <c r="AA95" s="59">
        <f>'תמהיל יצור'!$AI19*($J$7)*10</f>
        <v>1486.4039735307128</v>
      </c>
      <c r="AB95" s="28">
        <f>'תמהיל יצור'!$AK19*$E$7*10</f>
        <v>2480.9039198149721</v>
      </c>
      <c r="AC95" s="28">
        <f>'תמהיל יצור'!$AL19*$G$7*10</f>
        <v>8199.1081330174384</v>
      </c>
      <c r="AD95" s="28">
        <f t="shared" si="68"/>
        <v>12166.416026363124</v>
      </c>
      <c r="AE95" s="29">
        <f t="shared" si="61"/>
        <v>6495.7489852705148</v>
      </c>
    </row>
    <row r="96" spans="1:31">
      <c r="A96" s="100">
        <f t="shared" si="62"/>
        <v>2036</v>
      </c>
      <c r="B96" s="59">
        <f>'תמהיל יצור'!$H20*10*$E$7</f>
        <v>3516.6210902231637</v>
      </c>
      <c r="C96" s="28">
        <f>'תמהיל יצור'!$I20*$G$7*10</f>
        <v>8832.552681255318</v>
      </c>
      <c r="D96" s="28">
        <f t="shared" si="63"/>
        <v>12349.173771478481</v>
      </c>
      <c r="E96" s="29">
        <f t="shared" si="53"/>
        <v>6339.7354226514553</v>
      </c>
      <c r="F96" s="59">
        <f>'תמהיל יצור'!$L20*$E$7*10</f>
        <v>2480.9039198149721</v>
      </c>
      <c r="G96" s="28">
        <f>'תמהיל יצור'!$M20*$G$7*10</f>
        <v>9554.9477608791422</v>
      </c>
      <c r="H96" s="28">
        <f t="shared" si="64"/>
        <v>12035.851680694115</v>
      </c>
      <c r="I96" s="29">
        <f t="shared" si="55"/>
        <v>6178.8842439084219</v>
      </c>
      <c r="J96" s="59">
        <f>('תמהיל יצור'!Q20+'תמהיל יצור'!P20)*$E$7*10</f>
        <v>126.0075329004823</v>
      </c>
      <c r="K96" s="28">
        <f>'תמהיל יצור'!$R20*$F$7*10</f>
        <v>1596.5361326827915</v>
      </c>
      <c r="L96" s="28">
        <f>'תמהיל יצור'!$S20*$G$7*10</f>
        <v>9813.1372964166512</v>
      </c>
      <c r="M96" s="28">
        <f t="shared" si="65"/>
        <v>11535.680961999926</v>
      </c>
      <c r="N96" s="29">
        <f t="shared" si="57"/>
        <v>5922.1099785723736</v>
      </c>
      <c r="O96" s="59">
        <f>('תמהיל יצור'!$W20+'תמהיל יצור'!$V20)*$E$7*10</f>
        <v>101.83465924202244</v>
      </c>
      <c r="P96" s="28">
        <f>'תמהיל יצור'!X20*$G$7*10</f>
        <v>9135.4852532156037</v>
      </c>
      <c r="Q96" s="28">
        <f>'תמהיל יצור'!Y20*$H$7*10</f>
        <v>1603.3637859606663</v>
      </c>
      <c r="R96" s="28">
        <f>'תמהיל יצור'!Z20*$I$7*10</f>
        <v>276.52100405572361</v>
      </c>
      <c r="S96" s="28">
        <f t="shared" si="66"/>
        <v>11117.204702474015</v>
      </c>
      <c r="T96" s="29">
        <f t="shared" si="58"/>
        <v>5707.2754629076489</v>
      </c>
      <c r="U96" s="59">
        <f>'תמהיל יצור'!$AC20*$E$7*10</f>
        <v>0</v>
      </c>
      <c r="V96" s="28">
        <f>'תמהיל יצור'!AD20*$G$7*10</f>
        <v>9206.5131929596282</v>
      </c>
      <c r="W96" s="28">
        <f>'תמהיל יצור'!AE20*$H$7*10</f>
        <v>1603.3637859606663</v>
      </c>
      <c r="X96" s="28">
        <f>'תמהיל יצור'!AF20*$I$7*10</f>
        <v>276.52100405572361</v>
      </c>
      <c r="Y96" s="28">
        <f t="shared" si="67"/>
        <v>11086.397982976017</v>
      </c>
      <c r="Z96" s="29">
        <f t="shared" si="59"/>
        <v>5691.4601173249166</v>
      </c>
      <c r="AA96" s="59">
        <f>'תמהיל יצור'!$AI20*($J$7)*10</f>
        <v>1526.5368808160424</v>
      </c>
      <c r="AB96" s="28">
        <f>'תמהיל יצור'!$AK20*$E$7*10</f>
        <v>2480.9039198149721</v>
      </c>
      <c r="AC96" s="28">
        <f>'תמהיל יצור'!$AL20*$G$7*10</f>
        <v>8467.2045343864393</v>
      </c>
      <c r="AD96" s="28">
        <f t="shared" si="68"/>
        <v>12474.645335017454</v>
      </c>
      <c r="AE96" s="29">
        <f t="shared" si="61"/>
        <v>6404.1491664875539</v>
      </c>
    </row>
    <row r="97" spans="1:31">
      <c r="A97" s="100">
        <f t="shared" si="62"/>
        <v>2037</v>
      </c>
      <c r="B97" s="59">
        <f>'תמהיל יצור'!$H21*10*$E$7</f>
        <v>3516.6210902231637</v>
      </c>
      <c r="C97" s="28">
        <f>'תמהיל יצור'!$I21*$G$7*10</f>
        <v>9137.2567525765862</v>
      </c>
      <c r="D97" s="28">
        <f t="shared" si="63"/>
        <v>12653.877842799749</v>
      </c>
      <c r="E97" s="29">
        <f t="shared" si="53"/>
        <v>6246.3099430479833</v>
      </c>
      <c r="F97" s="59">
        <f>'תמהיל יצור'!$L21*$E$7*10</f>
        <v>2480.9039198149721</v>
      </c>
      <c r="G97" s="28">
        <f>'תמהיל יצור'!$M21*$G$7*10</f>
        <v>9859.6518322004104</v>
      </c>
      <c r="H97" s="28">
        <f t="shared" si="64"/>
        <v>12340.555752015382</v>
      </c>
      <c r="I97" s="29">
        <f t="shared" si="55"/>
        <v>6091.6453481027584</v>
      </c>
      <c r="J97" s="59">
        <f>('תמהיל יצור'!Q21+'תמהיל יצור'!P21)*$E$7*10</f>
        <v>126.0075329004823</v>
      </c>
      <c r="K97" s="28">
        <f>'תמהיל יצור'!$R21*$F$7*10</f>
        <v>1596.5361326827915</v>
      </c>
      <c r="L97" s="28">
        <f>'תמהיל יצור'!$S21*$G$7*10</f>
        <v>10117.841367737919</v>
      </c>
      <c r="M97" s="28">
        <f t="shared" si="65"/>
        <v>11840.385033321194</v>
      </c>
      <c r="N97" s="29">
        <f t="shared" si="57"/>
        <v>5844.7470160488665</v>
      </c>
      <c r="O97" s="59">
        <f>('תמהיל יצור'!$W21+'תמהיל יצור'!$V21)*$E$7*10</f>
        <v>101.83465924202244</v>
      </c>
      <c r="P97" s="28">
        <f>'תמהיל יצור'!X21*$G$7*10</f>
        <v>9440.1893245368701</v>
      </c>
      <c r="Q97" s="28">
        <f>'תמהיל יצור'!Y21*$H$7*10</f>
        <v>1603.3637859606663</v>
      </c>
      <c r="R97" s="28">
        <f>'תמהיל יצור'!Z21*$I$7*10</f>
        <v>276.52100405572361</v>
      </c>
      <c r="S97" s="28">
        <f t="shared" si="66"/>
        <v>11421.908773795281</v>
      </c>
      <c r="T97" s="29">
        <f t="shared" si="58"/>
        <v>5638.1753663712461</v>
      </c>
      <c r="U97" s="59">
        <f>'תמהיל יצור'!$AC21*$E$7*10</f>
        <v>0</v>
      </c>
      <c r="V97" s="28">
        <f>'תמהיל יצור'!AD21*$G$7*10</f>
        <v>9511.2172642808964</v>
      </c>
      <c r="W97" s="28">
        <f>'תמהיל יצור'!AE21*$H$7*10</f>
        <v>1603.3637859606663</v>
      </c>
      <c r="X97" s="28">
        <f>'תמהיל יצור'!AF21*$I$7*10</f>
        <v>276.52100405572361</v>
      </c>
      <c r="Y97" s="28">
        <f t="shared" si="67"/>
        <v>11391.102054297286</v>
      </c>
      <c r="Z97" s="29">
        <f t="shared" si="59"/>
        <v>5622.9683033109277</v>
      </c>
      <c r="AA97" s="59">
        <f>'תמהיל יצור'!$AI21*($J$7)*10</f>
        <v>1567.753376598075</v>
      </c>
      <c r="AB97" s="28">
        <f>'תמהיל יצור'!$AK21*$E$7*10</f>
        <v>2480.9039198149721</v>
      </c>
      <c r="AC97" s="28">
        <f>'תמהיל יצור'!$AL21*$G$7*10</f>
        <v>8742.5395385924039</v>
      </c>
      <c r="AD97" s="28">
        <f t="shared" si="68"/>
        <v>12791.196835005452</v>
      </c>
      <c r="AE97" s="29">
        <f t="shared" si="61"/>
        <v>6314.0944591496527</v>
      </c>
    </row>
    <row r="98" spans="1:31">
      <c r="A98" s="100">
        <f t="shared" si="62"/>
        <v>2038</v>
      </c>
      <c r="B98" s="59">
        <f>'תמהיל יצור'!$H22*10*$E$7</f>
        <v>3516.6210902231637</v>
      </c>
      <c r="C98" s="28">
        <f>'תמהיל יצור'!$I22*$G$7*10</f>
        <v>9450.1878338235292</v>
      </c>
      <c r="D98" s="28">
        <f t="shared" si="63"/>
        <v>12966.808924046692</v>
      </c>
      <c r="E98" s="29">
        <f t="shared" si="53"/>
        <v>6154.5976198941853</v>
      </c>
      <c r="F98" s="59">
        <f>'תמהיל יצור'!$L22*$E$7*10</f>
        <v>2480.9039198149721</v>
      </c>
      <c r="G98" s="28">
        <f>'תמהיל יצור'!$M22*$G$7*10</f>
        <v>10172.582913447353</v>
      </c>
      <c r="H98" s="28">
        <f t="shared" si="64"/>
        <v>12653.486833262326</v>
      </c>
      <c r="I98" s="29">
        <f t="shared" si="55"/>
        <v>6005.8816632160851</v>
      </c>
      <c r="J98" s="59">
        <f>('תמהיל יצור'!Q22+'תמהיל יצור'!P22)*$E$7*10</f>
        <v>126.0075329004823</v>
      </c>
      <c r="K98" s="28">
        <f>'תמהיל יצור'!$R22*$F$7*10</f>
        <v>1596.5361326827915</v>
      </c>
      <c r="L98" s="28">
        <f>'תמהיל יצור'!$S22*$G$7*10</f>
        <v>10430.772448984862</v>
      </c>
      <c r="M98" s="28">
        <f t="shared" si="65"/>
        <v>12153.316114568137</v>
      </c>
      <c r="N98" s="29">
        <f t="shared" si="57"/>
        <v>5768.4794208565727</v>
      </c>
      <c r="O98" s="59">
        <f>('תמהיל יצור'!$W22+'תמהיל יצור'!$V22)*$E$7*10</f>
        <v>101.83465924202244</v>
      </c>
      <c r="P98" s="28">
        <f>'תמהיל יצור'!X22*$G$7*10</f>
        <v>9753.1204057838131</v>
      </c>
      <c r="Q98" s="28">
        <f>'תמהיל יצור'!Y22*$H$7*10</f>
        <v>1603.3637859606663</v>
      </c>
      <c r="R98" s="28">
        <f>'תמהיל יצור'!Z22*$I$7*10</f>
        <v>276.52100405572361</v>
      </c>
      <c r="S98" s="28">
        <f t="shared" si="66"/>
        <v>11734.839855042224</v>
      </c>
      <c r="T98" s="29">
        <f t="shared" si="58"/>
        <v>5569.8528346280909</v>
      </c>
      <c r="U98" s="59">
        <f>'תמהיל יצור'!$AC22*$E$7*10</f>
        <v>0</v>
      </c>
      <c r="V98" s="28">
        <f>'תמהיל יצור'!AD22*$G$7*10</f>
        <v>9824.1483455278394</v>
      </c>
      <c r="W98" s="28">
        <f>'תמהיל יצור'!AE22*$H$7*10</f>
        <v>1603.3637859606663</v>
      </c>
      <c r="X98" s="28">
        <f>'תמהיל יצור'!AF22*$I$7*10</f>
        <v>276.52100405572361</v>
      </c>
      <c r="Y98" s="28">
        <f t="shared" si="67"/>
        <v>11704.033135544229</v>
      </c>
      <c r="Z98" s="29">
        <f t="shared" si="59"/>
        <v>5555.2306586085542</v>
      </c>
      <c r="AA98" s="59">
        <f>'תמהיל יצור'!$AI22*($J$7)*10</f>
        <v>1610.0827177662234</v>
      </c>
      <c r="AB98" s="28">
        <f>'תמהיל יצור'!$AK22*$E$7*10</f>
        <v>2480.9039198149721</v>
      </c>
      <c r="AC98" s="28">
        <f>'תמהיל יצור'!$AL22*$G$7*10</f>
        <v>9025.3085879119317</v>
      </c>
      <c r="AD98" s="28">
        <f t="shared" si="68"/>
        <v>13116.295225493126</v>
      </c>
      <c r="AE98" s="29">
        <f t="shared" si="61"/>
        <v>6225.5501603748908</v>
      </c>
    </row>
    <row r="99" spans="1:31">
      <c r="A99" s="100">
        <f t="shared" si="62"/>
        <v>2039</v>
      </c>
      <c r="B99" s="59">
        <f>'תמהיל יצור'!$H23*10*$E$7</f>
        <v>3516.6210902231637</v>
      </c>
      <c r="C99" s="28">
        <f>'תמהיל יצור'!$I23*$G$7*10</f>
        <v>9771.5680542641385</v>
      </c>
      <c r="D99" s="28">
        <f t="shared" si="63"/>
        <v>13288.189144487302</v>
      </c>
      <c r="E99" s="29">
        <f t="shared" si="53"/>
        <v>6064.556064197719</v>
      </c>
      <c r="F99" s="59">
        <f>'תמהיל יצור'!$L23*$E$7*10</f>
        <v>2480.9039198149721</v>
      </c>
      <c r="G99" s="28">
        <f>'תמהיל יצור'!$M23*$G$7*10</f>
        <v>10493.963133887963</v>
      </c>
      <c r="H99" s="28">
        <f t="shared" si="64"/>
        <v>12974.867053702936</v>
      </c>
      <c r="I99" s="29">
        <f t="shared" si="55"/>
        <v>5921.5599520072383</v>
      </c>
      <c r="J99" s="59">
        <f>('תמהיל יצור'!Q23+'תמהיל יצור'!P23)*$E$7*10</f>
        <v>126.0075329004823</v>
      </c>
      <c r="K99" s="28">
        <f>'תמהיל יצור'!$R23*$F$7*10</f>
        <v>1596.5361326827915</v>
      </c>
      <c r="L99" s="28">
        <f>'תמהיל יצור'!$S23*$G$7*10</f>
        <v>10752.15266942547</v>
      </c>
      <c r="M99" s="28">
        <f t="shared" si="65"/>
        <v>12474.696335008744</v>
      </c>
      <c r="N99" s="29">
        <f t="shared" si="57"/>
        <v>5693.2885651230908</v>
      </c>
      <c r="O99" s="59">
        <f>('תמהיל יצור'!$W23+'תמהיל יצור'!$V23)*$E$7*10</f>
        <v>101.83465924202244</v>
      </c>
      <c r="P99" s="28">
        <f>'תמהיל יצור'!X23*$G$7*10</f>
        <v>10074.500626224422</v>
      </c>
      <c r="Q99" s="28">
        <f>'תמהיל יצור'!Y23*$H$7*10</f>
        <v>1603.3637859606663</v>
      </c>
      <c r="R99" s="28">
        <f>'תמהיל יצור'!Z23*$I$7*10</f>
        <v>276.52100405572361</v>
      </c>
      <c r="S99" s="28">
        <f t="shared" si="66"/>
        <v>12056.220075482834</v>
      </c>
      <c r="T99" s="29">
        <f t="shared" si="58"/>
        <v>5502.301462980321</v>
      </c>
      <c r="U99" s="59">
        <f>'תמהיל יצור'!$AC23*$E$7*10</f>
        <v>0</v>
      </c>
      <c r="V99" s="28">
        <f>'תמהיל יצור'!AD23*$G$7*10</f>
        <v>10145.528565968449</v>
      </c>
      <c r="W99" s="28">
        <f>'תמהיל יצור'!AE23*$H$7*10</f>
        <v>1603.3637859606663</v>
      </c>
      <c r="X99" s="28">
        <f>'תמהיל יצור'!AF23*$I$7*10</f>
        <v>276.52100405572361</v>
      </c>
      <c r="Y99" s="28">
        <f t="shared" si="67"/>
        <v>12025.413355984838</v>
      </c>
      <c r="Z99" s="29">
        <f t="shared" si="59"/>
        <v>5488.2416783461513</v>
      </c>
      <c r="AA99" s="59">
        <f>'תמהיל יצור'!$AI23*($J$7)*10</f>
        <v>1653.5549511459114</v>
      </c>
      <c r="AB99" s="28">
        <f>'תמהיל יצור'!$AK23*$E$7*10</f>
        <v>2480.9039198149721</v>
      </c>
      <c r="AC99" s="28">
        <f>'תמהיל יצור'!$AL23*$G$7*10</f>
        <v>9315.7124015630852</v>
      </c>
      <c r="AD99" s="28">
        <f t="shared" si="68"/>
        <v>13450.171272523969</v>
      </c>
      <c r="AE99" s="29">
        <f t="shared" si="61"/>
        <v>6138.48259295156</v>
      </c>
    </row>
    <row r="100" spans="1:31">
      <c r="A100" s="100">
        <f t="shared" si="62"/>
        <v>2040</v>
      </c>
      <c r="B100" s="59">
        <f>'תמהיל יצור'!$H24*10*$E$7</f>
        <v>2327.1757214712115</v>
      </c>
      <c r="C100" s="28">
        <f>'תמהיל יצור'!$I24*$G$7*10</f>
        <v>10931.24341937648</v>
      </c>
      <c r="D100" s="28">
        <f t="shared" ref="D100:D105" si="69">SUM(B100:C100)</f>
        <v>13258.419140847691</v>
      </c>
      <c r="E100" s="29">
        <f t="shared" ref="E100:E105" si="70">+D100/(1+$L$4)^($A100-$A$79)</f>
        <v>5818.2398299502256</v>
      </c>
      <c r="F100" s="59">
        <f>'תמהיל יצור'!$L24*$E$7*10</f>
        <v>1641.7746528187313</v>
      </c>
      <c r="G100" s="28">
        <f>'תמהיל יצור'!$M24*$G$7*10</f>
        <v>11409.2989867746</v>
      </c>
      <c r="H100" s="28">
        <f t="shared" ref="H100:H105" si="71">SUM(F100:G100)</f>
        <v>13051.073639593331</v>
      </c>
      <c r="I100" s="29">
        <f t="shared" ref="I100:I105" si="72">+H100/(1+$L$4)^($A100-$A$79)</f>
        <v>5727.2496567520975</v>
      </c>
      <c r="J100" s="59">
        <f>('תמהיל יצור'!Q24+'תמהיל יצור'!P24)*$E$7*10</f>
        <v>83.387337948848582</v>
      </c>
      <c r="K100" s="28">
        <f>'תמהיל יצור'!$R24*$F$7*10</f>
        <v>699.17510135870521</v>
      </c>
      <c r="L100" s="28">
        <f>'תמהיל יצור'!$S24*$G$7*10</f>
        <v>11890.012961671317</v>
      </c>
      <c r="M100" s="28">
        <f t="shared" ref="M100:M105" si="73">SUM(J100:L100)</f>
        <v>12672.575400978871</v>
      </c>
      <c r="N100" s="29">
        <f t="shared" ref="N100:N105" si="74">+M100/(1+$L$4)^($A100-$A$79)</f>
        <v>5561.1519113061149</v>
      </c>
      <c r="O100" s="59">
        <f>('תמהיל יצור'!$W24+'תמהיל יצור'!$V24)*$E$7*10</f>
        <v>101.83465924202244</v>
      </c>
      <c r="P100" s="28">
        <f>'תמהיל יצור'!X24*$G$7*10</f>
        <v>10404.558112616927</v>
      </c>
      <c r="Q100" s="28">
        <f>'תמהיל יצור'!Y24*$H$7*10</f>
        <v>1603.3637859606663</v>
      </c>
      <c r="R100" s="28">
        <f>'תמהיל יצור'!Z24*$I$7*10</f>
        <v>276.52100405572361</v>
      </c>
      <c r="S100" s="28">
        <f t="shared" ref="S100:S105" si="75">SUM(O100:R100)</f>
        <v>12386.277561875339</v>
      </c>
      <c r="T100" s="29">
        <f t="shared" ref="T100:T105" si="76">+S100/(1+$L$4)^($A100-$A$79)</f>
        <v>5435.5147992941056</v>
      </c>
      <c r="U100" s="59">
        <f>'תמהיל יצור'!$AC24*$E$7*10</f>
        <v>0</v>
      </c>
      <c r="V100" s="28">
        <f>'תמהיל יצור'!AD24*$G$7*10</f>
        <v>10475.586052360955</v>
      </c>
      <c r="W100" s="28">
        <f>'תמהיל יצור'!AE24*$H$7*10</f>
        <v>1603.3637859606663</v>
      </c>
      <c r="X100" s="28">
        <f>'תמהיל יצור'!AF24*$I$7*10</f>
        <v>276.52100405572361</v>
      </c>
      <c r="Y100" s="28">
        <f t="shared" ref="Y100:Y105" si="77">SUM(U100:X100)</f>
        <v>12355.470842377345</v>
      </c>
      <c r="Z100" s="29">
        <f t="shared" ref="Z100:Z105" si="78">+Y100/(1+$L$4)^($A100-$A$79)</f>
        <v>5421.9957756074045</v>
      </c>
      <c r="AA100" s="59">
        <f>'תמהיל יצור'!$AI24*($J$7)*10</f>
        <v>1698.2009348268505</v>
      </c>
      <c r="AB100" s="28">
        <f>'תמהיל יצור'!$AK24*$E$7*10</f>
        <v>1641.7746528187313</v>
      </c>
      <c r="AC100" s="28">
        <f>'תמהיל יצור'!$AL24*$G$7*10</f>
        <v>10199.235484676952</v>
      </c>
      <c r="AD100" s="28">
        <f t="shared" ref="AD100:AD105" si="79">SUM(AA100:AC100)</f>
        <v>13539.211072322534</v>
      </c>
      <c r="AE100" s="29">
        <f t="shared" ref="AE100:AE105" si="80">+AD100/(1+$L$4)^($A100-$A$79)</f>
        <v>5941.4607646846162</v>
      </c>
    </row>
    <row r="101" spans="1:31">
      <c r="A101" s="100">
        <f t="shared" si="62"/>
        <v>2041</v>
      </c>
      <c r="B101" s="59">
        <f>'תמהיל יצור'!$H25*10*$E$7</f>
        <v>2327.1757214712115</v>
      </c>
      <c r="C101" s="28">
        <f>'תמהיל יצור'!$I25*$G$7*10</f>
        <v>11270.212457901582</v>
      </c>
      <c r="D101" s="28">
        <f t="shared" si="69"/>
        <v>13597.388179372792</v>
      </c>
      <c r="E101" s="29">
        <f t="shared" si="70"/>
        <v>5737.4911866655821</v>
      </c>
      <c r="F101" s="59">
        <f>'תמהיל יצור'!$L25*$E$7*10</f>
        <v>1641.7746528187313</v>
      </c>
      <c r="G101" s="28">
        <f>'תמהיל יצור'!$M25*$G$7*10</f>
        <v>11748.268025299703</v>
      </c>
      <c r="H101" s="28">
        <f t="shared" si="71"/>
        <v>13390.042678118434</v>
      </c>
      <c r="I101" s="29">
        <f t="shared" si="72"/>
        <v>5650.0006355135365</v>
      </c>
      <c r="J101" s="59">
        <f>('תמהיל יצור'!Q25+'תמהיל יצור'!P25)*$E$7*10</f>
        <v>83.387337948848582</v>
      </c>
      <c r="K101" s="28">
        <f>'תמהיל יצור'!$R25*$F$7*10</f>
        <v>699.17510135870521</v>
      </c>
      <c r="L101" s="28">
        <f>'תמהיל יצור'!$S25*$G$7*10</f>
        <v>12228.982000196418</v>
      </c>
      <c r="M101" s="28">
        <f t="shared" si="73"/>
        <v>13011.544439503972</v>
      </c>
      <c r="N101" s="29">
        <f t="shared" si="74"/>
        <v>5490.2912648923993</v>
      </c>
      <c r="O101" s="59">
        <f>('תמהיל יצור'!$W25+'תמהיל יצור'!$V25)*$E$7*10</f>
        <v>67.390583321926613</v>
      </c>
      <c r="P101" s="28">
        <f>'תמהיל יצור'!X25*$G$7*10</f>
        <v>10767.551307231919</v>
      </c>
      <c r="Q101" s="28">
        <f>'תמהיל יצור'!Y25*$H$7*10</f>
        <v>1603.3637859606663</v>
      </c>
      <c r="R101" s="28">
        <f>'תמהיל יצור'!Z25*$I$7*10</f>
        <v>276.52100405572361</v>
      </c>
      <c r="S101" s="28">
        <f t="shared" si="75"/>
        <v>12714.826680570235</v>
      </c>
      <c r="T101" s="29">
        <f t="shared" si="76"/>
        <v>5365.0896081954143</v>
      </c>
      <c r="U101" s="59">
        <f>'תמהיל יצור'!$AC25*$E$7*10</f>
        <v>0</v>
      </c>
      <c r="V101" s="28">
        <f>'תמהיל יצור'!AD25*$G$7*10</f>
        <v>10814.555090886057</v>
      </c>
      <c r="W101" s="28">
        <f>'תמהיל יצור'!AE25*$H$7*10</f>
        <v>1603.3637859606663</v>
      </c>
      <c r="X101" s="28">
        <f>'תמהיל יצור'!AF25*$I$7*10</f>
        <v>276.52100405572361</v>
      </c>
      <c r="Y101" s="28">
        <f t="shared" si="77"/>
        <v>12694.439880902446</v>
      </c>
      <c r="Z101" s="29">
        <f t="shared" si="78"/>
        <v>5356.4872882590234</v>
      </c>
      <c r="AA101" s="59">
        <f>'תמהיל יצור'!$AI25*($J$7)*10</f>
        <v>1744.0523600671754</v>
      </c>
      <c r="AB101" s="28">
        <f>'תמהיל יצור'!$AK25*$E$7*10</f>
        <v>1641.7746528187313</v>
      </c>
      <c r="AC101" s="28">
        <f>'תמהיל יצור'!$AL25*$G$7*10</f>
        <v>10505.532808645417</v>
      </c>
      <c r="AD101" s="28">
        <f t="shared" si="79"/>
        <v>13891.359821531325</v>
      </c>
      <c r="AE101" s="29">
        <f t="shared" si="80"/>
        <v>5861.5341045968989</v>
      </c>
    </row>
    <row r="102" spans="1:31">
      <c r="A102" s="100">
        <f t="shared" si="62"/>
        <v>2042</v>
      </c>
      <c r="B102" s="59">
        <f>'תמהיל יצור'!$H26*10*$E$7</f>
        <v>2327.1757214712115</v>
      </c>
      <c r="C102" s="28">
        <f>'תמהיל יצור'!$I26*$G$7*10</f>
        <v>11618.333660466862</v>
      </c>
      <c r="D102" s="28">
        <f t="shared" si="69"/>
        <v>13945.509381938075</v>
      </c>
      <c r="E102" s="29">
        <f t="shared" si="70"/>
        <v>5658.0603877839321</v>
      </c>
      <c r="F102" s="59">
        <f>'תמהיל יצור'!$L26*$E$7*10</f>
        <v>1641.7746528187313</v>
      </c>
      <c r="G102" s="28">
        <f>'תמהיל יצור'!$M26*$G$7*10</f>
        <v>12096.389227864982</v>
      </c>
      <c r="H102" s="28">
        <f t="shared" si="71"/>
        <v>13738.163880683713</v>
      </c>
      <c r="I102" s="29">
        <f t="shared" si="72"/>
        <v>5573.9348578300405</v>
      </c>
      <c r="J102" s="59">
        <f>('תמהיל יצור'!Q26+'תמהיל יצור'!P26)*$E$7*10</f>
        <v>83.387337948848582</v>
      </c>
      <c r="K102" s="28">
        <f>'תמהיל יצור'!$R26*$F$7*10</f>
        <v>699.17510135870521</v>
      </c>
      <c r="L102" s="28">
        <f>'תמהיל יצור'!$S26*$G$7*10</f>
        <v>12577.103202761698</v>
      </c>
      <c r="M102" s="28">
        <f t="shared" si="73"/>
        <v>13359.665642069252</v>
      </c>
      <c r="N102" s="29">
        <f t="shared" si="74"/>
        <v>5420.3681553097167</v>
      </c>
      <c r="O102" s="59">
        <f>('תמהיל יצור'!$W26+'תמהיל יצור'!$V26)*$E$7*10</f>
        <v>67.390583321926613</v>
      </c>
      <c r="P102" s="28">
        <f>'תמהיל יצור'!X26*$G$7*10</f>
        <v>11115.672509797198</v>
      </c>
      <c r="Q102" s="28">
        <f>'תמהיל יצור'!Y26*$H$7*10</f>
        <v>1603.3637859606663</v>
      </c>
      <c r="R102" s="28">
        <f>'תמהיל יצור'!Z26*$I$7*10</f>
        <v>276.52100405572361</v>
      </c>
      <c r="S102" s="28">
        <f t="shared" si="75"/>
        <v>13062.947883135514</v>
      </c>
      <c r="T102" s="29">
        <f t="shared" si="76"/>
        <v>5299.9819469472304</v>
      </c>
      <c r="U102" s="59">
        <f>'תמהיל יצור'!$AC26*$E$7*10</f>
        <v>0</v>
      </c>
      <c r="V102" s="28">
        <f>'תמהיל יצור'!AD26*$G$7*10</f>
        <v>11162.676293451334</v>
      </c>
      <c r="W102" s="28">
        <f>'תמהיל יצור'!AE26*$H$7*10</f>
        <v>1603.3637859606663</v>
      </c>
      <c r="X102" s="28">
        <f>'תמהיל יצור'!AF26*$I$7*10</f>
        <v>276.52100405572361</v>
      </c>
      <c r="Y102" s="28">
        <f t="shared" si="77"/>
        <v>13042.561083467723</v>
      </c>
      <c r="Z102" s="29">
        <f t="shared" si="78"/>
        <v>5291.710485469931</v>
      </c>
      <c r="AA102" s="59">
        <f>'תמהיל יצור'!$AI26*($J$7)*10</f>
        <v>1791.1417737889885</v>
      </c>
      <c r="AB102" s="28">
        <f>'תמהיל יצור'!$AK26*$E$7*10</f>
        <v>1641.7746528187313</v>
      </c>
      <c r="AC102" s="28">
        <f>'תמהיל יצור'!$AL26*$G$7*10</f>
        <v>10820.100160361033</v>
      </c>
      <c r="AD102" s="28">
        <f t="shared" si="79"/>
        <v>14253.016586968752</v>
      </c>
      <c r="AE102" s="29">
        <f t="shared" si="80"/>
        <v>5782.8241585498608</v>
      </c>
    </row>
    <row r="103" spans="1:31">
      <c r="A103" s="100">
        <f t="shared" si="62"/>
        <v>2043</v>
      </c>
      <c r="B103" s="59">
        <f>'תמהיל יצור'!$H27*10*$E$7</f>
        <v>2327.1757214712115</v>
      </c>
      <c r="C103" s="28">
        <f>'תמהיל יצור'!$I27*$G$7*10</f>
        <v>11975.854135501406</v>
      </c>
      <c r="D103" s="28">
        <f t="shared" si="69"/>
        <v>14303.029856972618</v>
      </c>
      <c r="E103" s="29">
        <f t="shared" si="70"/>
        <v>5579.9190953901598</v>
      </c>
      <c r="F103" s="59">
        <f>'תמהיל יצור'!$L27*$E$7*10</f>
        <v>1641.7746528187313</v>
      </c>
      <c r="G103" s="28">
        <f>'תמהיל יצור'!$M27*$G$7*10</f>
        <v>12453.909702899526</v>
      </c>
      <c r="H103" s="28">
        <f t="shared" si="71"/>
        <v>14095.684355718256</v>
      </c>
      <c r="I103" s="29">
        <f t="shared" si="72"/>
        <v>5499.0291627421875</v>
      </c>
      <c r="J103" s="59">
        <f>('תמהיל יצור'!Q27+'תמהיל יצור'!P27)*$E$7*10</f>
        <v>83.387337948848582</v>
      </c>
      <c r="K103" s="28">
        <f>'תמהיל יצור'!$R27*$F$7*10</f>
        <v>699.17510135870521</v>
      </c>
      <c r="L103" s="28">
        <f>'תמהיל יצור'!$S27*$G$7*10</f>
        <v>12934.62367779624</v>
      </c>
      <c r="M103" s="28">
        <f t="shared" si="73"/>
        <v>13717.186117103794</v>
      </c>
      <c r="N103" s="29">
        <f t="shared" si="74"/>
        <v>5351.3688718572603</v>
      </c>
      <c r="O103" s="59">
        <f>('תמהיל יצור'!$W27+'תמהיל יצור'!$V27)*$E$7*10</f>
        <v>67.390583321926613</v>
      </c>
      <c r="P103" s="28">
        <f>'תמהיל יצור'!X27*$G$7*10</f>
        <v>11473.192984831741</v>
      </c>
      <c r="Q103" s="28">
        <f>'תמהיל יצור'!Y27*$H$7*10</f>
        <v>1603.3637859606663</v>
      </c>
      <c r="R103" s="28">
        <f>'תמהיל יצור'!Z27*$I$7*10</f>
        <v>276.52100405572361</v>
      </c>
      <c r="S103" s="28">
        <f t="shared" si="75"/>
        <v>13420.468358170057</v>
      </c>
      <c r="T103" s="29">
        <f t="shared" si="76"/>
        <v>5235.6129022779469</v>
      </c>
      <c r="U103" s="59">
        <f>'תמהיל יצור'!$AC27*$E$7*10</f>
        <v>0</v>
      </c>
      <c r="V103" s="28">
        <f>'תמהיל יצור'!AD27*$G$7*10</f>
        <v>11520.196768485877</v>
      </c>
      <c r="W103" s="28">
        <f>'תמהיל יצור'!AE27*$H$7*10</f>
        <v>1603.3637859606663</v>
      </c>
      <c r="X103" s="28">
        <f>'תמהיל יצור'!AF27*$I$7*10</f>
        <v>276.52100405572361</v>
      </c>
      <c r="Y103" s="28">
        <f t="shared" si="77"/>
        <v>13400.081558502266</v>
      </c>
      <c r="Z103" s="29">
        <f t="shared" si="78"/>
        <v>5227.6595739343893</v>
      </c>
      <c r="AA103" s="59">
        <f>'תמהיל יצור'!$AI27*($J$7)*10</f>
        <v>1839.5026016812908</v>
      </c>
      <c r="AB103" s="28">
        <f>'תמהיל יצור'!$AK27*$E$7*10</f>
        <v>1641.7746528187313</v>
      </c>
      <c r="AC103" s="28">
        <f>'תמהיל יצור'!$AL27*$G$7*10</f>
        <v>11143.160830572964</v>
      </c>
      <c r="AD103" s="28">
        <f t="shared" si="79"/>
        <v>14624.438085072987</v>
      </c>
      <c r="AE103" s="29">
        <f t="shared" si="80"/>
        <v>5705.3073472030073</v>
      </c>
    </row>
    <row r="104" spans="1:31">
      <c r="A104" s="100">
        <f t="shared" si="62"/>
        <v>2044</v>
      </c>
      <c r="B104" s="59">
        <f>'תמהיל יצור'!$H28*10*$E$7</f>
        <v>2327.1757214712115</v>
      </c>
      <c r="C104" s="28">
        <f>'תמהיל יצור'!$I28*$G$7*10</f>
        <v>12343.02766336188</v>
      </c>
      <c r="D104" s="28">
        <f t="shared" si="69"/>
        <v>14670.20338483309</v>
      </c>
      <c r="E104" s="29">
        <f t="shared" si="70"/>
        <v>5503.0397821338638</v>
      </c>
      <c r="F104" s="59">
        <f>'תמהיל יצור'!$L28*$E$7*10</f>
        <v>1641.7746528187313</v>
      </c>
      <c r="G104" s="28">
        <f>'תמהיל יצור'!$M28*$G$7*10</f>
        <v>12821.083230759999</v>
      </c>
      <c r="H104" s="28">
        <f t="shared" si="71"/>
        <v>14462.85788357873</v>
      </c>
      <c r="I104" s="29">
        <f t="shared" si="72"/>
        <v>5425.2610007415833</v>
      </c>
      <c r="J104" s="59">
        <f>('תמהיל יצור'!Q28+'תמהיל יצור'!P28)*$E$7*10</f>
        <v>83.387337948848582</v>
      </c>
      <c r="K104" s="28">
        <f>'תמהיל יצור'!$R28*$F$7*10</f>
        <v>699.17510135870521</v>
      </c>
      <c r="L104" s="28">
        <f>'תמהיל יצור'!$S28*$G$7*10</f>
        <v>13301.797205656714</v>
      </c>
      <c r="M104" s="28">
        <f t="shared" si="73"/>
        <v>14084.359644964268</v>
      </c>
      <c r="N104" s="29">
        <f t="shared" si="74"/>
        <v>5283.279951813769</v>
      </c>
      <c r="O104" s="59">
        <f>('תמהיל יצור'!$W28+'תמהיל יצור'!$V28)*$E$7*10</f>
        <v>67.390583321926613</v>
      </c>
      <c r="P104" s="28">
        <f>'תמהיל יצור'!X28*$G$7*10</f>
        <v>11840.366512692217</v>
      </c>
      <c r="Q104" s="28">
        <f>'תמהיל יצור'!Y28*$H$7*10</f>
        <v>1603.3637859606663</v>
      </c>
      <c r="R104" s="28">
        <f>'תמהיל יצור'!Z28*$I$7*10</f>
        <v>276.52100405572361</v>
      </c>
      <c r="S104" s="28">
        <f t="shared" si="75"/>
        <v>13787.641886030533</v>
      </c>
      <c r="T104" s="29">
        <f t="shared" si="76"/>
        <v>5171.9761349105838</v>
      </c>
      <c r="U104" s="59">
        <f>'תמהיל יצור'!$AC28*$E$7*10</f>
        <v>0</v>
      </c>
      <c r="V104" s="28">
        <f>'תמהיל יצור'!AD28*$G$7*10</f>
        <v>11887.370296346353</v>
      </c>
      <c r="W104" s="28">
        <f>'תמהיל יצור'!AE28*$H$7*10</f>
        <v>1603.3637859606663</v>
      </c>
      <c r="X104" s="28">
        <f>'תמהיל יצור'!AF28*$I$7*10</f>
        <v>276.52100405572361</v>
      </c>
      <c r="Y104" s="28">
        <f t="shared" si="77"/>
        <v>13767.255086362742</v>
      </c>
      <c r="Z104" s="29">
        <f t="shared" si="78"/>
        <v>5164.3287038110093</v>
      </c>
      <c r="AA104" s="59">
        <f>'תמהיל יצור'!$AI28*($J$7)*10</f>
        <v>1889.169171926686</v>
      </c>
      <c r="AB104" s="28">
        <f>'תמהיל יצור'!$AK28*$E$7*10</f>
        <v>1641.7746528187313</v>
      </c>
      <c r="AC104" s="28">
        <f>'תמהיל יצור'!$AL28*$G$7*10</f>
        <v>11474.944138880623</v>
      </c>
      <c r="AD104" s="28">
        <f t="shared" si="79"/>
        <v>15005.887963626039</v>
      </c>
      <c r="AE104" s="29">
        <f t="shared" si="80"/>
        <v>5628.9607078966437</v>
      </c>
    </row>
    <row r="105" spans="1:31" ht="16" customHeight="1">
      <c r="A105" s="100">
        <f t="shared" si="62"/>
        <v>2045</v>
      </c>
      <c r="B105" s="59">
        <f>'תמהיל יצור'!$H29*10*$E$7</f>
        <v>1137.7303527192589</v>
      </c>
      <c r="C105" s="28">
        <f>'תמהיל יצור'!$I29*$G$7*10</f>
        <v>13549.732755194429</v>
      </c>
      <c r="D105" s="28">
        <f t="shared" si="69"/>
        <v>14687.463107913689</v>
      </c>
      <c r="E105" s="29">
        <f t="shared" si="70"/>
        <v>5297.6098021765847</v>
      </c>
      <c r="F105" s="59">
        <f>'תמהיל יצור'!$L29*$E$7*10</f>
        <v>802.64538582249088</v>
      </c>
      <c r="G105" s="28">
        <f>'תמהיל יצור'!$M29*$G$7*10</f>
        <v>13783.448810366841</v>
      </c>
      <c r="H105" s="28">
        <f t="shared" si="71"/>
        <v>14586.094196189331</v>
      </c>
      <c r="I105" s="29">
        <f t="shared" si="72"/>
        <v>5261.0471271631177</v>
      </c>
      <c r="J105" s="59">
        <f>('תמהיל יצור'!Q29+'תמהיל יצור'!P29)*$E$7*10</f>
        <v>40.767142997214869</v>
      </c>
      <c r="K105" s="28">
        <f>'תמהיל יצור'!$R29*$F$7*10</f>
        <v>167.11148101610536</v>
      </c>
      <c r="L105" s="28">
        <f>'תמהיל יצור'!$S29*$G$7*10</f>
        <v>14169.948343931821</v>
      </c>
      <c r="M105" s="28">
        <f t="shared" si="73"/>
        <v>14377.82696794514</v>
      </c>
      <c r="N105" s="29">
        <f t="shared" si="74"/>
        <v>5185.9273803619089</v>
      </c>
      <c r="O105" s="59">
        <f>('תמהיל יצור'!$W29+'תמהיל יצור'!$V29)*$E$7*10</f>
        <v>67.390583321926613</v>
      </c>
      <c r="P105" s="28">
        <f>'תמהיל יצור'!X29*$G$7*10</f>
        <v>12217.453725804926</v>
      </c>
      <c r="Q105" s="28">
        <f>'תמהיל יצור'!Y29*$H$7*10</f>
        <v>1603.3637859606663</v>
      </c>
      <c r="R105" s="28">
        <f>'תמהיל יצור'!Z29*$I$7*10</f>
        <v>276.52100405572361</v>
      </c>
      <c r="S105" s="28">
        <f t="shared" si="75"/>
        <v>14164.729099143242</v>
      </c>
      <c r="T105" s="29">
        <f t="shared" si="76"/>
        <v>5109.0652735233489</v>
      </c>
      <c r="U105" s="59">
        <f>'תמהיל יצור'!$AC29*$E$7*10</f>
        <v>0</v>
      </c>
      <c r="V105" s="28">
        <f>'תמהיל יצור'!AD29*$G$7*10</f>
        <v>12264.457509459064</v>
      </c>
      <c r="W105" s="28">
        <f>'תמהיל יצור'!AE29*$H$7*10</f>
        <v>1603.3637859606663</v>
      </c>
      <c r="X105" s="28">
        <f>'תמהיל יצור'!AF29*$I$7*10</f>
        <v>276.52100405572361</v>
      </c>
      <c r="Y105" s="28">
        <f t="shared" si="77"/>
        <v>14144.342299475453</v>
      </c>
      <c r="Z105" s="29">
        <f t="shared" si="78"/>
        <v>5101.7119743891435</v>
      </c>
      <c r="AA105" s="59">
        <f>'תמהיל יצור'!$AI29*($J$7)*10</f>
        <v>1940.1767395687059</v>
      </c>
      <c r="AB105" s="28">
        <f>'תמהיל יצור'!$AK29*$E$7*10</f>
        <v>802.64538582249088</v>
      </c>
      <c r="AC105" s="28">
        <f>'תמהיל יצור'!$AL29*$G$7*10</f>
        <v>12400.963963006723</v>
      </c>
      <c r="AD105" s="28">
        <f t="shared" si="79"/>
        <v>15143.786088397919</v>
      </c>
      <c r="AE105" s="29">
        <f t="shared" si="80"/>
        <v>5462.2005879787412</v>
      </c>
    </row>
    <row r="106" spans="1:31" ht="16" thickBot="1">
      <c r="A106" s="185"/>
      <c r="B106" s="89"/>
      <c r="C106" s="64"/>
      <c r="D106" s="64"/>
      <c r="E106" s="61">
        <f>SUM(E80:E105)</f>
        <v>177160.12391670526</v>
      </c>
      <c r="F106" s="89"/>
      <c r="G106" s="64"/>
      <c r="H106" s="64"/>
      <c r="I106" s="61">
        <f>SUM(I80:I105)</f>
        <v>172444.13680850033</v>
      </c>
      <c r="J106" s="89"/>
      <c r="K106" s="64"/>
      <c r="L106" s="64"/>
      <c r="M106" s="64"/>
      <c r="N106" s="61">
        <f>SUM(N80:N105)</f>
        <v>166583.97061447275</v>
      </c>
      <c r="O106" s="89"/>
      <c r="P106" s="64"/>
      <c r="Q106" s="64"/>
      <c r="R106" s="64"/>
      <c r="S106" s="64"/>
      <c r="T106" s="61">
        <f>SUM(T80:T105)</f>
        <v>161988.4895342011</v>
      </c>
      <c r="U106" s="89"/>
      <c r="V106" s="64"/>
      <c r="W106" s="64"/>
      <c r="X106" s="64"/>
      <c r="Y106" s="64"/>
      <c r="Z106" s="61">
        <f>SUM(Z80:Z105)</f>
        <v>161676.01962108852</v>
      </c>
      <c r="AA106" s="89"/>
      <c r="AB106" s="64"/>
      <c r="AC106" s="64"/>
      <c r="AD106" s="64"/>
      <c r="AE106" s="61">
        <f>SUM(AE80:AE105)</f>
        <v>177408.0491784414</v>
      </c>
    </row>
    <row r="107" spans="1:31" ht="16" thickBot="1">
      <c r="A107" s="454" t="s">
        <v>236</v>
      </c>
      <c r="B107" s="330"/>
      <c r="C107" s="330"/>
      <c r="D107" s="330"/>
      <c r="E107" s="330">
        <f>MIN(E106-I106,0)</f>
        <v>0</v>
      </c>
      <c r="F107" s="330"/>
      <c r="G107" s="330"/>
      <c r="H107" s="330"/>
      <c r="I107" s="330"/>
      <c r="J107" s="330"/>
      <c r="K107" s="330"/>
      <c r="L107" s="330"/>
      <c r="M107" s="330"/>
      <c r="N107" s="330">
        <f>N106-I106</f>
        <v>-5860.1661940275808</v>
      </c>
      <c r="O107" s="330"/>
      <c r="P107" s="330"/>
      <c r="Q107" s="330"/>
      <c r="R107" s="330"/>
      <c r="S107" s="330"/>
      <c r="T107" s="330">
        <f>T106-I106</f>
        <v>-10455.647274299234</v>
      </c>
      <c r="U107" s="330"/>
      <c r="V107" s="330"/>
      <c r="W107" s="330"/>
      <c r="X107" s="330"/>
      <c r="Y107" s="330"/>
      <c r="Z107" s="330">
        <f>Z106-I106</f>
        <v>-10768.117187411815</v>
      </c>
      <c r="AA107" s="330"/>
      <c r="AB107" s="330"/>
      <c r="AC107" s="330"/>
      <c r="AD107" s="330"/>
      <c r="AE107" s="455">
        <f>AE106-I106</f>
        <v>4963.9123699410702</v>
      </c>
    </row>
  </sheetData>
  <mergeCells count="23">
    <mergeCell ref="E4:J4"/>
    <mergeCell ref="A76:AD76"/>
    <mergeCell ref="B77:E77"/>
    <mergeCell ref="F77:I77"/>
    <mergeCell ref="J77:N77"/>
    <mergeCell ref="O77:T77"/>
    <mergeCell ref="U77:Z77"/>
    <mergeCell ref="AA77:AE77"/>
    <mergeCell ref="AA44:AE44"/>
    <mergeCell ref="A43:AD43"/>
    <mergeCell ref="B11:E11"/>
    <mergeCell ref="F11:I11"/>
    <mergeCell ref="J11:N11"/>
    <mergeCell ref="O11:T11"/>
    <mergeCell ref="C4:D4"/>
    <mergeCell ref="A10:AD10"/>
    <mergeCell ref="U11:Z11"/>
    <mergeCell ref="AA11:AE11"/>
    <mergeCell ref="B44:E44"/>
    <mergeCell ref="F44:I44"/>
    <mergeCell ref="J44:N44"/>
    <mergeCell ref="O44:T44"/>
    <mergeCell ref="U44:Z4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8" tint="0.39997558519241921"/>
  </sheetPr>
  <dimension ref="A1:CA33"/>
  <sheetViews>
    <sheetView rightToLeft="1" topLeftCell="D1" zoomScaleNormal="70" workbookViewId="0">
      <selection activeCell="F35" sqref="F35"/>
    </sheetView>
  </sheetViews>
  <sheetFormatPr baseColWidth="10" defaultColWidth="8.83203125" defaultRowHeight="15"/>
  <cols>
    <col min="1" max="1" width="35.33203125" bestFit="1" customWidth="1"/>
    <col min="2" max="2" width="11.1640625" customWidth="1"/>
    <col min="4" max="4" width="13.6640625" bestFit="1" customWidth="1"/>
    <col min="5" max="6" width="12.83203125" customWidth="1"/>
    <col min="7" max="7" width="9.5" customWidth="1"/>
    <col min="8" max="8" width="9.5" bestFit="1" customWidth="1"/>
    <col min="9" max="9" width="9.1640625" customWidth="1"/>
    <col min="10" max="10" width="5.6640625" customWidth="1"/>
    <col min="11" max="11" width="6.5" bestFit="1" customWidth="1"/>
    <col min="12" max="12" width="10.6640625" bestFit="1" customWidth="1"/>
    <col min="13" max="13" width="9.83203125" customWidth="1"/>
    <col min="14" max="14" width="7.83203125" customWidth="1"/>
    <col min="15" max="15" width="8" customWidth="1"/>
    <col min="16" max="16" width="9.5" customWidth="1"/>
    <col min="17" max="17" width="7.5" customWidth="1"/>
    <col min="18" max="18" width="7.5" bestFit="1" customWidth="1"/>
    <col min="19" max="19" width="5" bestFit="1" customWidth="1"/>
    <col min="20" max="20" width="7.1640625" bestFit="1" customWidth="1"/>
    <col min="21" max="21" width="8.1640625" customWidth="1"/>
    <col min="22" max="22" width="9.1640625" customWidth="1"/>
    <col min="24" max="24" width="10.83203125" bestFit="1" customWidth="1"/>
  </cols>
  <sheetData>
    <row r="1" spans="1:79" ht="30" thickBot="1">
      <c r="A1" s="225" t="s">
        <v>204</v>
      </c>
      <c r="B1" s="225"/>
      <c r="C1" s="225"/>
      <c r="D1" s="225"/>
      <c r="E1" s="225"/>
      <c r="F1" s="225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  <c r="AG1" s="226"/>
      <c r="AH1" s="226"/>
      <c r="AI1" s="226"/>
      <c r="AJ1" s="226"/>
      <c r="AK1" s="236"/>
      <c r="AL1" s="236"/>
      <c r="AM1" s="236"/>
      <c r="AN1" s="236"/>
      <c r="AO1" s="236"/>
      <c r="AP1" s="236"/>
      <c r="AQ1" s="236"/>
      <c r="AR1" s="236"/>
      <c r="AS1" s="236"/>
      <c r="AT1" s="236"/>
      <c r="AU1" s="236"/>
      <c r="AV1" s="236"/>
      <c r="AW1" s="236"/>
      <c r="AX1" s="236"/>
      <c r="AY1" s="236"/>
      <c r="AZ1" s="236"/>
      <c r="BA1" s="236"/>
      <c r="BB1" s="236"/>
      <c r="BC1" s="236"/>
      <c r="BD1" s="236"/>
      <c r="BE1" s="236"/>
      <c r="BF1" s="236"/>
      <c r="BG1" s="236"/>
      <c r="BH1" s="236"/>
      <c r="BI1" s="236"/>
      <c r="BJ1" s="236"/>
      <c r="BK1" s="236"/>
      <c r="BL1" s="236"/>
      <c r="BM1" s="236"/>
      <c r="BN1" s="236"/>
      <c r="BO1" s="236"/>
      <c r="BP1" s="236"/>
      <c r="BQ1" s="236"/>
      <c r="BR1" s="236"/>
      <c r="BS1" s="236"/>
      <c r="BT1" s="236"/>
      <c r="BU1" s="236"/>
      <c r="BV1" s="236"/>
      <c r="BW1" s="236"/>
      <c r="BX1" s="236"/>
      <c r="BY1" s="236"/>
      <c r="BZ1" s="236"/>
      <c r="CA1" s="236"/>
    </row>
    <row r="2" spans="1:79" ht="16" thickBot="1">
      <c r="A2" s="1014" t="s">
        <v>99</v>
      </c>
      <c r="B2" s="1010"/>
      <c r="D2" s="40"/>
      <c r="E2" s="213" t="s">
        <v>116</v>
      </c>
      <c r="F2" s="278"/>
      <c r="G2" s="278"/>
      <c r="H2" s="278"/>
      <c r="I2" s="213" t="s">
        <v>4</v>
      </c>
      <c r="J2" s="278"/>
      <c r="K2" s="278"/>
      <c r="L2" s="278"/>
      <c r="M2" s="351"/>
      <c r="N2" s="278" t="s">
        <v>8</v>
      </c>
      <c r="O2" s="278"/>
      <c r="P2" s="278"/>
      <c r="Q2" s="352"/>
      <c r="R2" s="351"/>
      <c r="S2" s="278" t="s">
        <v>5</v>
      </c>
      <c r="T2" s="278"/>
      <c r="U2" s="278"/>
      <c r="V2" s="279"/>
      <c r="W2" s="213" t="s">
        <v>205</v>
      </c>
      <c r="X2" s="278"/>
      <c r="Y2" s="278"/>
      <c r="Z2" s="279"/>
    </row>
    <row r="3" spans="1:79" ht="48">
      <c r="A3" s="8" t="s">
        <v>94</v>
      </c>
      <c r="B3" s="90">
        <f>'הנחות עבודה'!E9</f>
        <v>193.76945355367468</v>
      </c>
      <c r="D3" s="280" t="s">
        <v>6</v>
      </c>
      <c r="E3" s="281" t="s">
        <v>162</v>
      </c>
      <c r="F3" s="336" t="s">
        <v>163</v>
      </c>
      <c r="G3" s="336" t="s">
        <v>294</v>
      </c>
      <c r="H3" s="282" t="s">
        <v>31</v>
      </c>
      <c r="I3" s="283" t="s">
        <v>162</v>
      </c>
      <c r="J3" s="283" t="s">
        <v>164</v>
      </c>
      <c r="K3" s="283" t="s">
        <v>163</v>
      </c>
      <c r="L3" s="283" t="s">
        <v>32</v>
      </c>
      <c r="M3" s="283" t="s">
        <v>31</v>
      </c>
      <c r="N3" s="281" t="s">
        <v>165</v>
      </c>
      <c r="O3" s="283" t="s">
        <v>166</v>
      </c>
      <c r="P3" s="283" t="s">
        <v>163</v>
      </c>
      <c r="Q3" s="283" t="s">
        <v>32</v>
      </c>
      <c r="R3" s="282" t="s">
        <v>31</v>
      </c>
      <c r="S3" s="281" t="s">
        <v>162</v>
      </c>
      <c r="T3" s="283" t="s">
        <v>163</v>
      </c>
      <c r="U3" s="283" t="s">
        <v>32</v>
      </c>
      <c r="V3" s="282" t="s">
        <v>31</v>
      </c>
      <c r="W3" s="283" t="s">
        <v>162</v>
      </c>
      <c r="X3" s="283" t="s">
        <v>163</v>
      </c>
      <c r="Y3" s="283" t="s">
        <v>294</v>
      </c>
      <c r="Z3" s="282" t="s">
        <v>31</v>
      </c>
    </row>
    <row r="4" spans="1:79">
      <c r="A4" s="8" t="s">
        <v>95</v>
      </c>
      <c r="B4" s="90">
        <f>'הנחות עבודה'!E13</f>
        <v>164.3</v>
      </c>
      <c r="D4" s="8">
        <v>2019</v>
      </c>
      <c r="E4" s="8"/>
      <c r="H4" s="20"/>
      <c r="I4" s="9"/>
      <c r="J4" s="9"/>
      <c r="K4" s="9"/>
      <c r="L4" s="9"/>
      <c r="M4" s="9"/>
      <c r="N4" s="8"/>
      <c r="O4" s="9"/>
      <c r="P4" s="9"/>
      <c r="Q4" s="9"/>
      <c r="R4" s="20"/>
      <c r="S4" s="8"/>
      <c r="T4" s="9"/>
      <c r="U4" s="9"/>
      <c r="V4" s="20"/>
      <c r="W4" s="9"/>
      <c r="X4" s="9"/>
      <c r="Y4" s="9"/>
      <c r="Z4" s="20"/>
    </row>
    <row r="5" spans="1:79">
      <c r="A5" s="8" t="s">
        <v>168</v>
      </c>
      <c r="B5" s="90">
        <f>'הנחות עבודה'!E10</f>
        <v>199.88577970367467</v>
      </c>
      <c r="D5" s="8">
        <f>D4+1</f>
        <v>2020</v>
      </c>
      <c r="E5" s="59">
        <f>+$B$3*'הספק לפי חלופה'!E4/1000</f>
        <v>658.81614208249391</v>
      </c>
      <c r="F5" s="28">
        <f>+$B$4*'הספק לפי חלופה'!F4/1000</f>
        <v>0</v>
      </c>
      <c r="G5" s="28">
        <f>F5+E5</f>
        <v>658.81614208249391</v>
      </c>
      <c r="H5" s="397">
        <f>G5/(1+'הנחות עבודה'!$B$37)^($D5-$D$4)</f>
        <v>633.47705969470564</v>
      </c>
      <c r="I5" s="28">
        <f>+$B$3*'הספק לפי חלופה'!H4/1000</f>
        <v>658.81614208249391</v>
      </c>
      <c r="J5" s="28">
        <f>+$B$5*'הספק לפי חלופה'!I4/1000</f>
        <v>0</v>
      </c>
      <c r="K5" s="28">
        <f>+$B$4*'הספק לפי חלופה'!J4/1000</f>
        <v>0</v>
      </c>
      <c r="L5" s="28">
        <f>+J5+I5+K5</f>
        <v>658.81614208249391</v>
      </c>
      <c r="M5" s="28">
        <f>+L5/(1+'הנחות עבודה'!$B$37)^($D5-$D$4)</f>
        <v>633.47705969470564</v>
      </c>
      <c r="N5" s="59">
        <f>+'הספק לפי חלופה'!K4*' עלויות תפעול'!$B$3/1000</f>
        <v>658.81614208249391</v>
      </c>
      <c r="O5" s="28">
        <f>+'הספק לפי חלופה'!L4*' עלויות תפעול'!$B$6/1000</f>
        <v>0</v>
      </c>
      <c r="P5" s="28">
        <f>+'הספק לפי חלופה'!M4*' עלויות תפעול'!$B$4/1000</f>
        <v>0</v>
      </c>
      <c r="Q5" s="28">
        <f t="shared" ref="Q5:Q6" si="0">SUM(N5:P5)</f>
        <v>658.81614208249391</v>
      </c>
      <c r="R5" s="29">
        <f>+Q5/(1+'הנחות עבודה'!$B$37)^($D5-$D$4)</f>
        <v>633.47705969470564</v>
      </c>
      <c r="S5" s="59">
        <f>$B$3*'הספק לפי חלופה'!O4/1000</f>
        <v>658.81614208249391</v>
      </c>
      <c r="T5" s="28">
        <f>+$B$4*'הספק לפי חלופה'!P4/1000</f>
        <v>0</v>
      </c>
      <c r="U5" s="28">
        <f t="shared" ref="U5:U6" si="1">+T5+S5</f>
        <v>658.81614208249391</v>
      </c>
      <c r="V5" s="29">
        <f>+U5/(1+'הנחות עבודה'!$B$37)^($D5-$D$4)</f>
        <v>633.47705969470564</v>
      </c>
      <c r="W5" s="28">
        <f>E5</f>
        <v>658.81614208249391</v>
      </c>
      <c r="X5" s="28">
        <f>F5</f>
        <v>0</v>
      </c>
      <c r="Y5" s="28">
        <f>X5+W5</f>
        <v>658.81614208249391</v>
      </c>
      <c r="Z5" s="29">
        <f>+Y5/(1+'הנחות עבודה'!$B$37)^($D5-$D$4)</f>
        <v>633.47705969470564</v>
      </c>
    </row>
    <row r="6" spans="1:79" ht="16" thickBot="1">
      <c r="A6" s="8" t="s">
        <v>167</v>
      </c>
      <c r="B6" s="90">
        <f>57.24*10^3/B8</f>
        <v>49.77391304347826</v>
      </c>
      <c r="D6" s="8">
        <f t="shared" ref="D6:D30" si="2">D5+1</f>
        <v>2021</v>
      </c>
      <c r="E6" s="59">
        <f>+$B$3*'הספק לפי חלופה'!E5/1000</f>
        <v>658.81614208249391</v>
      </c>
      <c r="F6" s="28">
        <f>+$B$4*'הספק לפי חלופה'!F5/1000</f>
        <v>0</v>
      </c>
      <c r="G6" s="28">
        <f t="shared" ref="G6:G24" si="3">F6+E6</f>
        <v>658.81614208249391</v>
      </c>
      <c r="H6" s="397">
        <f>G6/(1+'הנחות עבודה'!$B$37)^($D6-$D$4)</f>
        <v>609.11255739875537</v>
      </c>
      <c r="I6" s="28">
        <f>+$B$3*'הספק לפי חלופה'!H5/1000</f>
        <v>658.81614208249391</v>
      </c>
      <c r="J6" s="28">
        <f>+$B$5*'הספק לפי חלופה'!I5/1000</f>
        <v>0</v>
      </c>
      <c r="K6" s="28">
        <f>+$B$4*'הספק לפי חלופה'!J5/1000</f>
        <v>0</v>
      </c>
      <c r="L6" s="28">
        <f t="shared" ref="L6:L24" si="4">+J6+I6+K6</f>
        <v>658.81614208249391</v>
      </c>
      <c r="M6" s="28">
        <f>+L6/(1+'הנחות עבודה'!$B$37)^($D6-$D$4)</f>
        <v>609.11255739875537</v>
      </c>
      <c r="N6" s="59">
        <f>+'הספק לפי חלופה'!K5*' עלויות תפעול'!$B$3/1000</f>
        <v>658.81614208249391</v>
      </c>
      <c r="O6" s="28">
        <f>+'הספק לפי חלופה'!L5*' עלויות תפעול'!$B$6/1000</f>
        <v>0</v>
      </c>
      <c r="P6" s="28">
        <f>+'הספק לפי חלופה'!M5*' עלויות תפעול'!$B$4/1000</f>
        <v>0</v>
      </c>
      <c r="Q6" s="28">
        <f t="shared" si="0"/>
        <v>658.81614208249391</v>
      </c>
      <c r="R6" s="29">
        <f>+Q6/(1+'הנחות עבודה'!$B$37)^($D6-$D$4)</f>
        <v>609.11255739875537</v>
      </c>
      <c r="S6" s="59">
        <f>$B$3*'הספק לפי חלופה'!O5/1000</f>
        <v>658.81614208249391</v>
      </c>
      <c r="T6" s="28">
        <f>+$B$4*'הספק לפי חלופה'!P5/1000</f>
        <v>0</v>
      </c>
      <c r="U6" s="28">
        <f t="shared" si="1"/>
        <v>658.81614208249391</v>
      </c>
      <c r="V6" s="29">
        <f>+U6/(1+'הנחות עבודה'!$B$37)^($D6-$D$4)</f>
        <v>609.11255739875537</v>
      </c>
      <c r="W6" s="28">
        <f t="shared" ref="W6:W22" si="5">E6</f>
        <v>658.81614208249391</v>
      </c>
      <c r="X6" s="28">
        <f t="shared" ref="X6:X24" si="6">F6</f>
        <v>0</v>
      </c>
      <c r="Y6" s="28">
        <f t="shared" ref="Y6:Y24" si="7">X6+W6</f>
        <v>658.81614208249391</v>
      </c>
      <c r="Z6" s="29">
        <f>+Y6/(1+'הנחות עבודה'!$B$37)^($D6-$D$4)</f>
        <v>609.11255739875537</v>
      </c>
    </row>
    <row r="7" spans="1:79" ht="16" thickBot="1">
      <c r="A7" s="350" t="s">
        <v>97</v>
      </c>
      <c r="B7" s="351"/>
      <c r="D7" s="8">
        <f t="shared" si="2"/>
        <v>2022</v>
      </c>
      <c r="E7" s="59">
        <f>+$B$3*'הספק לפי חלופה'!E6/1000</f>
        <v>658.81614208249391</v>
      </c>
      <c r="F7" s="28">
        <f>+$B$4*'הספק לפי חלופה'!F6/1000</f>
        <v>0</v>
      </c>
      <c r="G7" s="28">
        <f t="shared" si="3"/>
        <v>658.81614208249391</v>
      </c>
      <c r="H7" s="397">
        <f>G7/(1+'הנחות עבודה'!$B$37)^($D7-$D$4)</f>
        <v>585.68515134495715</v>
      </c>
      <c r="I7" s="28">
        <f>+$B$3*'הספק לפי חלופה'!H6/1000</f>
        <v>435.98127049576806</v>
      </c>
      <c r="J7" s="28">
        <f>+$B$5*'הספק לפי חלופה'!I6/1000</f>
        <v>229.86864665922587</v>
      </c>
      <c r="K7" s="28">
        <f>+$B$4*'הספק לפי חלופה'!J6/1000</f>
        <v>0</v>
      </c>
      <c r="L7" s="28">
        <f t="shared" si="4"/>
        <v>665.84991715499393</v>
      </c>
      <c r="M7" s="28">
        <f>+L7/(1+'הנחות עבודה'!$B$37)^($D7-$D$4)</f>
        <v>591.93815177211991</v>
      </c>
      <c r="N7" s="59">
        <f>+'הספק לפי חלופה'!K6*' עלויות תפעול'!$B$3/1000</f>
        <v>658.81614208249391</v>
      </c>
      <c r="O7" s="28">
        <f>+'הספק לפי חלופה'!L6*' עלויות תפעול'!$B$6/1000</f>
        <v>0</v>
      </c>
      <c r="P7" s="28">
        <f>+'הספק לפי חלופה'!M6*' עלויות תפעול'!$B$4/1000</f>
        <v>0</v>
      </c>
      <c r="Q7" s="28">
        <f t="shared" ref="Q7:Q22" si="8">SUM(N7:P7)</f>
        <v>658.81614208249391</v>
      </c>
      <c r="R7" s="29">
        <f>+Q7/(1+'הנחות עבודה'!$B$37)^($D7-$D$4)</f>
        <v>585.68515134495715</v>
      </c>
      <c r="S7" s="59">
        <f>$B$3*'הספק לפי חלופה'!O6/1000</f>
        <v>658.81614208249391</v>
      </c>
      <c r="T7" s="28">
        <f>+$B$4*'הספק לפי חלופה'!P6/1000</f>
        <v>0</v>
      </c>
      <c r="U7" s="28">
        <f t="shared" ref="U7:U22" si="9">+T7+S7</f>
        <v>658.81614208249391</v>
      </c>
      <c r="V7" s="29">
        <f>+U7/(1+'הנחות עבודה'!$B$37)^($D7-$D$4)</f>
        <v>585.68515134495715</v>
      </c>
      <c r="W7" s="28">
        <f t="shared" si="5"/>
        <v>658.81614208249391</v>
      </c>
      <c r="X7" s="28">
        <f t="shared" si="6"/>
        <v>0</v>
      </c>
      <c r="Y7" s="28">
        <f t="shared" si="7"/>
        <v>658.81614208249391</v>
      </c>
      <c r="Z7" s="29">
        <f>+Y7/(1+'הנחות עבודה'!$B$37)^($D7-$D$4)</f>
        <v>585.68515134495715</v>
      </c>
    </row>
    <row r="8" spans="1:79">
      <c r="A8" s="8" t="s">
        <v>47</v>
      </c>
      <c r="B8" s="29">
        <f>+'הנחות עבודה'!I4</f>
        <v>1150</v>
      </c>
      <c r="D8" s="8">
        <f t="shared" si="2"/>
        <v>2023</v>
      </c>
      <c r="E8" s="59">
        <f>+$B$3*'הספק לפי חלופה'!E7/1000</f>
        <v>658.81614208249391</v>
      </c>
      <c r="F8" s="28">
        <f>+$B$4*'הספק לפי חלופה'!F7/1000</f>
        <v>0</v>
      </c>
      <c r="G8" s="28">
        <f t="shared" si="3"/>
        <v>658.81614208249391</v>
      </c>
      <c r="H8" s="397">
        <f>G8/(1+'הנחות עבודה'!$B$37)^($D8-$D$4)</f>
        <v>563.15879937015109</v>
      </c>
      <c r="I8" s="28">
        <f>+$B$3*'הספק לפי חלופה'!H7/1000</f>
        <v>435.98127049576806</v>
      </c>
      <c r="J8" s="28">
        <f>+$B$5*'הספק לפי חלופה'!I7/1000</f>
        <v>229.86864665922587</v>
      </c>
      <c r="K8" s="28">
        <f>+$B$4*'הספק לפי חלופה'!J7/1000</f>
        <v>0</v>
      </c>
      <c r="L8" s="28">
        <f t="shared" si="4"/>
        <v>665.84991715499393</v>
      </c>
      <c r="M8" s="28">
        <f>+L8/(1+'הנחות עבודה'!$B$37)^($D8-$D$4)</f>
        <v>569.17129978088451</v>
      </c>
      <c r="N8" s="59">
        <f>+'הספק לפי חלופה'!K7*' עלויות תפעול'!$B$3/1000</f>
        <v>658.81614208249391</v>
      </c>
      <c r="O8" s="28">
        <f>+'הספק לפי חלופה'!L7*' עלויות תפעול'!$B$6/1000</f>
        <v>0</v>
      </c>
      <c r="P8" s="28">
        <f>+'הספק לפי חלופה'!M7*' עלויות תפעול'!$B$4/1000</f>
        <v>0</v>
      </c>
      <c r="Q8" s="28">
        <f t="shared" si="8"/>
        <v>658.81614208249391</v>
      </c>
      <c r="R8" s="29">
        <f>+Q8/(1+'הנחות עבודה'!$B$37)^($D8-$D$4)</f>
        <v>563.15879937015109</v>
      </c>
      <c r="S8" s="59">
        <f>$B$3*'הספק לפי חלופה'!O7/1000</f>
        <v>658.81614208249391</v>
      </c>
      <c r="T8" s="28">
        <f>+$B$4*'הספק לפי חלופה'!P7/1000</f>
        <v>0</v>
      </c>
      <c r="U8" s="28">
        <f t="shared" si="9"/>
        <v>658.81614208249391</v>
      </c>
      <c r="V8" s="29">
        <f>+U8/(1+'הנחות עבודה'!$B$37)^($D8-$D$4)</f>
        <v>563.15879937015109</v>
      </c>
      <c r="W8" s="28">
        <f t="shared" si="5"/>
        <v>658.81614208249391</v>
      </c>
      <c r="X8" s="28">
        <f t="shared" si="6"/>
        <v>0</v>
      </c>
      <c r="Y8" s="28">
        <f t="shared" si="7"/>
        <v>658.81614208249391</v>
      </c>
      <c r="Z8" s="29">
        <f>+Y8/(1+'הנחות עבודה'!$B$37)^($D8-$D$4)</f>
        <v>563.15879937015109</v>
      </c>
    </row>
    <row r="9" spans="1:79">
      <c r="A9" s="8" t="s">
        <v>65</v>
      </c>
      <c r="B9" s="29">
        <f>+'הנחות עבודה'!I5</f>
        <v>1150</v>
      </c>
      <c r="D9" s="8">
        <f t="shared" si="2"/>
        <v>2024</v>
      </c>
      <c r="E9" s="59">
        <f>+$B$3*'הספק לפי חלופה'!E8/1000</f>
        <v>658.81614208249391</v>
      </c>
      <c r="F9" s="28">
        <f>+$B$4*'הספק לפי חלופה'!F8/1000</f>
        <v>0</v>
      </c>
      <c r="G9" s="28">
        <f t="shared" si="3"/>
        <v>658.81614208249391</v>
      </c>
      <c r="H9" s="397">
        <f>G9/(1+'הנחות עבודה'!$B$37)^($D9-$D$4)</f>
        <v>541.49884554822211</v>
      </c>
      <c r="I9" s="28">
        <f>+$B$3*'הספק לפי חלופה'!H8/1000</f>
        <v>213.14639890904215</v>
      </c>
      <c r="J9" s="28">
        <f>+$B$5*'הספק לפי חלופה'!I8/1000</f>
        <v>459.73729331845175</v>
      </c>
      <c r="K9" s="28">
        <f>+$B$4*'הספק לפי חלופה'!J8/1000</f>
        <v>0</v>
      </c>
      <c r="L9" s="28">
        <f t="shared" si="4"/>
        <v>672.88369222749384</v>
      </c>
      <c r="M9" s="28">
        <f>+L9/(1+'הנחות עבודה'!$B$37)^($D9-$D$4)</f>
        <v>553.06134633809393</v>
      </c>
      <c r="N9" s="59">
        <f>+'הספק לפי חלופה'!K8*' עלויות תפעול'!$B$3/1000</f>
        <v>435.98127049576806</v>
      </c>
      <c r="O9" s="28">
        <f>+'הספק לפי חלופה'!L8*' עלויות תפעול'!$B$6/1000</f>
        <v>57.24</v>
      </c>
      <c r="P9" s="28">
        <f>+'הספק לפי חלופה'!M8*' עלויות תפעול'!$B$4/1000</f>
        <v>200.446</v>
      </c>
      <c r="Q9" s="28">
        <f t="shared" si="8"/>
        <v>693.66727049576809</v>
      </c>
      <c r="R9" s="29">
        <f>+Q9/(1+'הנחות עבודה'!$B$37)^($D9-$D$4)</f>
        <v>570.1439326922432</v>
      </c>
      <c r="S9" s="59">
        <f>$B$3*'הספק לפי חלופה'!O8/1000</f>
        <v>435.98127049576806</v>
      </c>
      <c r="T9" s="28">
        <f>+$B$4*'הספק לפי חלופה'!P8/1000</f>
        <v>200.446</v>
      </c>
      <c r="U9" s="28">
        <f t="shared" si="9"/>
        <v>636.42727049576808</v>
      </c>
      <c r="V9" s="29">
        <f>+U9/(1+'הנחות עבודה'!$B$37)^($D9-$D$4)</f>
        <v>523.09682510133791</v>
      </c>
      <c r="W9" s="28">
        <f t="shared" si="5"/>
        <v>658.81614208249391</v>
      </c>
      <c r="X9" s="28">
        <f t="shared" si="6"/>
        <v>0</v>
      </c>
      <c r="Y9" s="28">
        <f t="shared" si="7"/>
        <v>658.81614208249391</v>
      </c>
      <c r="Z9" s="29">
        <f>+Y9/(1+'הנחות עבודה'!$B$37)^($D9-$D$4)</f>
        <v>541.49884554822211</v>
      </c>
    </row>
    <row r="10" spans="1:79" ht="16" thickBot="1">
      <c r="A10" s="8" t="s">
        <v>87</v>
      </c>
      <c r="B10" s="29">
        <f>+'הנחות עבודה'!I6</f>
        <v>1100</v>
      </c>
      <c r="D10" s="8">
        <f t="shared" si="2"/>
        <v>2025</v>
      </c>
      <c r="E10" s="59">
        <f>+$B$3*'הספק לפי חלופה'!E9/1000</f>
        <v>658.81614208249391</v>
      </c>
      <c r="F10" s="28">
        <f>+$B$4*'הספק לפי חלופה'!F9/1000</f>
        <v>0</v>
      </c>
      <c r="G10" s="28">
        <f t="shared" si="3"/>
        <v>658.81614208249391</v>
      </c>
      <c r="H10" s="397">
        <f>G10/(1+'הנחות עבודה'!$B$37)^($D10-$D$4)</f>
        <v>520.67196687329044</v>
      </c>
      <c r="I10" s="28">
        <f>+$B$3*'הספק לפי חלופה'!H9/1000</f>
        <v>213.14639890904215</v>
      </c>
      <c r="J10" s="28">
        <f>+$B$5*'הספק לפי חלופה'!I9/1000</f>
        <v>459.73729331845175</v>
      </c>
      <c r="K10" s="28">
        <f>+$B$4*'הספק לפי חלופה'!J9/1000</f>
        <v>0</v>
      </c>
      <c r="L10" s="28">
        <f t="shared" si="4"/>
        <v>672.88369222749384</v>
      </c>
      <c r="M10" s="28">
        <f>+L10/(1+'הנחות עבודה'!$B$37)^($D10-$D$4)</f>
        <v>531.78975609432109</v>
      </c>
      <c r="N10" s="59">
        <f>+'הספק לפי חלופה'!K9*' עלויות תפעול'!$B$3/1000</f>
        <v>435.98127049576806</v>
      </c>
      <c r="O10" s="28">
        <f>+'הספק לפי חלופה'!L9*' עלויות תפעול'!$B$6/1000</f>
        <v>57.24</v>
      </c>
      <c r="P10" s="28">
        <f>+'הספק לפי חלופה'!M9*' עלויות תפעול'!$B$4/1000</f>
        <v>200.446</v>
      </c>
      <c r="Q10" s="28">
        <f t="shared" si="8"/>
        <v>693.66727049576809</v>
      </c>
      <c r="R10" s="29">
        <f>+Q10/(1+'הנחות עבודה'!$B$37)^($D10-$D$4)</f>
        <v>548.21531989638765</v>
      </c>
      <c r="S10" s="59">
        <f>$B$3*'הספק לפי חלופה'!O9/1000</f>
        <v>435.98127049576806</v>
      </c>
      <c r="T10" s="28">
        <f>+$B$4*'הספק לפי חלופה'!P9/1000</f>
        <v>200.446</v>
      </c>
      <c r="U10" s="28">
        <f t="shared" si="9"/>
        <v>636.42727049576808</v>
      </c>
      <c r="V10" s="29">
        <f>+U10/(1+'הנחות עבודה'!$B$37)^($D10-$D$4)</f>
        <v>502.97771644359409</v>
      </c>
      <c r="W10" s="28">
        <f t="shared" si="5"/>
        <v>658.81614208249391</v>
      </c>
      <c r="X10" s="28">
        <f t="shared" si="6"/>
        <v>0</v>
      </c>
      <c r="Y10" s="28">
        <f t="shared" si="7"/>
        <v>658.81614208249391</v>
      </c>
      <c r="Z10" s="29">
        <f>+Y10/(1+'הנחות עבודה'!$B$37)^($D10-$D$4)</f>
        <v>520.67196687329044</v>
      </c>
    </row>
    <row r="11" spans="1:79" ht="16" thickBot="1">
      <c r="A11" s="350" t="s">
        <v>98</v>
      </c>
      <c r="B11" s="351"/>
      <c r="D11" s="8">
        <f t="shared" si="2"/>
        <v>2026</v>
      </c>
      <c r="E11" s="59">
        <f>+$B$3*'הספק לפי חלופה'!E10/1000</f>
        <v>658.81614208249391</v>
      </c>
      <c r="F11" s="28">
        <f>+$B$4*'הספק לפי חלופה'!F10/1000</f>
        <v>0</v>
      </c>
      <c r="G11" s="28">
        <f t="shared" si="3"/>
        <v>658.81614208249391</v>
      </c>
      <c r="H11" s="397">
        <f>G11/(1+'הנחות עבודה'!$B$37)^($D11-$D$4)</f>
        <v>500.64612199354855</v>
      </c>
      <c r="I11" s="28">
        <f>+$B$3*'הספק לפי חלופה'!H10/1000</f>
        <v>0</v>
      </c>
      <c r="J11" s="28">
        <f>+$B$5*'הספק לפי חלופה'!I10/1000</f>
        <v>679.61165099249388</v>
      </c>
      <c r="K11" s="28">
        <f>+$B$4*'הספק לפי חלופה'!J10/1000</f>
        <v>0</v>
      </c>
      <c r="L11" s="28">
        <f t="shared" si="4"/>
        <v>679.61165099249388</v>
      </c>
      <c r="M11" s="28">
        <f>+L11/(1+'הנחות עבודה'!$B$37)^($D11-$D$4)</f>
        <v>516.44899964885974</v>
      </c>
      <c r="N11" s="59">
        <f>+'הספק לפי חלופה'!K10*' עלויות תפעול'!$B$3/1000</f>
        <v>213.14639890904215</v>
      </c>
      <c r="O11" s="28">
        <f>+'הספק לפי חלופה'!L10*' עלויות תפעול'!$B$6/1000</f>
        <v>114.48</v>
      </c>
      <c r="P11" s="28">
        <f>+'הספק לפי חלופה'!M10*' עלויות תפעול'!$B$4/1000</f>
        <v>400.892</v>
      </c>
      <c r="Q11" s="28">
        <f t="shared" si="8"/>
        <v>728.51839890904216</v>
      </c>
      <c r="R11" s="29">
        <f>+Q11/(1+'הנחות עבודה'!$B$37)^($D11-$D$4)</f>
        <v>553.61410857642772</v>
      </c>
      <c r="S11" s="59">
        <f>$B$3*'הספק לפי חלופה'!O10/1000</f>
        <v>213.14639890904215</v>
      </c>
      <c r="T11" s="28">
        <f>+$B$4*'הספק לפי חלופה'!P10/1000</f>
        <v>400.892</v>
      </c>
      <c r="U11" s="28">
        <f t="shared" si="9"/>
        <v>614.03839890904214</v>
      </c>
      <c r="V11" s="29">
        <f>+U11/(1+'הנחות עבודה'!$B$37)^($D11-$D$4)</f>
        <v>466.6187173210555</v>
      </c>
      <c r="W11" s="28">
        <f t="shared" si="5"/>
        <v>658.81614208249391</v>
      </c>
      <c r="X11" s="28">
        <f t="shared" si="6"/>
        <v>0</v>
      </c>
      <c r="Y11" s="28">
        <f t="shared" si="7"/>
        <v>658.81614208249391</v>
      </c>
      <c r="Z11" s="29">
        <f>+Y11/(1+'הנחות עבודה'!$B$37)^($D11-$D$4)</f>
        <v>500.64612199354855</v>
      </c>
    </row>
    <row r="12" spans="1:79">
      <c r="A12" s="8" t="s">
        <v>47</v>
      </c>
      <c r="B12" s="20">
        <f>'הנחות עבודה'!L4</f>
        <v>2024</v>
      </c>
      <c r="D12" s="8">
        <f t="shared" si="2"/>
        <v>2027</v>
      </c>
      <c r="E12" s="59">
        <f>+$B$3*'הספק לפי חלופה'!E11/1000</f>
        <v>658.81614208249391</v>
      </c>
      <c r="F12" s="28">
        <f>+$B$4*'הספק לפי חלופה'!F11/1000</f>
        <v>0</v>
      </c>
      <c r="G12" s="28">
        <f t="shared" si="3"/>
        <v>658.81614208249391</v>
      </c>
      <c r="H12" s="397">
        <f>G12/(1+'הנחות עבודה'!$B$37)^($D12-$D$4)</f>
        <v>481.39050191687357</v>
      </c>
      <c r="I12" s="28">
        <f>+$B$3*'הספק לפי חלופה'!H11/1000</f>
        <v>0</v>
      </c>
      <c r="J12" s="28">
        <f>+$B$5*'הספק לפי חלופה'!I11/1000</f>
        <v>679.61165099249388</v>
      </c>
      <c r="K12" s="28">
        <f>+$B$4*'הספק לפי חלופה'!J11/1000</f>
        <v>0</v>
      </c>
      <c r="L12" s="28">
        <f t="shared" si="4"/>
        <v>679.61165099249388</v>
      </c>
      <c r="M12" s="28">
        <f>+L12/(1+'הנחות עבודה'!$B$37)^($D12-$D$4)</f>
        <v>496.58557658544203</v>
      </c>
      <c r="N12" s="59">
        <f>+'הספק לפי חלופה'!K11*' עלויות תפעול'!$B$3/1000</f>
        <v>213.14639890904215</v>
      </c>
      <c r="O12" s="28">
        <f>+'הספק לפי חלופה'!L11*' עלויות תפעול'!$B$6/1000</f>
        <v>114.48</v>
      </c>
      <c r="P12" s="28">
        <f>+'הספק לפי חלופה'!M11*' עלויות תפעול'!$B$4/1000</f>
        <v>400.892</v>
      </c>
      <c r="Q12" s="28">
        <f t="shared" si="8"/>
        <v>728.51839890904216</v>
      </c>
      <c r="R12" s="29">
        <f>+Q12/(1+'הנחות עבודה'!$B$37)^($D12-$D$4)</f>
        <v>532.32125824656498</v>
      </c>
      <c r="S12" s="59">
        <f>$B$3*'הספק לפי חלופה'!O11/1000</f>
        <v>213.14639890904215</v>
      </c>
      <c r="T12" s="28">
        <f>+$B$4*'הספק לפי חלופה'!P11/1000</f>
        <v>400.892</v>
      </c>
      <c r="U12" s="28">
        <f t="shared" si="9"/>
        <v>614.03839890904214</v>
      </c>
      <c r="V12" s="29">
        <f>+U12/(1+'הנחות עבודה'!$B$37)^($D12-$D$4)</f>
        <v>448.67184357793792</v>
      </c>
      <c r="W12" s="28">
        <f t="shared" si="5"/>
        <v>658.81614208249391</v>
      </c>
      <c r="X12" s="28">
        <f t="shared" si="6"/>
        <v>0</v>
      </c>
      <c r="Y12" s="28">
        <f t="shared" si="7"/>
        <v>658.81614208249391</v>
      </c>
      <c r="Z12" s="29">
        <f>+Y12/(1+'הנחות עבודה'!$B$37)^($D12-$D$4)</f>
        <v>481.39050191687357</v>
      </c>
    </row>
    <row r="13" spans="1:79">
      <c r="A13" s="8" t="s">
        <v>65</v>
      </c>
      <c r="B13" s="20">
        <f>'הנחות עבודה'!L5</f>
        <v>2022</v>
      </c>
      <c r="D13" s="8">
        <f t="shared" si="2"/>
        <v>2028</v>
      </c>
      <c r="E13" s="59">
        <f>+$B$3*'הספק לפי חלופה'!E12/1000</f>
        <v>658.81614208249391</v>
      </c>
      <c r="F13" s="28">
        <f>+$B$4*'הספק לפי חלופה'!F12/1000</f>
        <v>0</v>
      </c>
      <c r="G13" s="28">
        <f t="shared" si="3"/>
        <v>658.81614208249391</v>
      </c>
      <c r="H13" s="397">
        <f>G13/(1+'הנחות עבודה'!$B$37)^($D13-$D$4)</f>
        <v>462.87548261237839</v>
      </c>
      <c r="I13" s="28">
        <f>+$B$3*'הספק לפי חלופה'!H12/1000</f>
        <v>0</v>
      </c>
      <c r="J13" s="28">
        <f>+$B$5*'הספק לפי חלופה'!I12/1000</f>
        <v>679.61165099249388</v>
      </c>
      <c r="K13" s="28">
        <f>+$B$4*'הספק לפי חלופה'!J12/1000</f>
        <v>0</v>
      </c>
      <c r="L13" s="28">
        <f t="shared" si="4"/>
        <v>679.61165099249388</v>
      </c>
      <c r="M13" s="28">
        <f>+L13/(1+'הנחות עבודה'!$B$37)^($D13-$D$4)</f>
        <v>477.48613133215571</v>
      </c>
      <c r="N13" s="59">
        <f>+'הספק לפי חלופה'!K12*' עלויות תפעול'!$B$3/1000</f>
        <v>0</v>
      </c>
      <c r="O13" s="28">
        <f>+'הספק לפי חלופה'!L12*' עלויות תפעול'!$B$6/1000</f>
        <v>169.23130434782607</v>
      </c>
      <c r="P13" s="28">
        <f>+'הספק לפי חלופה'!M12*' עלויות תפעול'!$B$4/1000</f>
        <v>601.33799999999997</v>
      </c>
      <c r="Q13" s="28">
        <f t="shared" si="8"/>
        <v>770.56930434782601</v>
      </c>
      <c r="R13" s="29">
        <f>+Q13/(1+'הנחות עבודה'!$B$37)^($D13-$D$4)</f>
        <v>541.39177207898933</v>
      </c>
      <c r="S13" s="59">
        <f>$B$3*'הספק לפי חלופה'!O12/1000</f>
        <v>0</v>
      </c>
      <c r="T13" s="28">
        <f>+$B$4*'הספק לפי חלופה'!P12/1000</f>
        <v>601.33799999999997</v>
      </c>
      <c r="U13" s="28">
        <f t="shared" si="9"/>
        <v>601.33799999999997</v>
      </c>
      <c r="V13" s="29">
        <f>+U13/(1+'הנחות עבודה'!$B$37)^($D13-$D$4)</f>
        <v>422.49210239950276</v>
      </c>
      <c r="W13" s="28">
        <f t="shared" si="5"/>
        <v>658.81614208249391</v>
      </c>
      <c r="X13" s="28">
        <f t="shared" si="6"/>
        <v>0</v>
      </c>
      <c r="Y13" s="28">
        <f t="shared" si="7"/>
        <v>658.81614208249391</v>
      </c>
      <c r="Z13" s="29">
        <f>+Y13/(1+'הנחות עבודה'!$B$37)^($D13-$D$4)</f>
        <v>462.87548261237839</v>
      </c>
    </row>
    <row r="14" spans="1:79" ht="16" thickBot="1">
      <c r="A14" s="27" t="s">
        <v>87</v>
      </c>
      <c r="B14" s="37">
        <f>'הנחות עבודה'!L6</f>
        <v>2026</v>
      </c>
      <c r="D14" s="8">
        <f t="shared" si="2"/>
        <v>2029</v>
      </c>
      <c r="E14" s="59">
        <f>+$B$3*'הספק לפי חלופה'!E13/1000</f>
        <v>658.81614208249391</v>
      </c>
      <c r="F14" s="28">
        <f>+$B$4*'הספק לפי חלופה'!F13/1000</f>
        <v>0</v>
      </c>
      <c r="G14" s="28">
        <f t="shared" si="3"/>
        <v>658.81614208249391</v>
      </c>
      <c r="H14" s="397">
        <f>G14/(1+'הנחות עבודה'!$B$37)^($D14-$D$4)</f>
        <v>445.07257943497922</v>
      </c>
      <c r="I14" s="28">
        <f>+$B$3*'הספק לפי חלופה'!H13/1000</f>
        <v>0</v>
      </c>
      <c r="J14" s="28">
        <f>+$B$5*'הספק לפי חלופה'!I13/1000</f>
        <v>679.61165099249388</v>
      </c>
      <c r="K14" s="28">
        <f>+$B$4*'הספק לפי חלופה'!J13/1000</f>
        <v>0</v>
      </c>
      <c r="L14" s="28">
        <f t="shared" si="4"/>
        <v>679.61165099249388</v>
      </c>
      <c r="M14" s="28">
        <f>+L14/(1+'הנחות עבודה'!$B$37)^($D14-$D$4)</f>
        <v>459.12128012707279</v>
      </c>
      <c r="N14" s="59">
        <f>+'הספק לפי חלופה'!K13*' עלויות תפעול'!$B$3/1000</f>
        <v>0</v>
      </c>
      <c r="O14" s="28">
        <f>+'הספק לפי חלופה'!L13*' עלויות תפעול'!$B$6/1000</f>
        <v>169.23130434782607</v>
      </c>
      <c r="P14" s="28">
        <f>+'הספק לפי חלופה'!M13*' עלויות תפעול'!$B$4/1000</f>
        <v>601.33799999999997</v>
      </c>
      <c r="Q14" s="28">
        <f t="shared" si="8"/>
        <v>770.56930434782601</v>
      </c>
      <c r="R14" s="29">
        <f>+Q14/(1+'הנחות עבודה'!$B$37)^($D14-$D$4)</f>
        <v>520.56901161441283</v>
      </c>
      <c r="S14" s="59">
        <f>$B$3*'הספק לפי חלופה'!O13/1000</f>
        <v>0</v>
      </c>
      <c r="T14" s="28">
        <f>+$B$4*'הספק לפי חלופה'!P13/1000</f>
        <v>601.33799999999997</v>
      </c>
      <c r="U14" s="28">
        <f t="shared" si="9"/>
        <v>601.33799999999997</v>
      </c>
      <c r="V14" s="29">
        <f>+U14/(1+'הנחות עבודה'!$B$37)^($D14-$D$4)</f>
        <v>406.24240615336805</v>
      </c>
      <c r="W14" s="28">
        <f t="shared" si="5"/>
        <v>658.81614208249391</v>
      </c>
      <c r="X14" s="28">
        <f t="shared" si="6"/>
        <v>0</v>
      </c>
      <c r="Y14" s="28">
        <f t="shared" si="7"/>
        <v>658.81614208249391</v>
      </c>
      <c r="Z14" s="29">
        <f>+Y14/(1+'הנחות עבודה'!$B$37)^($D14-$D$4)</f>
        <v>445.07257943497922</v>
      </c>
    </row>
    <row r="15" spans="1:79">
      <c r="D15" s="8">
        <f t="shared" si="2"/>
        <v>2030</v>
      </c>
      <c r="E15" s="59">
        <f>+$B$3*'הספק לפי חלופה'!E14/1000</f>
        <v>658.81614208249391</v>
      </c>
      <c r="F15" s="28">
        <f>+$B$4*'הספק לפי חלופה'!F14/1000</f>
        <v>0</v>
      </c>
      <c r="G15" s="28">
        <f t="shared" si="3"/>
        <v>658.81614208249391</v>
      </c>
      <c r="H15" s="397">
        <f>G15/(1+'הנחות עבודה'!$B$37)^($D15-$D$4)</f>
        <v>427.95440330286465</v>
      </c>
      <c r="I15" s="28">
        <f>+$B$3*'הספק לפי חלופה'!H14/1000</f>
        <v>0</v>
      </c>
      <c r="J15" s="28">
        <f>+$B$5*'הספק לפי חלופה'!I14/1000</f>
        <v>679.61165099249388</v>
      </c>
      <c r="K15" s="28">
        <f>+$B$4*'הספק לפי חלופה'!J14/1000</f>
        <v>0</v>
      </c>
      <c r="L15" s="28">
        <f t="shared" si="4"/>
        <v>679.61165099249388</v>
      </c>
      <c r="M15" s="28">
        <f>+L15/(1+'הנחות עבודה'!$B$37)^($D15-$D$4)</f>
        <v>441.46276935295469</v>
      </c>
      <c r="N15" s="59">
        <f>+'הספק לפי חלופה'!K14*' עלויות תפעול'!$B$3/1000</f>
        <v>0</v>
      </c>
      <c r="O15" s="28">
        <f>+'הספק לפי חלופה'!L14*' עלויות תפעול'!$B$6/1000</f>
        <v>169.23130434782607</v>
      </c>
      <c r="P15" s="28">
        <f>+'הספק לפי חלופה'!M14*' עלויות תפעול'!$B$4/1000</f>
        <v>601.33799999999997</v>
      </c>
      <c r="Q15" s="28">
        <f t="shared" si="8"/>
        <v>770.56930434782601</v>
      </c>
      <c r="R15" s="29">
        <f>+Q15/(1+'הנחות עבודה'!$B$37)^($D15-$D$4)</f>
        <v>500.54712655232009</v>
      </c>
      <c r="S15" s="59">
        <f>$B$3*'הספק לפי חלופה'!O14/1000</f>
        <v>0</v>
      </c>
      <c r="T15" s="28">
        <f>+$B$4*'הספק לפי חלופה'!P14/1000</f>
        <v>601.33799999999997</v>
      </c>
      <c r="U15" s="28">
        <f t="shared" si="9"/>
        <v>601.33799999999997</v>
      </c>
      <c r="V15" s="29">
        <f>+U15/(1+'הנחות עבודה'!$B$37)^($D15-$D$4)</f>
        <v>390.61769822439237</v>
      </c>
      <c r="W15" s="28">
        <f t="shared" si="5"/>
        <v>658.81614208249391</v>
      </c>
      <c r="X15" s="28">
        <f t="shared" si="6"/>
        <v>0</v>
      </c>
      <c r="Y15" s="28">
        <f t="shared" si="7"/>
        <v>658.81614208249391</v>
      </c>
      <c r="Z15" s="29">
        <f>+Y15/(1+'הנחות עבודה'!$B$37)^($D15-$D$4)</f>
        <v>427.95440330286465</v>
      </c>
    </row>
    <row r="16" spans="1:79">
      <c r="D16" s="8">
        <f t="shared" si="2"/>
        <v>2031</v>
      </c>
      <c r="E16" s="59">
        <f>+$B$3*'הספק לפי חלופה'!E15/1000</f>
        <v>658.81614208249391</v>
      </c>
      <c r="F16" s="28">
        <f>+$B$4*'הספק לפי חלופה'!F15/1000</f>
        <v>0</v>
      </c>
      <c r="G16" s="28">
        <f t="shared" si="3"/>
        <v>658.81614208249391</v>
      </c>
      <c r="H16" s="397">
        <f>G16/(1+'הנחות עבודה'!$B$37)^($D16-$D$4)</f>
        <v>411.49461856044667</v>
      </c>
      <c r="I16" s="28">
        <f>+$B$3*'הספק לפי חלופה'!H15/1000</f>
        <v>0</v>
      </c>
      <c r="J16" s="28">
        <f>+$B$5*'הספק לפי חלופה'!I15/1000</f>
        <v>679.61165099249388</v>
      </c>
      <c r="K16" s="28">
        <f>+$B$4*'הספק לפי חלופה'!J15/1000</f>
        <v>0</v>
      </c>
      <c r="L16" s="28">
        <f t="shared" si="4"/>
        <v>679.61165099249388</v>
      </c>
      <c r="M16" s="28">
        <f>+L16/(1+'הנחות עבודה'!$B$37)^($D16-$D$4)</f>
        <v>424.48343207014864</v>
      </c>
      <c r="N16" s="59">
        <f>+'הספק לפי חלופה'!K15*' עלויות תפעול'!$B$3/1000</f>
        <v>0</v>
      </c>
      <c r="O16" s="28">
        <f>+'הספק לפי חלופה'!L15*' עלויות תפעול'!$B$6/1000</f>
        <v>169.23130434782607</v>
      </c>
      <c r="P16" s="28">
        <f>+'הספק לפי חלופה'!M15*' עלויות תפעול'!$B$4/1000</f>
        <v>601.33799999999997</v>
      </c>
      <c r="Q16" s="28">
        <f t="shared" si="8"/>
        <v>770.56930434782601</v>
      </c>
      <c r="R16" s="29">
        <f>+Q16/(1+'הנחות עבודה'!$B$37)^($D16-$D$4)</f>
        <v>481.29531399261538</v>
      </c>
      <c r="S16" s="59">
        <f>$B$3*'הספק לפי חלופה'!O15/1000</f>
        <v>0</v>
      </c>
      <c r="T16" s="28">
        <f>+$B$4*'הספק לפי חלופה'!P15/1000</f>
        <v>601.33799999999997</v>
      </c>
      <c r="U16" s="28">
        <f t="shared" si="9"/>
        <v>601.33799999999997</v>
      </c>
      <c r="V16" s="29">
        <f>+U16/(1+'הנחות עבודה'!$B$37)^($D16-$D$4)</f>
        <v>375.59394060037721</v>
      </c>
      <c r="W16" s="28">
        <f t="shared" si="5"/>
        <v>658.81614208249391</v>
      </c>
      <c r="X16" s="28">
        <f t="shared" si="6"/>
        <v>0</v>
      </c>
      <c r="Y16" s="28">
        <f t="shared" si="7"/>
        <v>658.81614208249391</v>
      </c>
      <c r="Z16" s="29">
        <f>+Y16/(1+'הנחות עבודה'!$B$37)^($D16-$D$4)</f>
        <v>411.49461856044667</v>
      </c>
    </row>
    <row r="17" spans="4:26">
      <c r="D17" s="8">
        <f t="shared" si="2"/>
        <v>2032</v>
      </c>
      <c r="E17" s="59">
        <f>+$B$3*'הספק לפי חלופה'!E16/1000</f>
        <v>658.81614208249391</v>
      </c>
      <c r="F17" s="28">
        <f>+$B$4*'הספק לפי חלופה'!F16/1000</f>
        <v>0</v>
      </c>
      <c r="G17" s="28">
        <f t="shared" si="3"/>
        <v>658.81614208249391</v>
      </c>
      <c r="H17" s="397">
        <f>G17/(1+'הנחות עבודה'!$B$37)^($D17-$D$4)</f>
        <v>395.66790246196797</v>
      </c>
      <c r="I17" s="28">
        <f>+$B$3*'הספק לפי חלופה'!H16/1000</f>
        <v>0</v>
      </c>
      <c r="J17" s="28">
        <f>+$B$5*'הספק לפי חלופה'!I16/1000</f>
        <v>679.61165099249388</v>
      </c>
      <c r="K17" s="28">
        <f>+$B$4*'הספק לפי חלופה'!J16/1000</f>
        <v>0</v>
      </c>
      <c r="L17" s="28">
        <f t="shared" si="4"/>
        <v>679.61165099249388</v>
      </c>
      <c r="M17" s="28">
        <f>+L17/(1+'הנחות עבודה'!$B$37)^($D17-$D$4)</f>
        <v>408.15714622129673</v>
      </c>
      <c r="N17" s="59">
        <f>+'הספק לפי חלופה'!K16*' עלויות תפעול'!$B$3/1000</f>
        <v>0</v>
      </c>
      <c r="O17" s="28">
        <f>+'הספק לפי חלופה'!L16*' עלויות תפעול'!$B$6/1000</f>
        <v>169.23130434782607</v>
      </c>
      <c r="P17" s="28">
        <f>+'הספק לפי חלופה'!M16*' עלויות תפעול'!$B$4/1000</f>
        <v>601.33799999999997</v>
      </c>
      <c r="Q17" s="28">
        <f t="shared" si="8"/>
        <v>770.56930434782601</v>
      </c>
      <c r="R17" s="29">
        <f>+Q17/(1+'הנחות עבודה'!$B$37)^($D17-$D$4)</f>
        <v>462.78395576213018</v>
      </c>
      <c r="S17" s="59">
        <f>$B$3*'הספק לפי חלופה'!O16/1000</f>
        <v>0</v>
      </c>
      <c r="T17" s="28">
        <f>+$B$4*'הספק לפי חלופה'!P16/1000</f>
        <v>601.33799999999997</v>
      </c>
      <c r="U17" s="28">
        <f t="shared" si="9"/>
        <v>601.33799999999997</v>
      </c>
      <c r="V17" s="29">
        <f>+U17/(1+'הנחות עבודה'!$B$37)^($D17-$D$4)</f>
        <v>361.14801980805498</v>
      </c>
      <c r="W17" s="28">
        <f t="shared" si="5"/>
        <v>658.81614208249391</v>
      </c>
      <c r="X17" s="28">
        <f t="shared" si="6"/>
        <v>0</v>
      </c>
      <c r="Y17" s="28">
        <f t="shared" si="7"/>
        <v>658.81614208249391</v>
      </c>
      <c r="Z17" s="29">
        <f>+Y17/(1+'הנחות עבודה'!$B$37)^($D17-$D$4)</f>
        <v>395.66790246196797</v>
      </c>
    </row>
    <row r="18" spans="4:26">
      <c r="D18" s="8">
        <f t="shared" si="2"/>
        <v>2033</v>
      </c>
      <c r="E18" s="59">
        <f>+$B$3*'הספק לפי חלופה'!E17/1000</f>
        <v>658.81614208249391</v>
      </c>
      <c r="F18" s="28">
        <f>+$B$4*'הספק לפי חלופה'!F17/1000</f>
        <v>0</v>
      </c>
      <c r="G18" s="28">
        <f t="shared" si="3"/>
        <v>658.81614208249391</v>
      </c>
      <c r="H18" s="397">
        <f>G18/(1+'הנחות עבודה'!$B$37)^($D18-$D$4)</f>
        <v>380.44990621343072</v>
      </c>
      <c r="I18" s="28">
        <f>+$B$3*'הספק לפי חלופה'!H17/1000</f>
        <v>0</v>
      </c>
      <c r="J18" s="28">
        <f>+$B$5*'הספק לפי חלופה'!I17/1000</f>
        <v>679.61165099249388</v>
      </c>
      <c r="K18" s="28">
        <f>+$B$4*'הספק לפי חלופה'!J17/1000</f>
        <v>0</v>
      </c>
      <c r="L18" s="28">
        <f t="shared" si="4"/>
        <v>679.61165099249388</v>
      </c>
      <c r="M18" s="28">
        <f>+L18/(1+'הנחות עבודה'!$B$37)^($D18-$D$4)</f>
        <v>392.45879444355455</v>
      </c>
      <c r="N18" s="59">
        <f>+'הספק לפי חלופה'!K17*' עלויות תפעול'!$B$3/1000</f>
        <v>0</v>
      </c>
      <c r="O18" s="28">
        <f>+'הספק לפי חלופה'!L17*' עלויות תפעול'!$B$6/1000</f>
        <v>169.23130434782607</v>
      </c>
      <c r="P18" s="28">
        <f>+'הספק לפי חלופה'!M17*' עלויות תפעול'!$B$4/1000</f>
        <v>601.33799999999997</v>
      </c>
      <c r="Q18" s="28">
        <f t="shared" si="8"/>
        <v>770.56930434782601</v>
      </c>
      <c r="R18" s="29">
        <f>+Q18/(1+'הנחות עבודה'!$B$37)^($D18-$D$4)</f>
        <v>444.98457284820211</v>
      </c>
      <c r="S18" s="59">
        <f>$B$3*'הספק לפי חלופה'!O17/1000</f>
        <v>0</v>
      </c>
      <c r="T18" s="28">
        <f>+$B$4*'הספק לפי חלופה'!P17/1000</f>
        <v>601.33799999999997</v>
      </c>
      <c r="U18" s="28">
        <f t="shared" si="9"/>
        <v>601.33799999999997</v>
      </c>
      <c r="V18" s="29">
        <f>+U18/(1+'הנחות עבודה'!$B$37)^($D18-$D$4)</f>
        <v>347.25771135389903</v>
      </c>
      <c r="W18" s="28">
        <f t="shared" si="5"/>
        <v>658.81614208249391</v>
      </c>
      <c r="X18" s="28">
        <f t="shared" si="6"/>
        <v>0</v>
      </c>
      <c r="Y18" s="28">
        <f t="shared" si="7"/>
        <v>658.81614208249391</v>
      </c>
      <c r="Z18" s="29">
        <f>+Y18/(1+'הנחות עבודה'!$B$37)^($D18-$D$4)</f>
        <v>380.44990621343072</v>
      </c>
    </row>
    <row r="19" spans="4:26">
      <c r="D19" s="8">
        <f t="shared" si="2"/>
        <v>2034</v>
      </c>
      <c r="E19" s="59">
        <f>+$B$3*'הספק לפי חלופה'!E18/1000</f>
        <v>658.81614208249391</v>
      </c>
      <c r="F19" s="28">
        <f>+$B$4*'הספק לפי חלופה'!F18/1000</f>
        <v>0</v>
      </c>
      <c r="G19" s="28">
        <f t="shared" si="3"/>
        <v>658.81614208249391</v>
      </c>
      <c r="H19" s="397">
        <f>G19/(1+'הנחות עבודה'!$B$37)^($D19-$D$4)</f>
        <v>365.81721751291417</v>
      </c>
      <c r="I19" s="28">
        <f>+$B$3*'הספק לפי חלופה'!H18/1000</f>
        <v>0</v>
      </c>
      <c r="J19" s="28">
        <f>+$B$5*'הספק לפי חלופה'!I18/1000</f>
        <v>679.61165099249388</v>
      </c>
      <c r="K19" s="28">
        <f>+$B$4*'הספק לפי חלופה'!J18/1000</f>
        <v>0</v>
      </c>
      <c r="L19" s="28">
        <f t="shared" si="4"/>
        <v>679.61165099249388</v>
      </c>
      <c r="M19" s="28">
        <f>+L19/(1+'הנחות עבודה'!$B$37)^($D19-$D$4)</f>
        <v>377.36422542649478</v>
      </c>
      <c r="N19" s="59">
        <f>+'הספק לפי חלופה'!K18*' עלויות תפעול'!$B$3/1000</f>
        <v>0</v>
      </c>
      <c r="O19" s="28">
        <f>+'הספק לפי חלופה'!L18*' עלויות תפעול'!$B$6/1000</f>
        <v>169.23130434782607</v>
      </c>
      <c r="P19" s="28">
        <f>+'הספק לפי חלופה'!M18*' עלויות תפעול'!$B$4/1000</f>
        <v>601.33799999999997</v>
      </c>
      <c r="Q19" s="28">
        <f>SUM(N19:P19)</f>
        <v>770.56930434782601</v>
      </c>
      <c r="R19" s="29">
        <f>+Q19/(1+'הנחות עבודה'!$B$37)^($D19-$D$4)</f>
        <v>427.86978158480969</v>
      </c>
      <c r="S19" s="59">
        <f>$B$3*'הספק לפי חלופה'!O18/1000</f>
        <v>0</v>
      </c>
      <c r="T19" s="28">
        <f>+$B$4*'הספק לפי חלופה'!P18/1000</f>
        <v>601.33799999999997</v>
      </c>
      <c r="U19" s="28">
        <f t="shared" si="9"/>
        <v>601.33799999999997</v>
      </c>
      <c r="V19" s="29">
        <f>+U19/(1+'הנחות עבודה'!$B$37)^($D19-$D$4)</f>
        <v>333.90164553259524</v>
      </c>
      <c r="W19" s="28">
        <f t="shared" si="5"/>
        <v>658.81614208249391</v>
      </c>
      <c r="X19" s="28">
        <f t="shared" si="6"/>
        <v>0</v>
      </c>
      <c r="Y19" s="28">
        <f t="shared" si="7"/>
        <v>658.81614208249391</v>
      </c>
      <c r="Z19" s="29">
        <f>+Y19/(1+'הנחות עבודה'!$B$37)^($D19-$D$4)</f>
        <v>365.81721751291417</v>
      </c>
    </row>
    <row r="20" spans="4:26">
      <c r="D20" s="8">
        <f t="shared" si="2"/>
        <v>2035</v>
      </c>
      <c r="E20" s="59">
        <f>+$B$3*'הספק לפי חלופה'!E19/1000</f>
        <v>658.81614208249391</v>
      </c>
      <c r="F20" s="28">
        <f>+$B$4*'הספק לפי חלופה'!F19/1000</f>
        <v>0</v>
      </c>
      <c r="G20" s="28">
        <f t="shared" si="3"/>
        <v>658.81614208249391</v>
      </c>
      <c r="H20" s="397">
        <f>G20/(1+'הנחות עבודה'!$B$37)^($D20-$D$4)</f>
        <v>351.74732453164819</v>
      </c>
      <c r="I20" s="28">
        <f>+$B$3*'הספק לפי חלופה'!H19/1000</f>
        <v>0</v>
      </c>
      <c r="J20" s="28">
        <f>+$B$5*'הספק לפי חלופה'!I19/1000</f>
        <v>679.61165099249388</v>
      </c>
      <c r="K20" s="28">
        <f>+$B$4*'הספק לפי חלופה'!J19/1000</f>
        <v>0</v>
      </c>
      <c r="L20" s="28">
        <f t="shared" si="4"/>
        <v>679.61165099249388</v>
      </c>
      <c r="M20" s="28">
        <f>+L20/(1+'הנחות עבודה'!$B$37)^($D20-$D$4)</f>
        <v>362.85021675624495</v>
      </c>
      <c r="N20" s="59">
        <f>+'הספק לפי חלופה'!K19*' עלויות תפעול'!$B$3/1000</f>
        <v>0</v>
      </c>
      <c r="O20" s="28">
        <f>+'הספק לפי חלופה'!L19*' עלויות תפעול'!$B$6/1000</f>
        <v>169.23130434782607</v>
      </c>
      <c r="P20" s="28">
        <f>+'הספק לפי חלופה'!M19*' עלויות תפעול'!$B$4/1000</f>
        <v>601.33799999999997</v>
      </c>
      <c r="Q20" s="28">
        <f t="shared" si="8"/>
        <v>770.56930434782601</v>
      </c>
      <c r="R20" s="29">
        <f>+Q20/(1+'הנחות עבודה'!$B$37)^($D20-$D$4)</f>
        <v>411.41325152385542</v>
      </c>
      <c r="S20" s="59">
        <f>$B$3*'הספק לפי חלופה'!O19/1000</f>
        <v>0</v>
      </c>
      <c r="T20" s="28">
        <f>+$B$4*'הספק לפי חלופה'!P19/1000</f>
        <v>601.33799999999997</v>
      </c>
      <c r="U20" s="28">
        <f t="shared" si="9"/>
        <v>601.33799999999997</v>
      </c>
      <c r="V20" s="29">
        <f>+U20/(1+'הנחות עבודה'!$B$37)^($D20-$D$4)</f>
        <v>321.0592745505723</v>
      </c>
      <c r="W20" s="28">
        <f t="shared" si="5"/>
        <v>658.81614208249391</v>
      </c>
      <c r="X20" s="28">
        <f t="shared" si="6"/>
        <v>0</v>
      </c>
      <c r="Y20" s="28">
        <f t="shared" si="7"/>
        <v>658.81614208249391</v>
      </c>
      <c r="Z20" s="29">
        <f>+Y20/(1+'הנחות עבודה'!$B$37)^($D20-$D$4)</f>
        <v>351.74732453164819</v>
      </c>
    </row>
    <row r="21" spans="4:26">
      <c r="D21" s="8">
        <f t="shared" si="2"/>
        <v>2036</v>
      </c>
      <c r="E21" s="59">
        <f>+$B$3*'הספק לפי חלופה'!E20/1000</f>
        <v>658.81614208249391</v>
      </c>
      <c r="F21" s="28">
        <f>+$B$4*'הספק לפי חלופה'!F20/1000</f>
        <v>0</v>
      </c>
      <c r="G21" s="28">
        <f t="shared" si="3"/>
        <v>658.81614208249391</v>
      </c>
      <c r="H21" s="397">
        <f>G21/(1+'הנחות עבודה'!$B$37)^($D21-$D$4)</f>
        <v>338.21858128043095</v>
      </c>
      <c r="I21" s="28">
        <f>+$B$3*'הספק לפי חלופה'!H20/1000</f>
        <v>0</v>
      </c>
      <c r="J21" s="28">
        <f>+$B$5*'הספק לפי חלופה'!I20/1000</f>
        <v>679.61165099249388</v>
      </c>
      <c r="K21" s="28">
        <f>+$B$4*'הספק לפי חלופה'!J20/1000</f>
        <v>0</v>
      </c>
      <c r="L21" s="28">
        <f t="shared" si="4"/>
        <v>679.61165099249388</v>
      </c>
      <c r="M21" s="28">
        <f>+L21/(1+'הנחות עבודה'!$B$37)^($D21-$D$4)</f>
        <v>348.89443918869705</v>
      </c>
      <c r="N21" s="59">
        <f>+'הספק לפי חלופה'!K20*' עלויות תפעול'!$B$3/1000</f>
        <v>0</v>
      </c>
      <c r="O21" s="28">
        <f>+'הספק לפי חלופה'!L20*' עלויות תפעול'!$B$6/1000</f>
        <v>169.23130434782607</v>
      </c>
      <c r="P21" s="28">
        <f>+'הספק לפי חלופה'!M20*' עלויות תפעול'!$B$4/1000</f>
        <v>601.33799999999997</v>
      </c>
      <c r="Q21" s="28">
        <f t="shared" si="8"/>
        <v>770.56930434782601</v>
      </c>
      <c r="R21" s="29">
        <f>+Q21/(1+'הנחות עבודה'!$B$37)^($D21-$D$4)</f>
        <v>395.58966492678405</v>
      </c>
      <c r="S21" s="59">
        <f>$B$3*'הספק לפי חלופה'!O20/1000</f>
        <v>0</v>
      </c>
      <c r="T21" s="28">
        <f>+$B$4*'הספק לפי חלופה'!P20/1000</f>
        <v>601.33799999999997</v>
      </c>
      <c r="U21" s="28">
        <f t="shared" si="9"/>
        <v>601.33799999999997</v>
      </c>
      <c r="V21" s="29">
        <f>+U21/(1+'הנחות עבודה'!$B$37)^($D21-$D$4)</f>
        <v>308.71084091401178</v>
      </c>
      <c r="W21" s="28">
        <f t="shared" si="5"/>
        <v>658.81614208249391</v>
      </c>
      <c r="X21" s="28">
        <f t="shared" si="6"/>
        <v>0</v>
      </c>
      <c r="Y21" s="28">
        <f t="shared" si="7"/>
        <v>658.81614208249391</v>
      </c>
      <c r="Z21" s="29">
        <f>+Y21/(1+'הנחות עבודה'!$B$37)^($D21-$D$4)</f>
        <v>338.21858128043095</v>
      </c>
    </row>
    <row r="22" spans="4:26">
      <c r="D22" s="8">
        <f t="shared" si="2"/>
        <v>2037</v>
      </c>
      <c r="E22" s="59">
        <f>+$B$3*'הספק לפי חלופה'!E21/1000</f>
        <v>658.81614208249391</v>
      </c>
      <c r="F22" s="28">
        <f>+$B$4*'הספק לפי חלופה'!F21/1000</f>
        <v>0</v>
      </c>
      <c r="G22" s="28">
        <f t="shared" si="3"/>
        <v>658.81614208249391</v>
      </c>
      <c r="H22" s="397">
        <f>G22/(1+'הנחות עבודה'!$B$37)^($D22-$D$4)</f>
        <v>325.21017430810662</v>
      </c>
      <c r="I22" s="28">
        <f>+$B$3*'הספק לפי חלופה'!H21/1000</f>
        <v>0</v>
      </c>
      <c r="J22" s="28">
        <f>+$B$5*'הספק לפי חלופה'!I21/1000</f>
        <v>679.61165099249388</v>
      </c>
      <c r="K22" s="28">
        <f>+$B$4*'הספק לפי חלופה'!J21/1000</f>
        <v>0</v>
      </c>
      <c r="L22" s="28">
        <f t="shared" si="4"/>
        <v>679.61165099249388</v>
      </c>
      <c r="M22" s="28">
        <f>+L22/(1+'הנחות עבודה'!$B$37)^($D22-$D$4)</f>
        <v>335.47542229682404</v>
      </c>
      <c r="N22" s="59">
        <f>+'הספק לפי חלופה'!K21*' עלויות תפעול'!$B$3/1000</f>
        <v>0</v>
      </c>
      <c r="O22" s="28">
        <f>+'הספק לפי חלופה'!L21*' עלויות תפעול'!$B$6/1000</f>
        <v>169.23130434782607</v>
      </c>
      <c r="P22" s="28">
        <f>+'הספק לפי חלופה'!M21*' עלויות תפעול'!$B$4/1000</f>
        <v>601.33799999999997</v>
      </c>
      <c r="Q22" s="28">
        <f t="shared" si="8"/>
        <v>770.56930434782601</v>
      </c>
      <c r="R22" s="29">
        <f>+Q22/(1+'הנחות עבודה'!$B$37)^($D22-$D$4)</f>
        <v>380.37467781421537</v>
      </c>
      <c r="S22" s="59">
        <f>$B$3*'הספק לפי חלופה'!O21/1000</f>
        <v>0</v>
      </c>
      <c r="T22" s="28">
        <f>+$B$4*'הספק לפי חלופה'!P21/1000</f>
        <v>601.33799999999997</v>
      </c>
      <c r="U22" s="28">
        <f t="shared" si="9"/>
        <v>601.33799999999997</v>
      </c>
      <c r="V22" s="29">
        <f>+U22/(1+'הנחות עבודה'!$B$37)^($D22-$D$4)</f>
        <v>296.83734703270363</v>
      </c>
      <c r="W22" s="28">
        <f t="shared" si="5"/>
        <v>658.81614208249391</v>
      </c>
      <c r="X22" s="28">
        <f t="shared" si="6"/>
        <v>0</v>
      </c>
      <c r="Y22" s="28">
        <f t="shared" si="7"/>
        <v>658.81614208249391</v>
      </c>
      <c r="Z22" s="29">
        <f>+Y22/(1+'הנחות עבודה'!$B$37)^($D22-$D$4)</f>
        <v>325.21017430810662</v>
      </c>
    </row>
    <row r="23" spans="4:26">
      <c r="D23" s="8">
        <f t="shared" si="2"/>
        <v>2038</v>
      </c>
      <c r="E23" s="59">
        <f>+$B$3*'הספק לפי חלופה'!E22/1000</f>
        <v>658.81614208249391</v>
      </c>
      <c r="F23" s="28">
        <f>+$B$4*'הספק לפי חלופה'!F22/1000</f>
        <v>0</v>
      </c>
      <c r="G23" s="28">
        <f t="shared" si="3"/>
        <v>658.81614208249391</v>
      </c>
      <c r="H23" s="397">
        <f>G23/(1+'הנחות עבודה'!$B$37)^($D23-$D$4)</f>
        <v>312.70209068087178</v>
      </c>
      <c r="I23" s="28">
        <f>+$B$3*'הספק לפי חלופה'!H22/1000</f>
        <v>0</v>
      </c>
      <c r="J23" s="28">
        <f>+$B$5*'הספק לפי חלופה'!I22/1000</f>
        <v>679.61165099249388</v>
      </c>
      <c r="K23" s="28">
        <f>+$B$4*'הספק לפי חלופה'!J22/1000</f>
        <v>0</v>
      </c>
      <c r="L23" s="28">
        <f t="shared" si="4"/>
        <v>679.61165099249388</v>
      </c>
      <c r="M23" s="28">
        <f>+L23/(1+'הנחות עבודה'!$B$37)^($D23-$D$4)</f>
        <v>322.57252143925388</v>
      </c>
      <c r="N23" s="59">
        <f>+'הספק לפי חלופה'!K22*' עלויות תפעול'!$B$3/1000</f>
        <v>0</v>
      </c>
      <c r="O23" s="28">
        <f>+'הספק לפי חלופה'!L22*' עלויות תפעול'!$B$6/1000</f>
        <v>169.23130434782607</v>
      </c>
      <c r="P23" s="28">
        <f>+'הספק לפי חלופה'!M22*' עלויות תפעול'!$B$4/1000</f>
        <v>601.33799999999997</v>
      </c>
      <c r="Q23" s="28">
        <f t="shared" ref="Q23:Q24" si="10">SUM(N23:P23)</f>
        <v>770.56930434782601</v>
      </c>
      <c r="R23" s="29">
        <f>+Q23/(1+'הנחות עבודה'!$B$37)^($D23-$D$4)</f>
        <v>365.74488251366864</v>
      </c>
      <c r="S23" s="59">
        <f>$B$3*'הספק לפי חלופה'!O22/1000</f>
        <v>0</v>
      </c>
      <c r="T23" s="28">
        <f>+$B$4*'הספק לפי חלופה'!P22/1000</f>
        <v>601.33799999999997</v>
      </c>
      <c r="U23" s="28">
        <f t="shared" ref="U23:U24" si="11">+T23+S23</f>
        <v>601.33799999999997</v>
      </c>
      <c r="V23" s="29">
        <f>+U23/(1+'הנחות עבודה'!$B$37)^($D23-$D$4)</f>
        <v>285.42052599298427</v>
      </c>
      <c r="W23" s="28">
        <f t="shared" ref="W23:W24" si="12">E23</f>
        <v>658.81614208249391</v>
      </c>
      <c r="X23" s="28">
        <f t="shared" si="6"/>
        <v>0</v>
      </c>
      <c r="Y23" s="28">
        <f t="shared" si="7"/>
        <v>658.81614208249391</v>
      </c>
      <c r="Z23" s="29">
        <f>+Y23/(1+'הנחות עבודה'!$B$37)^($D23-$D$4)</f>
        <v>312.70209068087178</v>
      </c>
    </row>
    <row r="24" spans="4:26">
      <c r="D24" s="8">
        <f t="shared" si="2"/>
        <v>2039</v>
      </c>
      <c r="E24" s="59">
        <f>+$B$3*'הספק לפי חלופה'!E23/1000</f>
        <v>658.81614208249391</v>
      </c>
      <c r="F24" s="28">
        <f>+$B$4*'הספק לפי חלופה'!F23/1000</f>
        <v>0</v>
      </c>
      <c r="G24" s="28">
        <f t="shared" si="3"/>
        <v>658.81614208249391</v>
      </c>
      <c r="H24" s="397">
        <f>G24/(1+'הנחות עבודה'!$B$37)^($D24-$D$4)</f>
        <v>300.67508719314594</v>
      </c>
      <c r="I24" s="28">
        <f>+$B$3*'הספק לפי חלופה'!H23/1000</f>
        <v>0</v>
      </c>
      <c r="J24" s="28">
        <f>+$B$5*'הספק לפי חלופה'!I23/1000</f>
        <v>679.61165099249388</v>
      </c>
      <c r="K24" s="28">
        <f>+$B$4*'הספק לפי חלופה'!J23/1000</f>
        <v>0</v>
      </c>
      <c r="L24" s="28">
        <f t="shared" si="4"/>
        <v>679.61165099249388</v>
      </c>
      <c r="M24" s="28">
        <f>+L24/(1+'הנחות עבודה'!$B$37)^($D24-$D$4)</f>
        <v>310.16588599928258</v>
      </c>
      <c r="N24" s="59">
        <f>+'הספק לפי חלופה'!K23*' עלויות תפעול'!$B$3/1000</f>
        <v>0</v>
      </c>
      <c r="O24" s="28">
        <f>+'הספק לפי חלופה'!L23*' עלויות תפעול'!$B$6/1000</f>
        <v>169.23130434782607</v>
      </c>
      <c r="P24" s="28">
        <f>+'הספק לפי חלופה'!M23*' עלויות תפעול'!$B$4/1000</f>
        <v>601.33799999999997</v>
      </c>
      <c r="Q24" s="28">
        <f t="shared" si="10"/>
        <v>770.56930434782601</v>
      </c>
      <c r="R24" s="29">
        <f>+Q24/(1+'הנחות עבודה'!$B$37)^($D24-$D$4)</f>
        <v>351.67777164775833</v>
      </c>
      <c r="S24" s="59">
        <f>$B$3*'הספק לפי חלופה'!O23/1000</f>
        <v>0</v>
      </c>
      <c r="T24" s="28">
        <f>+$B$4*'הספק לפי חלופה'!P23/1000</f>
        <v>601.33799999999997</v>
      </c>
      <c r="U24" s="28">
        <f t="shared" si="11"/>
        <v>601.33799999999997</v>
      </c>
      <c r="V24" s="29">
        <f>+U24/(1+'הנחות עבודה'!$B$37)^($D24-$D$4)</f>
        <v>274.44281345479254</v>
      </c>
      <c r="W24" s="28">
        <f t="shared" si="12"/>
        <v>658.81614208249391</v>
      </c>
      <c r="X24" s="28">
        <f t="shared" si="6"/>
        <v>0</v>
      </c>
      <c r="Y24" s="28">
        <f t="shared" si="7"/>
        <v>658.81614208249391</v>
      </c>
      <c r="Z24" s="29">
        <f>+Y24/(1+'הנחות עבודה'!$B$37)^($D24-$D$4)</f>
        <v>300.67508719314594</v>
      </c>
    </row>
    <row r="25" spans="4:26">
      <c r="D25" s="8">
        <f t="shared" si="2"/>
        <v>2040</v>
      </c>
      <c r="E25" s="59">
        <f>+$B$3*'הספק לפי חלופה'!E24/1000</f>
        <v>435.98127049576806</v>
      </c>
      <c r="F25" s="28">
        <f>+$B$4*'הספק לפי חלופה'!F24/1000</f>
        <v>200.446</v>
      </c>
      <c r="G25" s="28">
        <f t="shared" ref="G25:G30" si="13">F25+E25</f>
        <v>636.42727049576808</v>
      </c>
      <c r="H25" s="397">
        <f>G25/(1+'הנחות עבודה'!$B$37)^($D25-$D$4)</f>
        <v>279.28567159691073</v>
      </c>
      <c r="I25" s="28">
        <f>+$B$3*'הספק לפי חלופה'!H24/1000</f>
        <v>0</v>
      </c>
      <c r="J25" s="28">
        <f>+$B$5*'הספק לפי חלופה'!I24/1000</f>
        <v>449.74300433326806</v>
      </c>
      <c r="K25" s="28">
        <f>+$B$4*'הספק לפי חלופה'!J24/1000</f>
        <v>200.446</v>
      </c>
      <c r="L25" s="28">
        <f t="shared" ref="L25:L30" si="14">+J25+I25+K25</f>
        <v>650.18900433326803</v>
      </c>
      <c r="M25" s="28">
        <f>+L25/(1+'הנחות עבודה'!$B$37)^($D25-$D$4)</f>
        <v>285.32478282819113</v>
      </c>
      <c r="N25" s="59">
        <f>+'הספק לפי חלופה'!K24*' עלויות תפעול'!$B$3/1000</f>
        <v>0</v>
      </c>
      <c r="O25" s="28">
        <f>+'הספק לפי חלופה'!L24*' עלויות תפעול'!$B$6/1000</f>
        <v>169.23130434782607</v>
      </c>
      <c r="P25" s="28">
        <f>+'הספק לפי חלופה'!M24*' עלויות תפעול'!$B$4/1000</f>
        <v>601.33799999999997</v>
      </c>
      <c r="Q25" s="28">
        <f t="shared" ref="Q25:Q30" si="15">SUM(N25:P25)</f>
        <v>770.56930434782601</v>
      </c>
      <c r="R25" s="29">
        <f>+Q25/(1+'הנחות עבודה'!$B$37)^($D25-$D$4)</f>
        <v>338.15170350745984</v>
      </c>
      <c r="S25" s="59">
        <f>$B$3*'הספק לפי חלופה'!O24/1000</f>
        <v>0</v>
      </c>
      <c r="T25" s="28">
        <f>+$B$4*'הספק לפי חלופה'!P24/1000</f>
        <v>601.33799999999997</v>
      </c>
      <c r="U25" s="28">
        <f t="shared" ref="U25:U30" si="16">+T25+S25</f>
        <v>601.33799999999997</v>
      </c>
      <c r="V25" s="29">
        <f>+U25/(1+'הנחות עבודה'!$B$37)^($D25-$D$4)</f>
        <v>263.88732062960815</v>
      </c>
      <c r="W25" s="28">
        <f t="shared" ref="W25:W30" si="17">E25</f>
        <v>435.98127049576806</v>
      </c>
      <c r="X25" s="28">
        <f t="shared" ref="X25:X30" si="18">F25</f>
        <v>200.446</v>
      </c>
      <c r="Y25" s="28">
        <f t="shared" ref="Y25:Y30" si="19">X25+W25</f>
        <v>636.42727049576808</v>
      </c>
      <c r="Z25" s="29">
        <f>+Y25/(1+'הנחות עבודה'!$B$37)^($D25-$D$4)</f>
        <v>279.28567159691073</v>
      </c>
    </row>
    <row r="26" spans="4:26">
      <c r="D26" s="8">
        <f t="shared" si="2"/>
        <v>2041</v>
      </c>
      <c r="E26" s="59">
        <f>+$B$3*'הספק לפי חלופה'!E25/1000</f>
        <v>435.98127049576806</v>
      </c>
      <c r="F26" s="28">
        <f>+$B$4*'הספק לפי חלופה'!F25/1000</f>
        <v>200.446</v>
      </c>
      <c r="G26" s="28">
        <f t="shared" si="13"/>
        <v>636.42727049576808</v>
      </c>
      <c r="H26" s="397">
        <f>G26/(1+'הנחות עבודה'!$B$37)^($D26-$D$4)</f>
        <v>268.54391499702962</v>
      </c>
      <c r="I26" s="28">
        <f>+$B$3*'הספק לפי חלופה'!H25/1000</f>
        <v>0</v>
      </c>
      <c r="J26" s="28">
        <f>+$B$5*'הספק לפי חלופה'!I25/1000</f>
        <v>449.74300433326806</v>
      </c>
      <c r="K26" s="28">
        <f>+$B$4*'הספק לפי חלופה'!J25/1000</f>
        <v>200.446</v>
      </c>
      <c r="L26" s="28">
        <f t="shared" si="14"/>
        <v>650.18900433326803</v>
      </c>
      <c r="M26" s="28">
        <f>+L26/(1+'הנחות עבודה'!$B$37)^($D26-$D$4)</f>
        <v>274.35075271941457</v>
      </c>
      <c r="N26" s="59">
        <f>+'הספק לפי חלופה'!K25*' עלויות תפעול'!$B$3/1000</f>
        <v>0</v>
      </c>
      <c r="O26" s="28">
        <f>+'הספק לפי חלופה'!L25*' עלויות תפעול'!$B$6/1000</f>
        <v>111.99130434782609</v>
      </c>
      <c r="P26" s="28">
        <f>+'הספק לפי חלופה'!M25*' עלויות תפעול'!$B$4/1000</f>
        <v>601.33799999999997</v>
      </c>
      <c r="Q26" s="28">
        <f t="shared" si="15"/>
        <v>713.32930434782611</v>
      </c>
      <c r="R26" s="29">
        <f>+Q26/(1+'הנחות עבודה'!$B$37)^($D26-$D$4)</f>
        <v>300.99314242529249</v>
      </c>
      <c r="S26" s="59">
        <f>$B$3*'הספק לפי חלופה'!O25/1000</f>
        <v>0</v>
      </c>
      <c r="T26" s="28">
        <f>+$B$4*'הספק לפי חלופה'!P25/1000</f>
        <v>601.33799999999997</v>
      </c>
      <c r="U26" s="28">
        <f t="shared" si="16"/>
        <v>601.33799999999997</v>
      </c>
      <c r="V26" s="29">
        <f>+U26/(1+'הנחות עבודה'!$B$37)^($D26-$D$4)</f>
        <v>253.73780829770016</v>
      </c>
      <c r="W26" s="28">
        <f t="shared" si="17"/>
        <v>435.98127049576806</v>
      </c>
      <c r="X26" s="28">
        <f t="shared" si="18"/>
        <v>200.446</v>
      </c>
      <c r="Y26" s="28">
        <f t="shared" si="19"/>
        <v>636.42727049576808</v>
      </c>
      <c r="Z26" s="29">
        <f>+Y26/(1+'הנחות עבודה'!$B$37)^($D26-$D$4)</f>
        <v>268.54391499702962</v>
      </c>
    </row>
    <row r="27" spans="4:26">
      <c r="D27" s="8">
        <f t="shared" si="2"/>
        <v>2042</v>
      </c>
      <c r="E27" s="59">
        <f>+$B$3*'הספק לפי חלופה'!E26/1000</f>
        <v>435.98127049576806</v>
      </c>
      <c r="F27" s="28">
        <f>+$B$4*'הספק לפי חלופה'!F26/1000</f>
        <v>200.446</v>
      </c>
      <c r="G27" s="28">
        <f t="shared" si="13"/>
        <v>636.42727049576808</v>
      </c>
      <c r="H27" s="397">
        <f>G27/(1+'הנחות עבודה'!$B$37)^($D27-$D$4)</f>
        <v>258.21530288175927</v>
      </c>
      <c r="I27" s="28">
        <f>+$B$3*'הספק לפי חלופה'!H26/1000</f>
        <v>0</v>
      </c>
      <c r="J27" s="28">
        <f>+$B$5*'הספק לפי חלופה'!I26/1000</f>
        <v>449.74300433326806</v>
      </c>
      <c r="K27" s="28">
        <f>+$B$4*'הספק לפי חלופה'!J26/1000</f>
        <v>200.446</v>
      </c>
      <c r="L27" s="28">
        <f t="shared" si="14"/>
        <v>650.18900433326803</v>
      </c>
      <c r="M27" s="28">
        <f>+L27/(1+'הנחות עבודה'!$B$37)^($D27-$D$4)</f>
        <v>263.79880069174482</v>
      </c>
      <c r="N27" s="59">
        <f>+'הספק לפי חלופה'!K26*' עלויות תפעול'!$B$3/1000</f>
        <v>0</v>
      </c>
      <c r="O27" s="28">
        <f>+'הספק לפי חלופה'!L26*' עלויות תפעול'!$B$6/1000</f>
        <v>111.99130434782609</v>
      </c>
      <c r="P27" s="28">
        <f>+'הספק לפי חלופה'!M26*' עלויות תפעול'!$B$4/1000</f>
        <v>601.33799999999997</v>
      </c>
      <c r="Q27" s="28">
        <f t="shared" si="15"/>
        <v>713.32930434782611</v>
      </c>
      <c r="R27" s="29">
        <f>+Q27/(1+'הנחות עבודה'!$B$37)^($D27-$D$4)</f>
        <v>289.41648310124282</v>
      </c>
      <c r="S27" s="59">
        <f>$B$3*'הספק לפי חלופה'!O26/1000</f>
        <v>0</v>
      </c>
      <c r="T27" s="28">
        <f>+$B$4*'הספק לפי חלופה'!P26/1000</f>
        <v>601.33799999999997</v>
      </c>
      <c r="U27" s="28">
        <f t="shared" si="16"/>
        <v>601.33799999999997</v>
      </c>
      <c r="V27" s="29">
        <f>+U27/(1+'הנחות עבודה'!$B$37)^($D27-$D$4)</f>
        <v>243.97866182471171</v>
      </c>
      <c r="W27" s="28">
        <f t="shared" si="17"/>
        <v>435.98127049576806</v>
      </c>
      <c r="X27" s="28">
        <f t="shared" si="18"/>
        <v>200.446</v>
      </c>
      <c r="Y27" s="28">
        <f t="shared" si="19"/>
        <v>636.42727049576808</v>
      </c>
      <c r="Z27" s="29">
        <f>+Y27/(1+'הנחות עבודה'!$B$37)^($D27-$D$4)</f>
        <v>258.21530288175927</v>
      </c>
    </row>
    <row r="28" spans="4:26">
      <c r="D28" s="8">
        <f t="shared" si="2"/>
        <v>2043</v>
      </c>
      <c r="E28" s="59">
        <f>+$B$3*'הספק לפי חלופה'!E27/1000</f>
        <v>435.98127049576806</v>
      </c>
      <c r="F28" s="28">
        <f>+$B$4*'הספק לפי חלופה'!F27/1000</f>
        <v>200.446</v>
      </c>
      <c r="G28" s="28">
        <f t="shared" si="13"/>
        <v>636.42727049576808</v>
      </c>
      <c r="H28" s="397">
        <f>G28/(1+'הנחות עבודה'!$B$37)^($D28-$D$4)</f>
        <v>248.28394507861464</v>
      </c>
      <c r="I28" s="28">
        <f>+$B$3*'הספק לפי חלופה'!H27/1000</f>
        <v>0</v>
      </c>
      <c r="J28" s="28">
        <f>+$B$5*'הספק לפי חלופה'!I27/1000</f>
        <v>449.74300433326806</v>
      </c>
      <c r="K28" s="28">
        <f>+$B$4*'הספק לפי חלופה'!J27/1000</f>
        <v>200.446</v>
      </c>
      <c r="L28" s="28">
        <f t="shared" si="14"/>
        <v>650.18900433326803</v>
      </c>
      <c r="M28" s="28">
        <f>+L28/(1+'הנחות עבודה'!$B$37)^($D28-$D$4)</f>
        <v>253.65269297283152</v>
      </c>
      <c r="N28" s="59">
        <f>+'הספק לפי חלופה'!K27*' עלויות תפעול'!$B$3/1000</f>
        <v>0</v>
      </c>
      <c r="O28" s="28">
        <f>+'הספק לפי חלופה'!L27*' עלויות תפעול'!$B$6/1000</f>
        <v>111.99130434782609</v>
      </c>
      <c r="P28" s="28">
        <f>+'הספק לפי חלופה'!M27*' עלויות תפעול'!$B$4/1000</f>
        <v>601.33799999999997</v>
      </c>
      <c r="Q28" s="28">
        <f t="shared" si="15"/>
        <v>713.32930434782611</v>
      </c>
      <c r="R28" s="29">
        <f>+Q28/(1+'הנחות עבודה'!$B$37)^($D28-$D$4)</f>
        <v>278.28507990504113</v>
      </c>
      <c r="S28" s="59">
        <f>$B$3*'הספק לפי חלופה'!O27/1000</f>
        <v>0</v>
      </c>
      <c r="T28" s="28">
        <f>+$B$4*'הספק לפי חלופה'!P27/1000</f>
        <v>601.33799999999997</v>
      </c>
      <c r="U28" s="28">
        <f t="shared" si="16"/>
        <v>601.33799999999997</v>
      </c>
      <c r="V28" s="29">
        <f>+U28/(1+'הנחות עבודה'!$B$37)^($D28-$D$4)</f>
        <v>234.59486713914586</v>
      </c>
      <c r="W28" s="28">
        <f t="shared" si="17"/>
        <v>435.98127049576806</v>
      </c>
      <c r="X28" s="28">
        <f t="shared" si="18"/>
        <v>200.446</v>
      </c>
      <c r="Y28" s="28">
        <f t="shared" si="19"/>
        <v>636.42727049576808</v>
      </c>
      <c r="Z28" s="29">
        <f>+Y28/(1+'הנחות עבודה'!$B$37)^($D28-$D$4)</f>
        <v>248.28394507861464</v>
      </c>
    </row>
    <row r="29" spans="4:26">
      <c r="D29" s="8">
        <f t="shared" si="2"/>
        <v>2044</v>
      </c>
      <c r="E29" s="59">
        <f>+$B$3*'הספק לפי חלופה'!E28/1000</f>
        <v>435.98127049576806</v>
      </c>
      <c r="F29" s="28">
        <f>+$B$4*'הספק לפי חלופה'!F28/1000</f>
        <v>200.446</v>
      </c>
      <c r="G29" s="28">
        <f t="shared" si="13"/>
        <v>636.42727049576808</v>
      </c>
      <c r="H29" s="397">
        <f>G29/(1+'הנחות עבודה'!$B$37)^($D29-$D$4)</f>
        <v>238.73456257559096</v>
      </c>
      <c r="I29" s="28">
        <f>+$B$3*'הספק לפי חלופה'!H28/1000</f>
        <v>0</v>
      </c>
      <c r="J29" s="28">
        <f>+$B$5*'הספק לפי חלופה'!I28/1000</f>
        <v>449.74300433326806</v>
      </c>
      <c r="K29" s="28">
        <f>+$B$4*'הספק לפי חלופה'!J28/1000</f>
        <v>200.446</v>
      </c>
      <c r="L29" s="28">
        <f t="shared" si="14"/>
        <v>650.18900433326803</v>
      </c>
      <c r="M29" s="28">
        <f>+L29/(1+'הנחות עבודה'!$B$37)^($D29-$D$4)</f>
        <v>243.89682016618409</v>
      </c>
      <c r="N29" s="59">
        <f>+'הספק לפי חלופה'!K28*' עלויות תפעול'!$B$3/1000</f>
        <v>0</v>
      </c>
      <c r="O29" s="28">
        <f>+'הספק לפי חלופה'!L28*' עלויות תפעול'!$B$6/1000</f>
        <v>111.99130434782609</v>
      </c>
      <c r="P29" s="28">
        <f>+'הספק לפי חלופה'!M28*' עלויות תפעול'!$B$4/1000</f>
        <v>601.33799999999997</v>
      </c>
      <c r="Q29" s="28">
        <f t="shared" si="15"/>
        <v>713.32930434782611</v>
      </c>
      <c r="R29" s="29">
        <f>+Q29/(1+'הנחות עבודה'!$B$37)^($D29-$D$4)</f>
        <v>267.581807601001</v>
      </c>
      <c r="S29" s="59">
        <f>$B$3*'הספק לפי חלופה'!O28/1000</f>
        <v>0</v>
      </c>
      <c r="T29" s="28">
        <f>+$B$4*'הספק לפי חלופה'!P28/1000</f>
        <v>601.33799999999997</v>
      </c>
      <c r="U29" s="28">
        <f t="shared" si="16"/>
        <v>601.33799999999997</v>
      </c>
      <c r="V29" s="29">
        <f>+U29/(1+'הנחות עבודה'!$B$37)^($D29-$D$4)</f>
        <v>225.57198763379404</v>
      </c>
      <c r="W29" s="28">
        <f t="shared" si="17"/>
        <v>435.98127049576806</v>
      </c>
      <c r="X29" s="28">
        <f t="shared" si="18"/>
        <v>200.446</v>
      </c>
      <c r="Y29" s="28">
        <f t="shared" si="19"/>
        <v>636.42727049576808</v>
      </c>
      <c r="Z29" s="29">
        <f>+Y29/(1+'הנחות עבודה'!$B$37)^($D29-$D$4)</f>
        <v>238.73456257559096</v>
      </c>
    </row>
    <row r="30" spans="4:26">
      <c r="D30" s="8">
        <f t="shared" si="2"/>
        <v>2045</v>
      </c>
      <c r="E30" s="59">
        <f>+$B$3*'הספק לפי חלופה'!E29/1000</f>
        <v>213.14639890904215</v>
      </c>
      <c r="F30" s="28">
        <f>+$B$4*'הספק לפי חלופה'!F29/1000</f>
        <v>400.892</v>
      </c>
      <c r="G30" s="28">
        <f t="shared" si="13"/>
        <v>614.03839890904214</v>
      </c>
      <c r="H30" s="397">
        <f>G30/(1+'הנחות עבודה'!$B$37)^($D30-$D$4)</f>
        <v>221.47703909606128</v>
      </c>
      <c r="I30" s="28">
        <f>+$B$3*'הספק לפי חלופה'!H29/1000</f>
        <v>0</v>
      </c>
      <c r="J30" s="28">
        <f>+$B$5*'הספק לפי חלופה'!I29/1000</f>
        <v>219.87435767404213</v>
      </c>
      <c r="K30" s="28">
        <f>+$B$4*'הספק לפי חלופה'!J29/1000</f>
        <v>400.892</v>
      </c>
      <c r="L30" s="28">
        <f t="shared" si="14"/>
        <v>620.76635767404218</v>
      </c>
      <c r="M30" s="28">
        <f>+L30/(1+'הנחות עבודה'!$B$37)^($D30-$D$4)</f>
        <v>223.90374138223754</v>
      </c>
      <c r="N30" s="59">
        <f>+'הספק לפי חלופה'!K29*' עלויות תפעול'!$B$3/1000</f>
        <v>0</v>
      </c>
      <c r="O30" s="28">
        <f>+'הספק לפי חלופה'!L29*' עלויות תפעול'!$B$6/1000</f>
        <v>111.99130434782609</v>
      </c>
      <c r="P30" s="28">
        <f>+'הספק לפי חלופה'!M29*' עלויות תפעול'!$B$4/1000</f>
        <v>601.33799999999997</v>
      </c>
      <c r="Q30" s="28">
        <f t="shared" si="15"/>
        <v>713.32930434782611</v>
      </c>
      <c r="R30" s="29">
        <f>+Q30/(1+'הנחות עבודה'!$B$37)^($D30-$D$4)</f>
        <v>257.29019961634719</v>
      </c>
      <c r="S30" s="59">
        <f>$B$3*'הספק לפי חלופה'!O29/1000</f>
        <v>0</v>
      </c>
      <c r="T30" s="28">
        <f>+$B$4*'הספק לפי חלופה'!P29/1000</f>
        <v>601.33799999999997</v>
      </c>
      <c r="U30" s="28">
        <f t="shared" si="16"/>
        <v>601.33799999999997</v>
      </c>
      <c r="V30" s="29">
        <f>+U30/(1+'הנחות עבודה'!$B$37)^($D30-$D$4)</f>
        <v>216.89614195557124</v>
      </c>
      <c r="W30" s="28">
        <f t="shared" si="17"/>
        <v>213.14639890904215</v>
      </c>
      <c r="X30" s="28">
        <f t="shared" si="18"/>
        <v>400.892</v>
      </c>
      <c r="Y30" s="28">
        <f t="shared" si="19"/>
        <v>614.03839890904214</v>
      </c>
      <c r="Z30" s="29">
        <f>+Y30/(1+'הנחות עבודה'!$B$37)^($D30-$D$4)</f>
        <v>221.47703909606128</v>
      </c>
    </row>
    <row r="31" spans="4:26">
      <c r="D31" s="172" t="s">
        <v>96</v>
      </c>
      <c r="E31" s="59"/>
      <c r="F31" s="28"/>
      <c r="G31" s="28"/>
      <c r="H31" s="173">
        <f>SUM(H5:H30)</f>
        <v>10468.066808459656</v>
      </c>
      <c r="I31" s="171"/>
      <c r="J31" s="171"/>
      <c r="K31" s="171"/>
      <c r="L31" s="171"/>
      <c r="M31" s="173">
        <f>SUM(M5:M30)</f>
        <v>10707.004602727762</v>
      </c>
      <c r="N31" s="59"/>
      <c r="O31" s="28"/>
      <c r="P31" s="28"/>
      <c r="Q31" s="28"/>
      <c r="R31" s="173">
        <f>SUM(R5:R30)</f>
        <v>11611.688386236341</v>
      </c>
      <c r="S31" s="59"/>
      <c r="T31" s="28"/>
      <c r="U31" s="28"/>
      <c r="V31" s="173">
        <f>SUM(V5:V30)</f>
        <v>9895.1897837502802</v>
      </c>
      <c r="W31" s="28"/>
      <c r="X31" s="28"/>
      <c r="Y31" s="28"/>
      <c r="Z31" s="173">
        <f>SUM(Z5:Z30)</f>
        <v>10468.066808459656</v>
      </c>
    </row>
    <row r="32" spans="4:26">
      <c r="D32" s="8" t="s">
        <v>206</v>
      </c>
      <c r="E32" s="8"/>
      <c r="F32" s="9"/>
      <c r="G32" s="9"/>
      <c r="H32" s="20"/>
      <c r="I32" s="9"/>
      <c r="J32" s="9"/>
      <c r="K32" s="9"/>
      <c r="L32" s="9"/>
      <c r="M32" s="30">
        <f>M31-H31</f>
        <v>238.93779426810579</v>
      </c>
      <c r="N32" s="8"/>
      <c r="O32" s="9"/>
      <c r="P32" s="9"/>
      <c r="Q32" s="9"/>
      <c r="R32" s="88">
        <f>R31-H31</f>
        <v>1143.6215777766847</v>
      </c>
      <c r="S32" s="8"/>
      <c r="T32" s="9"/>
      <c r="U32" s="9"/>
      <c r="V32" s="88">
        <f>V31-H31</f>
        <v>-572.8770247093762</v>
      </c>
      <c r="W32" s="9"/>
      <c r="X32" s="9"/>
      <c r="Y32" s="9"/>
      <c r="Z32" s="88">
        <f>Z31-H31</f>
        <v>0</v>
      </c>
    </row>
    <row r="33" spans="4:26" ht="16" thickBot="1">
      <c r="D33" s="27"/>
      <c r="E33" s="27"/>
      <c r="F33" s="32"/>
      <c r="G33" s="32"/>
      <c r="H33" s="37"/>
      <c r="I33" s="32"/>
      <c r="J33" s="32"/>
      <c r="K33" s="32"/>
      <c r="L33" s="32"/>
      <c r="M33" s="32"/>
      <c r="N33" s="27"/>
      <c r="O33" s="32"/>
      <c r="P33" s="32"/>
      <c r="Q33" s="32"/>
      <c r="R33" s="37"/>
      <c r="S33" s="27"/>
      <c r="T33" s="32"/>
      <c r="U33" s="32"/>
      <c r="V33" s="37"/>
      <c r="W33" s="32"/>
      <c r="X33" s="32"/>
      <c r="Y33" s="32"/>
      <c r="Z33" s="37"/>
    </row>
  </sheetData>
  <mergeCells count="1">
    <mergeCell ref="A2:B2"/>
  </mergeCells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50"/>
  </sheetPr>
  <dimension ref="A1:AF22"/>
  <sheetViews>
    <sheetView rightToLeft="1" tabSelected="1" zoomScale="115" zoomScaleNormal="115" workbookViewId="0">
      <selection activeCell="G15" sqref="G15"/>
    </sheetView>
  </sheetViews>
  <sheetFormatPr baseColWidth="10" defaultColWidth="8.83203125" defaultRowHeight="15"/>
  <cols>
    <col min="1" max="1" width="30.6640625" customWidth="1"/>
    <col min="2" max="6" width="13.5" customWidth="1"/>
    <col min="7" max="7" width="14.5" customWidth="1"/>
    <col min="8" max="8" width="10.6640625" customWidth="1"/>
    <col min="9" max="9" width="33.5" customWidth="1"/>
    <col min="10" max="10" width="13.1640625" bestFit="1" customWidth="1"/>
  </cols>
  <sheetData>
    <row r="1" spans="1:32" ht="30" thickBot="1">
      <c r="A1" s="225" t="s">
        <v>201</v>
      </c>
      <c r="B1" s="225"/>
      <c r="C1" s="225"/>
      <c r="D1" s="225"/>
      <c r="E1" s="225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6"/>
      <c r="AD1" s="226"/>
      <c r="AE1" s="226"/>
      <c r="AF1" s="226"/>
    </row>
    <row r="2" spans="1:32" ht="20" thickBot="1">
      <c r="A2" s="1133" t="s">
        <v>50</v>
      </c>
      <c r="B2" s="1134"/>
      <c r="C2" s="1134"/>
      <c r="D2" s="1134"/>
      <c r="E2" s="1134"/>
      <c r="F2" s="1135"/>
      <c r="H2" s="1014" t="s">
        <v>34</v>
      </c>
      <c r="I2" s="1009"/>
      <c r="J2" s="1010"/>
    </row>
    <row r="3" spans="1:32" ht="33" thickBot="1">
      <c r="A3" s="97"/>
      <c r="B3" s="244" t="s">
        <v>450</v>
      </c>
      <c r="C3" s="245" t="s">
        <v>49</v>
      </c>
      <c r="D3" s="244" t="s">
        <v>4</v>
      </c>
      <c r="E3" s="98" t="s">
        <v>8</v>
      </c>
      <c r="F3" s="245" t="s">
        <v>5</v>
      </c>
      <c r="H3" s="287" t="s">
        <v>249</v>
      </c>
      <c r="I3" s="289" t="s">
        <v>250</v>
      </c>
      <c r="J3" s="289" t="s">
        <v>25</v>
      </c>
    </row>
    <row r="4" spans="1:32">
      <c r="A4" s="249" t="s">
        <v>82</v>
      </c>
      <c r="B4" s="247">
        <f>'תמהיל יצור'!$C$14</f>
        <v>96.910529479808574</v>
      </c>
      <c r="C4" s="113">
        <f>'תמהיל יצור'!$C$14</f>
        <v>96.910529479808574</v>
      </c>
      <c r="D4" s="112">
        <f>'תמהיל יצור'!$C$14</f>
        <v>96.910529479808574</v>
      </c>
      <c r="E4" s="247">
        <f>'תמהיל יצור'!$C$14</f>
        <v>96.910529479808574</v>
      </c>
      <c r="F4" s="247">
        <f>'תמהיל יצור'!$C$14</f>
        <v>96.910529479808574</v>
      </c>
      <c r="H4" s="269" t="s">
        <v>0</v>
      </c>
      <c r="I4" s="270">
        <f>' עלות דלקים - אג לקוט"ש'!I26</f>
        <v>14.329665947845928</v>
      </c>
      <c r="J4" s="271" t="s">
        <v>160</v>
      </c>
    </row>
    <row r="5" spans="1:32">
      <c r="A5" s="249" t="s">
        <v>83</v>
      </c>
      <c r="B5" s="248">
        <f>+'תמהיל יצור'!$E$14</f>
        <v>16.47479001156746</v>
      </c>
      <c r="C5" s="99">
        <f>+'תמהיל יצור'!$AJ$14</f>
        <v>24.227632369952143</v>
      </c>
      <c r="D5" s="114">
        <f>+'תמהיל יצור'!$E$14</f>
        <v>16.47479001156746</v>
      </c>
      <c r="E5" s="248">
        <f>+'תמהיל יצור'!$E$14</f>
        <v>16.47479001156746</v>
      </c>
      <c r="F5" s="248">
        <f>+'תמהיל יצור'!$E$14</f>
        <v>16.47479001156746</v>
      </c>
      <c r="H5" s="272" t="s">
        <v>271</v>
      </c>
      <c r="I5" s="273">
        <v>26</v>
      </c>
      <c r="J5" s="274" t="s">
        <v>161</v>
      </c>
      <c r="L5" s="15"/>
      <c r="M5" s="15"/>
      <c r="N5" s="15"/>
      <c r="O5" s="15"/>
    </row>
    <row r="6" spans="1:32" ht="16" thickBot="1">
      <c r="A6" s="249" t="s">
        <v>452</v>
      </c>
      <c r="B6" s="242">
        <f>'הספק לפי חלופה'!E14*$J$13*8760/10^6</f>
        <v>25.316400000000002</v>
      </c>
      <c r="C6" s="99">
        <f>B6</f>
        <v>25.316400000000002</v>
      </c>
      <c r="D6" s="115">
        <f>(J15/12)*'הספק לפי חלופה'!I14*$J$13*8760/10^6</f>
        <v>24.788975000000001</v>
      </c>
      <c r="E6" s="242">
        <f>(J14/12)*'הספק לפי חלופה'!I14*$J$13*8760/10^6</f>
        <v>23.206700000000001</v>
      </c>
      <c r="F6" s="242">
        <f>'הספק לפי חלופה'!H14*F29*8760/10^6</f>
        <v>0</v>
      </c>
      <c r="H6" s="275" t="s">
        <v>33</v>
      </c>
      <c r="I6" s="276">
        <v>36</v>
      </c>
      <c r="J6" s="277" t="s">
        <v>161</v>
      </c>
      <c r="L6" s="15"/>
      <c r="M6" s="15"/>
      <c r="N6" s="15"/>
      <c r="O6" s="15"/>
    </row>
    <row r="7" spans="1:32" ht="16" thickBot="1">
      <c r="A7" s="249" t="s">
        <v>453</v>
      </c>
      <c r="B7" s="242">
        <f>1440000*7000/10^9</f>
        <v>10.08</v>
      </c>
      <c r="C7" s="784">
        <f t="shared" ref="C7:F7" si="0">1440000*7000/10^9</f>
        <v>10.08</v>
      </c>
      <c r="D7" s="115">
        <f t="shared" si="0"/>
        <v>10.08</v>
      </c>
      <c r="E7" s="115">
        <f t="shared" si="0"/>
        <v>10.08</v>
      </c>
      <c r="F7" s="242">
        <f t="shared" si="0"/>
        <v>10.08</v>
      </c>
      <c r="G7" s="15"/>
      <c r="L7" s="15"/>
      <c r="M7" s="15"/>
      <c r="N7" s="15"/>
      <c r="O7" s="15"/>
    </row>
    <row r="8" spans="1:32" ht="16" thickBot="1">
      <c r="A8" s="251" t="s">
        <v>209</v>
      </c>
      <c r="B8" s="242">
        <f>($J$10*8760*$J$9/12)/$J$11/10^6</f>
        <v>16.298359897959187</v>
      </c>
      <c r="C8" s="99">
        <f>($J$10*8760*$J$9/12)/$J$11/10^6</f>
        <v>16.298359897959187</v>
      </c>
      <c r="D8" s="115">
        <f>($J$10*8760*$J$9/12)/$J$11/10^6</f>
        <v>16.298359897959187</v>
      </c>
      <c r="E8" s="242">
        <f>($J$10*8760*$J$9/12)/$J$11/10^6</f>
        <v>16.298359897959187</v>
      </c>
      <c r="F8" s="242">
        <f>($J$10*8760*$J$9/12)/$J$11/10^6</f>
        <v>16.298359897959187</v>
      </c>
      <c r="H8" s="1037" t="s">
        <v>154</v>
      </c>
      <c r="I8" s="1038"/>
      <c r="J8" s="1039"/>
      <c r="L8" s="15"/>
      <c r="M8" s="15"/>
      <c r="N8" s="15"/>
      <c r="O8" s="15"/>
    </row>
    <row r="9" spans="1:32" ht="16" thickBot="1">
      <c r="A9" s="250" t="s">
        <v>84</v>
      </c>
      <c r="B9" s="243">
        <f>B4-SUM(B5:B8)</f>
        <v>28.740979570281922</v>
      </c>
      <c r="C9" s="246">
        <f>C4-SUM(C5:C8)</f>
        <v>20.988137211897239</v>
      </c>
      <c r="D9" s="116">
        <f>D4-SUM(D5:D8)</f>
        <v>29.26840457028193</v>
      </c>
      <c r="E9" s="243">
        <f>E4-SUM(E5:E8)</f>
        <v>30.850679570281926</v>
      </c>
      <c r="F9" s="243">
        <f>F4-SUM(F5:F8)</f>
        <v>54.057379570281924</v>
      </c>
      <c r="H9" s="8" t="s">
        <v>155</v>
      </c>
      <c r="I9" s="9"/>
      <c r="J9" s="20">
        <v>11</v>
      </c>
      <c r="L9" s="15"/>
      <c r="M9" s="15"/>
      <c r="N9" s="15"/>
      <c r="O9" s="15"/>
    </row>
    <row r="10" spans="1:32">
      <c r="A10" s="81" t="s">
        <v>73</v>
      </c>
      <c r="B10" s="82"/>
      <c r="C10" s="82"/>
      <c r="D10" s="82"/>
      <c r="E10" s="82"/>
      <c r="F10" s="82"/>
      <c r="H10" s="8" t="s">
        <v>340</v>
      </c>
      <c r="I10" s="9"/>
      <c r="J10" s="310">
        <v>15000</v>
      </c>
    </row>
    <row r="11" spans="1:32">
      <c r="A11" s="83" t="s">
        <v>152</v>
      </c>
      <c r="B11" s="165"/>
      <c r="C11" s="165"/>
      <c r="D11" s="165"/>
      <c r="E11" s="76"/>
      <c r="F11" s="76"/>
      <c r="H11" s="8" t="s">
        <v>156</v>
      </c>
      <c r="I11" s="9"/>
      <c r="J11" s="86">
        <f>'צריכת פחם וגז'!E47</f>
        <v>7.3903141637633283</v>
      </c>
    </row>
    <row r="12" spans="1:32">
      <c r="A12" s="83" t="s">
        <v>153</v>
      </c>
      <c r="B12" s="15"/>
      <c r="C12" s="15"/>
      <c r="D12" s="15"/>
      <c r="F12" s="76"/>
      <c r="H12" s="8" t="s">
        <v>157</v>
      </c>
      <c r="I12" s="9"/>
      <c r="J12" s="57">
        <f>'צריכת פחם וגז'!E37</f>
        <v>9.3025475958955219</v>
      </c>
    </row>
    <row r="13" spans="1:32" ht="15" customHeight="1">
      <c r="A13" s="83" t="s">
        <v>297</v>
      </c>
      <c r="B13" s="165"/>
      <c r="C13" s="165"/>
      <c r="D13" s="165"/>
      <c r="E13" s="76"/>
      <c r="F13" s="76"/>
      <c r="H13" s="8" t="s">
        <v>158</v>
      </c>
      <c r="I13" s="9"/>
      <c r="J13" s="20">
        <v>0.85</v>
      </c>
    </row>
    <row r="14" spans="1:32" ht="30.75" customHeight="1">
      <c r="A14" s="166" t="s">
        <v>70</v>
      </c>
      <c r="B14" s="165"/>
      <c r="C14" s="165"/>
      <c r="D14" s="165"/>
      <c r="E14" s="76"/>
      <c r="H14" s="8" t="s">
        <v>159</v>
      </c>
      <c r="I14" s="9"/>
      <c r="J14" s="20">
        <v>11</v>
      </c>
    </row>
    <row r="15" spans="1:32" ht="26" customHeight="1">
      <c r="A15" s="1139" t="s">
        <v>496</v>
      </c>
      <c r="B15" s="1139"/>
      <c r="C15" s="1139"/>
      <c r="D15" s="1139"/>
      <c r="E15" s="1139"/>
      <c r="F15" s="1139"/>
      <c r="H15" s="8" t="s">
        <v>207</v>
      </c>
      <c r="I15" s="9"/>
      <c r="J15" s="20">
        <v>11.75</v>
      </c>
    </row>
    <row r="16" spans="1:32" ht="16" thickBot="1">
      <c r="A16" s="166" t="s">
        <v>451</v>
      </c>
      <c r="B16" s="564"/>
      <c r="C16" s="564"/>
      <c r="D16" s="564"/>
      <c r="E16" s="564"/>
      <c r="F16" s="564"/>
      <c r="H16" s="27" t="s">
        <v>12</v>
      </c>
      <c r="I16" s="32"/>
      <c r="J16" s="38">
        <f>+'הנחות עבודה'!B37</f>
        <v>0.04</v>
      </c>
    </row>
    <row r="17" spans="1:6" ht="16" thickBot="1"/>
    <row r="18" spans="1:6" ht="16" thickBot="1">
      <c r="A18" s="1136" t="s">
        <v>71</v>
      </c>
      <c r="B18" s="1137"/>
      <c r="C18" s="1137"/>
      <c r="D18" s="1137"/>
      <c r="E18" s="1137"/>
      <c r="F18" s="1138"/>
    </row>
    <row r="19" spans="1:6" ht="33" thickBot="1">
      <c r="A19" s="156"/>
      <c r="B19" s="446" t="str">
        <f>+B3</f>
        <v>מדיניות הפחתה ושימור 1-4</v>
      </c>
      <c r="C19" s="446" t="s">
        <v>49</v>
      </c>
      <c r="D19" s="446" t="s">
        <v>19</v>
      </c>
      <c r="E19" s="446" t="s">
        <v>8</v>
      </c>
      <c r="F19" s="245" t="s">
        <v>5</v>
      </c>
    </row>
    <row r="20" spans="1:6">
      <c r="A20" s="71" t="s">
        <v>81</v>
      </c>
      <c r="B20" s="445">
        <f>(B$6*$I$4+B$8*$I$5+B$9*$I$6)*1000000000/100/1000000</f>
        <v>18212.081768791348</v>
      </c>
      <c r="C20" s="445">
        <f>(C$6*$I$4+C$8*$I$5+C$9*$I$6)*1000000000/100/1000000</f>
        <v>15421.058519772861</v>
      </c>
      <c r="D20" s="445">
        <f>(D$6*$I$4+D$8*$I$5+D$9*$I$6)*1000000000/100/1000000</f>
        <v>18326.376528165925</v>
      </c>
      <c r="E20" s="445">
        <f>(E$6*$I$4+E$8*$I$5+E$9*$I$6)*1000000000/100/1000000</f>
        <v>18669.260806289643</v>
      </c>
      <c r="F20" s="73">
        <f>(F$6*$I$4+F$8*$I$5+F$9*$I$6)*1000000000/100/1000000</f>
        <v>23698.230218770885</v>
      </c>
    </row>
    <row r="21" spans="1:6">
      <c r="A21" s="71" t="s">
        <v>72</v>
      </c>
      <c r="B21" s="252">
        <f>B20-$B$20</f>
        <v>0</v>
      </c>
      <c r="C21" s="252">
        <f>C20-$B$20</f>
        <v>-2791.0232490184862</v>
      </c>
      <c r="D21" s="252">
        <f>D20-$B$20</f>
        <v>114.29475937457755</v>
      </c>
      <c r="E21" s="252">
        <f>E20-$B$20</f>
        <v>457.17903749829566</v>
      </c>
      <c r="F21" s="72">
        <f>F20-$B$20</f>
        <v>5486.148449979537</v>
      </c>
    </row>
    <row r="22" spans="1:6" ht="16" thickBot="1">
      <c r="A22" s="74" t="s">
        <v>225</v>
      </c>
      <c r="B22" s="79">
        <f>+B21/(1+$J$16)^(2030-2022)</f>
        <v>0</v>
      </c>
      <c r="C22" s="79">
        <f>+C21/(1+$J$16)^(2030-2019)</f>
        <v>-1812.9954821121669</v>
      </c>
      <c r="D22" s="79">
        <f>+D21/(1+$J$16)^(2030-2019)</f>
        <v>74.243696267337626</v>
      </c>
      <c r="E22" s="79">
        <f>+E21/(1+$J$16)^(2030-2019)</f>
        <v>296.97478506934107</v>
      </c>
      <c r="F22" s="80">
        <f>+F21/(1+$J$16)^(2030-2019)</f>
        <v>3563.6974208320858</v>
      </c>
    </row>
  </sheetData>
  <mergeCells count="5">
    <mergeCell ref="H2:J2"/>
    <mergeCell ref="A2:F2"/>
    <mergeCell ref="A18:F18"/>
    <mergeCell ref="H8:J8"/>
    <mergeCell ref="A15:F1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11E50B610E4C5046B10784ABC990368E" ma:contentTypeVersion="1" ma:contentTypeDescription="צור מסמך חדש." ma:contentTypeScope="" ma:versionID="64fdc5d49ea2a8659226e6991e48d2f6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cbabf43de81bd42ae1d4b6e4e2a05da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מתזמן תאריך התחלה" ma:description="'מתזמן תאריך התחלה' הוא עמודת אתר שיוצרת תכונת הפרסום. היא משמשת לציון התאריך והשעה שבהם יופיע הדף לראשונה בפני מבקרי האתר." ma:internalName="PublishingStartDate">
      <xsd:simpleType>
        <xsd:restriction base="dms:Unknown"/>
      </xsd:simpleType>
    </xsd:element>
    <xsd:element name="PublishingExpirationDate" ma:index="9" nillable="true" ma:displayName="מתזמן תאריך סיום" ma:description="'תזמון תאריך הסיום' הוא עמודת אתר שיוצרת תכונת הפרסום. היא משמשת לציון התאריך והשעה שבהם הדף לא יופיע עוד בפני מבקרי האתר.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381650-0DC3-4393-9C15-D9EC3010D95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EE4C87-6DD1-4E90-AE40-6763E630944B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6C33F56-783C-4719-A152-88DE341A83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4</vt:i4>
      </vt:variant>
    </vt:vector>
  </HeadingPairs>
  <TitlesOfParts>
    <vt:vector size="19" baseType="lpstr">
      <vt:lpstr>סיכום</vt:lpstr>
      <vt:lpstr>הנחות עבודה</vt:lpstr>
      <vt:lpstr>הספק לפי חלופה</vt:lpstr>
      <vt:lpstr>תמהיל יצור</vt:lpstr>
      <vt:lpstr>צריכת פחם וגז</vt:lpstr>
      <vt:lpstr> פליטות - גזי חממה</vt:lpstr>
      <vt:lpstr>פליטות - SO2</vt:lpstr>
      <vt:lpstr>פליטות - NOX</vt:lpstr>
      <vt:lpstr>פליטות- חלקיקים</vt:lpstr>
      <vt:lpstr> עלויות חח"י</vt:lpstr>
      <vt:lpstr>עלויות הקמת יחידות חדשות</vt:lpstr>
      <vt:lpstr> עלות דלקים - אג לקוט"ש</vt:lpstr>
      <vt:lpstr> עלות דלקים - לתקופה</vt:lpstr>
      <vt:lpstr> עלויות תפעול</vt:lpstr>
      <vt:lpstr> ביטחון אנרגטי</vt:lpstr>
      <vt:lpstr>Cap_mahzam</vt:lpstr>
      <vt:lpstr>Cap_piker</vt:lpstr>
      <vt:lpstr>FC_mahzam</vt:lpstr>
      <vt:lpstr>FC_piker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הנחות העבודה וחישובים  לניתוח מדיניות הפחתת הפחם</dc:title>
  <dc:creator>נורית גל</dc:creator>
  <cp:lastModifiedBy>Microsoft Office User</cp:lastModifiedBy>
  <cp:lastPrinted>2019-08-15T10:53:57Z</cp:lastPrinted>
  <dcterms:created xsi:type="dcterms:W3CDTF">2019-07-02T13:23:47Z</dcterms:created>
  <dcterms:modified xsi:type="dcterms:W3CDTF">2019-10-29T22:09:56Z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0x01010011E50B610E4C5046B10784ABC990368E</vt:lpwstr>
  </property>
</Properties>
</file>