
<file path=[Content_Types].xml><?xml version="1.0" encoding="utf-8"?>
<Types xmlns="http://schemas.openxmlformats.org/package/2006/content-types">
  <Override PartName="/customXml/itemProps3.xml" ContentType="application/vnd.openxmlformats-officedocument.customXmlProperties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comments2.xml" ContentType="application/vnd.openxmlformats-officedocument.spreadsheetml.comments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customXml/itemProps2.xml" ContentType="application/vnd.openxmlformats-officedocument.customXmlProperties+xml"/>
  <Override PartName="/xl/externalLinks/externalLink8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65" windowWidth="15195" windowHeight="7275" tabRatio="768" activeTab="5"/>
  </bookViews>
  <sheets>
    <sheet name="שינוי בצריכה לשנה" sheetId="4" r:id="rId1"/>
    <sheet name="כמויות על פני השנים" sheetId="7" r:id="rId2"/>
    <sheet name="מחירים על פני השנים" sheetId="6" r:id="rId3"/>
    <sheet name="עלויות מוכרות לשנת 2013" sheetId="40" r:id="rId4"/>
    <sheet name="תוספת עלויות במהלך השנים" sheetId="3" state="hidden" r:id="rId5"/>
    <sheet name="תרחיש מפורט" sheetId="20" r:id="rId6"/>
    <sheet name="הנחות בסיס" sheetId="10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xlnm.Print_Area" localSheetId="6">'הנחות בסיס'!$A$1:$T$14</definedName>
    <definedName name="דולר">#REF!</definedName>
    <definedName name="מים_לשכנים">'[1]מים לשכנים'!$D$8</definedName>
  </definedNames>
  <calcPr calcId="145621"/>
</workbook>
</file>

<file path=xl/calcChain.xml><?xml version="1.0" encoding="utf-8"?>
<calcChain xmlns="http://schemas.openxmlformats.org/spreadsheetml/2006/main">
  <c r="F26" i="6" l="1"/>
  <c r="E26" i="6"/>
  <c r="E27" i="6"/>
  <c r="E29" i="6"/>
  <c r="C17" i="10"/>
  <c r="C15" i="10"/>
  <c r="P39" i="40" l="1"/>
  <c r="F37" i="40" l="1"/>
  <c r="P26" i="40"/>
  <c r="P25" i="40"/>
  <c r="O25" i="40"/>
  <c r="N25" i="40"/>
  <c r="M25" i="40"/>
  <c r="L25" i="40"/>
  <c r="K25" i="40"/>
  <c r="J25" i="40"/>
  <c r="I25" i="40"/>
  <c r="H25" i="40"/>
  <c r="G25" i="40"/>
  <c r="F25" i="40"/>
  <c r="E25" i="40"/>
  <c r="D25" i="40"/>
  <c r="P19" i="40"/>
  <c r="O19" i="40"/>
  <c r="N19" i="40"/>
  <c r="M19" i="40"/>
  <c r="L19" i="40"/>
  <c r="K19" i="40"/>
  <c r="J19" i="40"/>
  <c r="I19" i="40"/>
  <c r="H19" i="40"/>
  <c r="G19" i="40"/>
  <c r="F19" i="40"/>
  <c r="E19" i="40"/>
  <c r="D19" i="40"/>
  <c r="P11" i="40"/>
  <c r="O11" i="40"/>
  <c r="N11" i="40"/>
  <c r="M11" i="40"/>
  <c r="L11" i="40"/>
  <c r="K11" i="40"/>
  <c r="J11" i="40"/>
  <c r="I11" i="40"/>
  <c r="H11" i="40"/>
  <c r="G11" i="40"/>
  <c r="F11" i="40"/>
  <c r="E11" i="40"/>
  <c r="D11" i="40"/>
  <c r="B2" i="6"/>
  <c r="B3" i="6"/>
  <c r="B5" i="6"/>
  <c r="B6" i="6"/>
  <c r="B7" i="6"/>
  <c r="B8" i="6"/>
  <c r="B9" i="6"/>
  <c r="B10" i="6"/>
  <c r="B11" i="6"/>
  <c r="B12" i="6"/>
  <c r="B13" i="6"/>
  <c r="B14" i="6"/>
  <c r="B15" i="6"/>
  <c r="B16" i="6"/>
  <c r="B18" i="6"/>
  <c r="B17" i="6" s="1"/>
  <c r="C17" i="6" s="1"/>
  <c r="B19" i="6"/>
  <c r="B20" i="6"/>
  <c r="B21" i="6"/>
  <c r="B22" i="6"/>
  <c r="B23" i="6"/>
  <c r="B24" i="6"/>
  <c r="B25" i="6"/>
  <c r="B26" i="6"/>
  <c r="B27" i="6"/>
  <c r="B29" i="6"/>
  <c r="E8" i="6"/>
  <c r="E15" i="6" s="1"/>
  <c r="E9" i="6"/>
  <c r="E10" i="6"/>
  <c r="E11" i="6" s="1"/>
  <c r="E12" i="6"/>
  <c r="E13" i="6" s="1"/>
  <c r="E14" i="6"/>
  <c r="E16" i="6"/>
  <c r="E19" i="6"/>
  <c r="E20" i="6"/>
  <c r="E22" i="6"/>
  <c r="E23" i="6"/>
  <c r="E24" i="6"/>
  <c r="C6" i="6"/>
  <c r="D6" i="6" s="1"/>
  <c r="E6" i="6" s="1"/>
  <c r="C7" i="6"/>
  <c r="D7" i="6" s="1"/>
  <c r="E7" i="6" s="1"/>
  <c r="F7" i="6" s="1"/>
  <c r="C18" i="6"/>
  <c r="C21" i="6"/>
  <c r="C22" i="6"/>
  <c r="C23" i="6"/>
  <c r="D23" i="6"/>
  <c r="C25" i="6"/>
  <c r="D25" i="6"/>
  <c r="E25" i="6" s="1"/>
  <c r="C26" i="6"/>
  <c r="D26" i="6"/>
  <c r="C27" i="6"/>
  <c r="C29" i="6"/>
  <c r="D29" i="6" s="1"/>
  <c r="C30" i="6"/>
  <c r="G19" i="6"/>
  <c r="D19" i="6" s="1"/>
  <c r="E10" i="20"/>
  <c r="F27" i="40" l="1"/>
  <c r="H27" i="40"/>
  <c r="J27" i="40"/>
  <c r="N27" i="40"/>
  <c r="P27" i="40"/>
  <c r="G27" i="40"/>
  <c r="I27" i="40"/>
  <c r="K27" i="40"/>
  <c r="O27" i="40"/>
  <c r="D27" i="40"/>
  <c r="L27" i="40"/>
  <c r="E27" i="40"/>
  <c r="M27" i="40"/>
  <c r="E21" i="6"/>
  <c r="E11" i="20" l="1"/>
  <c r="E1" i="20" l="1"/>
  <c r="A107" i="3"/>
  <c r="A106" i="3"/>
  <c r="A105" i="3"/>
  <c r="E104" i="3"/>
  <c r="A104" i="3"/>
  <c r="H103" i="3"/>
  <c r="C103" i="3"/>
  <c r="A103" i="3"/>
  <c r="C102" i="3"/>
  <c r="A102" i="3"/>
  <c r="H101" i="3"/>
  <c r="C101" i="3"/>
  <c r="A101" i="3"/>
  <c r="A100" i="3"/>
  <c r="D99" i="3"/>
  <c r="A99" i="3"/>
  <c r="E98" i="3"/>
  <c r="A98" i="3"/>
  <c r="H97" i="3"/>
  <c r="C97" i="3"/>
  <c r="A97" i="3"/>
  <c r="C96" i="3"/>
  <c r="A96" i="3"/>
  <c r="H95" i="3"/>
  <c r="C95" i="3"/>
  <c r="A95" i="3"/>
  <c r="A94" i="3"/>
  <c r="D93" i="3"/>
  <c r="A93" i="3"/>
  <c r="E92" i="3"/>
  <c r="A92" i="3"/>
  <c r="H91" i="3"/>
  <c r="F91" i="3"/>
  <c r="C91" i="3"/>
  <c r="A91" i="3"/>
  <c r="F90" i="3"/>
  <c r="I90" i="3" s="1"/>
  <c r="C90" i="3"/>
  <c r="A90" i="3"/>
  <c r="H89" i="3"/>
  <c r="C89" i="3"/>
  <c r="A89" i="3"/>
  <c r="E88" i="3"/>
  <c r="A88" i="3"/>
  <c r="D87" i="3"/>
  <c r="A87" i="3"/>
  <c r="E86" i="3"/>
  <c r="A86" i="3"/>
  <c r="H85" i="3"/>
  <c r="F85" i="3"/>
  <c r="C85" i="3"/>
  <c r="A85" i="3"/>
  <c r="F84" i="3"/>
  <c r="C84" i="3"/>
  <c r="A84" i="3"/>
  <c r="N83" i="3"/>
  <c r="M83" i="3"/>
  <c r="H83" i="3"/>
  <c r="C83" i="3"/>
  <c r="A83" i="3"/>
  <c r="I82" i="3"/>
  <c r="A82" i="3"/>
  <c r="A81" i="3"/>
  <c r="I85" i="3" l="1"/>
  <c r="E87" i="3"/>
  <c r="F83" i="3"/>
  <c r="I83" i="3" s="1"/>
  <c r="F97" i="3"/>
  <c r="F103" i="3" l="1"/>
  <c r="I97" i="3"/>
  <c r="H79" i="3"/>
  <c r="H78" i="3"/>
  <c r="H77" i="3"/>
  <c r="H76" i="3" l="1"/>
  <c r="A75" i="3"/>
  <c r="H74" i="3"/>
  <c r="H73" i="3"/>
  <c r="H72" i="3"/>
  <c r="H71" i="3"/>
  <c r="A70" i="3"/>
  <c r="A68" i="3" l="1"/>
  <c r="A67" i="3"/>
  <c r="E66" i="3"/>
  <c r="D66" i="3"/>
  <c r="I65" i="3"/>
  <c r="A65" i="3"/>
  <c r="H64" i="3"/>
  <c r="A64" i="3"/>
  <c r="I63" i="3"/>
  <c r="A63" i="3"/>
  <c r="I62" i="3"/>
  <c r="A62" i="3"/>
  <c r="H61" i="3"/>
  <c r="A61" i="3"/>
  <c r="H60" i="3" l="1"/>
  <c r="A60" i="3"/>
  <c r="D59" i="3"/>
  <c r="A59" i="3"/>
  <c r="A57" i="3" l="1"/>
  <c r="I56" i="3"/>
  <c r="A56" i="3"/>
  <c r="M55" i="3"/>
  <c r="I55" i="3"/>
  <c r="M54" i="3"/>
  <c r="I54" i="3"/>
  <c r="A54" i="3"/>
  <c r="M56" i="3" l="1"/>
  <c r="I53" i="3" s="1"/>
  <c r="I52" i="3"/>
  <c r="A52" i="3"/>
  <c r="I51" i="3"/>
  <c r="A51" i="3"/>
  <c r="H50" i="3"/>
  <c r="A50" i="3"/>
  <c r="H49" i="3"/>
  <c r="A49" i="3"/>
  <c r="H48" i="3"/>
  <c r="A48" i="3"/>
  <c r="J47" i="3"/>
  <c r="H47" i="3"/>
  <c r="A47" i="3"/>
  <c r="A46" i="3"/>
  <c r="D45" i="3"/>
  <c r="D70" i="3" s="1"/>
  <c r="A45" i="3"/>
  <c r="A44" i="3"/>
  <c r="E43" i="3"/>
  <c r="D43" i="3"/>
  <c r="I43" i="3" s="1"/>
  <c r="A43" i="3"/>
  <c r="I42" i="3"/>
  <c r="A42" i="3"/>
  <c r="I41" i="3"/>
  <c r="A41" i="3"/>
  <c r="I40" i="3"/>
  <c r="A40" i="3"/>
  <c r="H39" i="3"/>
  <c r="A39" i="3"/>
  <c r="H38" i="3"/>
  <c r="A38" i="3"/>
  <c r="H37" i="3"/>
  <c r="A37" i="3"/>
  <c r="H36" i="3"/>
  <c r="A36" i="3"/>
  <c r="A35" i="3"/>
  <c r="I34" i="3"/>
  <c r="A34" i="3"/>
  <c r="M33" i="3"/>
  <c r="H33" i="3"/>
  <c r="I33" i="3" s="1"/>
  <c r="A32" i="3"/>
  <c r="A31" i="3"/>
  <c r="E30" i="3"/>
  <c r="D30" i="3"/>
  <c r="A30" i="3"/>
  <c r="I29" i="3"/>
  <c r="A29" i="3"/>
  <c r="I28" i="3"/>
  <c r="A28" i="3"/>
  <c r="I27" i="3"/>
  <c r="A27" i="3"/>
  <c r="I26" i="3"/>
  <c r="A26" i="3"/>
  <c r="I25" i="3"/>
  <c r="A25" i="3"/>
  <c r="H24" i="3"/>
  <c r="A24" i="3"/>
  <c r="H23" i="3"/>
  <c r="A23" i="3"/>
  <c r="I22" i="3"/>
  <c r="A22" i="3"/>
  <c r="D21" i="3"/>
  <c r="A21" i="3"/>
  <c r="D20" i="3"/>
  <c r="A20" i="3"/>
  <c r="E19" i="3"/>
  <c r="D19" i="3"/>
  <c r="I19" i="3" s="1"/>
  <c r="A19" i="3"/>
  <c r="I18" i="3"/>
  <c r="A18" i="3"/>
  <c r="I17" i="3"/>
  <c r="A17" i="3"/>
  <c r="I16" i="3"/>
  <c r="A16" i="3"/>
  <c r="I15" i="3"/>
  <c r="A15" i="3"/>
  <c r="H14" i="3"/>
  <c r="G14" i="3"/>
  <c r="F14" i="3"/>
  <c r="F23" i="3" s="1"/>
  <c r="F36" i="3" s="1"/>
  <c r="F48" i="3" s="1"/>
  <c r="F61" i="3" s="1"/>
  <c r="A14" i="3"/>
  <c r="H13" i="3"/>
  <c r="A13" i="3"/>
  <c r="H12" i="3"/>
  <c r="A12" i="3"/>
  <c r="I11" i="3"/>
  <c r="A11" i="3"/>
  <c r="J10" i="3"/>
  <c r="J11" i="3" s="1"/>
  <c r="A10" i="3"/>
  <c r="A9" i="3"/>
  <c r="A8" i="3"/>
  <c r="D7" i="3"/>
  <c r="A7" i="3"/>
  <c r="A6" i="3"/>
  <c r="H5" i="3"/>
  <c r="A5" i="3"/>
  <c r="H4" i="3"/>
  <c r="A4" i="3"/>
  <c r="A3" i="3"/>
  <c r="A2" i="3"/>
  <c r="G2" i="20" s="1"/>
  <c r="K1" i="3"/>
  <c r="J1" i="3" s="1"/>
  <c r="I14" i="3" l="1"/>
  <c r="I23" i="3"/>
  <c r="I30" i="3"/>
  <c r="I36" i="3"/>
  <c r="I48" i="3"/>
  <c r="F72" i="3"/>
  <c r="I61" i="3"/>
  <c r="K2" i="3"/>
  <c r="K3" i="3" s="1"/>
  <c r="J48" i="3"/>
  <c r="F33" i="20"/>
  <c r="F38" i="20"/>
  <c r="E12" i="20"/>
  <c r="K4" i="3"/>
  <c r="K5" i="3" s="1"/>
  <c r="K6" i="3" s="1"/>
  <c r="K7" i="3" s="1"/>
  <c r="I47" i="3"/>
  <c r="J2" i="3"/>
  <c r="J3" i="3" s="1"/>
  <c r="J4" i="3" s="1"/>
  <c r="P38" i="40"/>
  <c r="E13" i="20" l="1"/>
  <c r="E14" i="20" s="1"/>
  <c r="F77" i="3"/>
  <c r="I72" i="3"/>
  <c r="I5" i="3"/>
  <c r="J5" i="3" s="1"/>
  <c r="J6" i="3" s="1"/>
  <c r="G37" i="40"/>
  <c r="P37" i="40" s="1"/>
  <c r="I37" i="3" l="1"/>
  <c r="Q34" i="40"/>
  <c r="O32" i="40"/>
  <c r="N32" i="40"/>
  <c r="M32" i="40"/>
  <c r="L32" i="40"/>
  <c r="K32" i="40"/>
  <c r="J32" i="40"/>
  <c r="I32" i="40"/>
  <c r="H32" i="40"/>
  <c r="G32" i="40"/>
  <c r="F32" i="40"/>
  <c r="E32" i="40"/>
  <c r="D32" i="40"/>
  <c r="P32" i="40" s="1"/>
  <c r="O31" i="40"/>
  <c r="N31" i="40"/>
  <c r="M31" i="40"/>
  <c r="L31" i="40"/>
  <c r="K31" i="40"/>
  <c r="K34" i="40" s="1"/>
  <c r="J31" i="40"/>
  <c r="I31" i="40"/>
  <c r="I34" i="40" s="1"/>
  <c r="H31" i="40"/>
  <c r="G31" i="40"/>
  <c r="F31" i="40"/>
  <c r="E31" i="40"/>
  <c r="D31" i="40"/>
  <c r="O34" i="40"/>
  <c r="M34" i="40"/>
  <c r="P31" i="40" l="1"/>
  <c r="P40" i="40" s="1"/>
  <c r="E34" i="40"/>
  <c r="G34" i="40"/>
  <c r="P34" i="40"/>
  <c r="D34" i="40"/>
  <c r="F34" i="40"/>
  <c r="H34" i="40"/>
  <c r="J34" i="40"/>
  <c r="L34" i="40"/>
  <c r="N34" i="40"/>
  <c r="I38" i="3"/>
  <c r="I39" i="3" l="1"/>
  <c r="I45" i="3" l="1"/>
  <c r="O28" i="40"/>
  <c r="N28" i="40"/>
  <c r="M28" i="40"/>
  <c r="L28" i="40"/>
  <c r="K28" i="40"/>
  <c r="J28" i="40"/>
  <c r="I28" i="40"/>
  <c r="H28" i="40"/>
  <c r="G28" i="40"/>
  <c r="F28" i="40"/>
  <c r="E28" i="40"/>
  <c r="D28" i="40"/>
  <c r="P28" i="40" l="1"/>
  <c r="I29" i="6" l="1"/>
  <c r="H29" i="6" s="1"/>
  <c r="E39" i="20" s="1"/>
  <c r="H28" i="6"/>
  <c r="G28" i="6" l="1"/>
  <c r="F28" i="6"/>
  <c r="G27" i="6"/>
  <c r="D27" i="6" l="1"/>
  <c r="E37" i="20"/>
  <c r="H27" i="6"/>
  <c r="I28" i="6"/>
  <c r="I27" i="6"/>
  <c r="F27" i="6"/>
  <c r="I26" i="6"/>
  <c r="H26" i="6"/>
  <c r="E36" i="20" l="1"/>
  <c r="H24" i="6"/>
  <c r="G24" i="6"/>
  <c r="D24" i="6" s="1"/>
  <c r="I23" i="6"/>
  <c r="H23" i="6"/>
  <c r="H22" i="6"/>
  <c r="G23" i="6" s="1"/>
  <c r="G22" i="6"/>
  <c r="E32" i="20" s="1"/>
  <c r="I20" i="6"/>
  <c r="H20" i="6"/>
  <c r="G20" i="6"/>
  <c r="D20" i="6" s="1"/>
  <c r="E30" i="20" l="1"/>
  <c r="E34" i="20"/>
  <c r="E33" i="20"/>
  <c r="G33" i="20" s="1"/>
  <c r="F23" i="6"/>
  <c r="P23" i="6"/>
  <c r="F20" i="6"/>
  <c r="I19" i="6"/>
  <c r="H19" i="6"/>
  <c r="F19" i="6"/>
  <c r="E29" i="20" l="1"/>
  <c r="I10" i="6"/>
  <c r="I11" i="6" s="1"/>
  <c r="G10" i="6"/>
  <c r="D10" i="6" s="1"/>
  <c r="F10" i="6"/>
  <c r="F11" i="6" s="1"/>
  <c r="I9" i="6"/>
  <c r="G9" i="6"/>
  <c r="D9" i="6" s="1"/>
  <c r="F9" i="6"/>
  <c r="I8" i="6"/>
  <c r="I14" i="6" s="1"/>
  <c r="G8" i="6"/>
  <c r="D8" i="6" s="1"/>
  <c r="F8" i="6"/>
  <c r="F16" i="6" s="1"/>
  <c r="P3" i="6"/>
  <c r="D21" i="6" l="1"/>
  <c r="D12" i="6"/>
  <c r="D13" i="6" s="1"/>
  <c r="D14" i="6" s="1"/>
  <c r="D15" i="6" s="1"/>
  <c r="D16" i="6" s="1"/>
  <c r="E20" i="20"/>
  <c r="H9" i="6"/>
  <c r="E19" i="20" s="1"/>
  <c r="E18" i="20"/>
  <c r="G21" i="6"/>
  <c r="G16" i="6"/>
  <c r="H8" i="6"/>
  <c r="H10" i="6"/>
  <c r="H11" i="6" s="1"/>
  <c r="F12" i="6"/>
  <c r="I12" i="6"/>
  <c r="G14" i="6"/>
  <c r="F15" i="6"/>
  <c r="I21" i="6"/>
  <c r="I16" i="6"/>
  <c r="G11" i="6"/>
  <c r="D11" i="6" s="1"/>
  <c r="G12" i="6"/>
  <c r="I13" i="6"/>
  <c r="F14" i="6"/>
  <c r="G15" i="6"/>
  <c r="I15" i="6"/>
  <c r="D32" i="7"/>
  <c r="B32" i="7"/>
  <c r="B31" i="7"/>
  <c r="D29" i="7"/>
  <c r="B29" i="7" s="1"/>
  <c r="H25" i="7"/>
  <c r="I25" i="7" s="1"/>
  <c r="D25" i="7"/>
  <c r="B25" i="7"/>
  <c r="D24" i="7"/>
  <c r="B24" i="7" s="1"/>
  <c r="D23" i="7"/>
  <c r="B23" i="7" s="1"/>
  <c r="D22" i="7"/>
  <c r="B22" i="7" s="1"/>
  <c r="D21" i="7"/>
  <c r="B21" i="7" s="1"/>
  <c r="D20" i="7"/>
  <c r="B20" i="7" s="1"/>
  <c r="D19" i="7"/>
  <c r="B19" i="7"/>
  <c r="D18" i="7"/>
  <c r="B18" i="7" s="1"/>
  <c r="D17" i="7"/>
  <c r="B17" i="7" s="1"/>
  <c r="D16" i="7"/>
  <c r="B16" i="7" s="1"/>
  <c r="D15" i="7"/>
  <c r="B15" i="7" s="1"/>
  <c r="D14" i="7"/>
  <c r="B14" i="7" s="1"/>
  <c r="D13" i="7"/>
  <c r="B13" i="7" s="1"/>
  <c r="F12" i="7"/>
  <c r="D12" i="7"/>
  <c r="B12" i="7" s="1"/>
  <c r="F11" i="7"/>
  <c r="D11" i="7"/>
  <c r="B11" i="7" s="1"/>
  <c r="F10" i="7"/>
  <c r="D10" i="7"/>
  <c r="B10" i="7" s="1"/>
  <c r="D9" i="7"/>
  <c r="B9" i="7"/>
  <c r="D8" i="7"/>
  <c r="B8" i="7" s="1"/>
  <c r="E14" i="7" l="1"/>
  <c r="E16" i="7"/>
  <c r="E10" i="7"/>
  <c r="E11" i="7"/>
  <c r="E12" i="7"/>
  <c r="E13" i="7"/>
  <c r="E15" i="7"/>
  <c r="E17" i="7"/>
  <c r="E25" i="20"/>
  <c r="E21" i="20"/>
  <c r="F13" i="6"/>
  <c r="H21" i="6"/>
  <c r="H16" i="6"/>
  <c r="E26" i="20" s="1"/>
  <c r="H14" i="6"/>
  <c r="E24" i="20" s="1"/>
  <c r="H15" i="6"/>
  <c r="F21" i="6"/>
  <c r="E31" i="20"/>
  <c r="H12" i="6"/>
  <c r="H13" i="6" s="1"/>
  <c r="G13" i="6" s="1"/>
  <c r="E23" i="20" s="1"/>
  <c r="C4" i="7"/>
  <c r="C35" i="7" s="1"/>
  <c r="B4" i="7"/>
  <c r="D2" i="7"/>
  <c r="B2" i="7" s="1"/>
  <c r="J12" i="4"/>
  <c r="I12" i="4"/>
  <c r="H12" i="4"/>
  <c r="G12" i="4"/>
  <c r="B11" i="4"/>
  <c r="J11" i="4" s="1"/>
  <c r="B10" i="4"/>
  <c r="I10" i="4" s="1"/>
  <c r="B9" i="4"/>
  <c r="J8" i="4"/>
  <c r="I8" i="4"/>
  <c r="H8" i="4"/>
  <c r="G8" i="4"/>
  <c r="F8" i="4"/>
  <c r="E8" i="4"/>
  <c r="J7" i="4"/>
  <c r="I7" i="4"/>
  <c r="F7" i="4"/>
  <c r="B6" i="4"/>
  <c r="B5" i="4"/>
  <c r="B4" i="4"/>
  <c r="I4" i="4" s="1"/>
  <c r="B3" i="4"/>
  <c r="E2" i="7" l="1"/>
  <c r="E22" i="20"/>
  <c r="H5" i="4"/>
  <c r="G10" i="7" s="1"/>
  <c r="J4" i="4"/>
  <c r="E4" i="4"/>
  <c r="D6" i="7" s="1"/>
  <c r="I6" i="4"/>
  <c r="H4" i="4"/>
  <c r="E6" i="4"/>
  <c r="B6" i="7"/>
  <c r="E6" i="7"/>
  <c r="F16" i="20"/>
  <c r="J3" i="4"/>
  <c r="I3" i="4"/>
  <c r="G4" i="4"/>
  <c r="F6" i="4"/>
  <c r="J6" i="4"/>
  <c r="F9" i="4"/>
  <c r="H9" i="4"/>
  <c r="D10" i="4"/>
  <c r="F10" i="4"/>
  <c r="H10" i="4"/>
  <c r="J10" i="4"/>
  <c r="D11" i="4"/>
  <c r="F11" i="4"/>
  <c r="H11" i="4"/>
  <c r="D5" i="7"/>
  <c r="G12" i="7"/>
  <c r="G11" i="7"/>
  <c r="E24" i="7"/>
  <c r="D9" i="4"/>
  <c r="G9" i="4"/>
  <c r="J9" i="4"/>
  <c r="I9" i="4" s="1"/>
  <c r="E10" i="4"/>
  <c r="G10" i="4"/>
  <c r="E11" i="4"/>
  <c r="G11" i="4"/>
  <c r="I11" i="4"/>
  <c r="B35" i="7"/>
  <c r="F19" i="20" l="1"/>
  <c r="G19" i="20" s="1"/>
  <c r="H11" i="7"/>
  <c r="I11" i="7" s="1"/>
  <c r="F24" i="7"/>
  <c r="F18" i="20"/>
  <c r="H10" i="7"/>
  <c r="I10" i="7" s="1"/>
  <c r="F20" i="20"/>
  <c r="G20" i="20" s="1"/>
  <c r="H12" i="7"/>
  <c r="I12" i="7" s="1"/>
  <c r="F17" i="7"/>
  <c r="G17" i="7" s="1"/>
  <c r="F25" i="20"/>
  <c r="G25" i="20" s="1"/>
  <c r="H17" i="7"/>
  <c r="I17" i="7" s="1"/>
  <c r="F13" i="7"/>
  <c r="G13" i="7" s="1"/>
  <c r="F21" i="20" s="1"/>
  <c r="G21" i="20" s="1"/>
  <c r="B5" i="7"/>
  <c r="E5" i="7"/>
  <c r="F6" i="7"/>
  <c r="G18" i="20" l="1"/>
  <c r="G24" i="7"/>
  <c r="F5" i="7"/>
  <c r="G6" i="7"/>
  <c r="F32" i="20" l="1"/>
  <c r="H24" i="7"/>
  <c r="I24" i="7" s="1"/>
  <c r="G5" i="7"/>
  <c r="F13" i="20"/>
  <c r="G13" i="20" s="1"/>
  <c r="H6" i="7"/>
  <c r="I6" i="7" s="1"/>
  <c r="G32" i="20" l="1"/>
  <c r="H5" i="7"/>
  <c r="I5" i="7" l="1"/>
  <c r="E67" i="3" l="1"/>
  <c r="I66" i="3"/>
  <c r="I64" i="3"/>
  <c r="I60" i="3"/>
  <c r="I73" i="3"/>
  <c r="I71" i="3"/>
  <c r="I78" i="3"/>
  <c r="I77" i="3"/>
  <c r="I74" i="3"/>
  <c r="I76" i="3"/>
  <c r="I103" i="3"/>
  <c r="I91" i="3"/>
  <c r="I87" i="3"/>
  <c r="I79" i="3"/>
  <c r="I84" i="3"/>
  <c r="I86" i="3"/>
  <c r="I104" i="3"/>
  <c r="I98" i="3"/>
  <c r="I92" i="3"/>
  <c r="I70" i="3"/>
  <c r="I59" i="3"/>
  <c r="I68" i="3" l="1"/>
  <c r="G3" i="20" l="1"/>
  <c r="F96" i="3"/>
  <c r="I96" i="3" s="1"/>
  <c r="F11" i="20"/>
  <c r="G11" i="20" s="1"/>
  <c r="F12" i="20" l="1"/>
  <c r="G12" i="20" s="1"/>
  <c r="F102" i="3"/>
  <c r="I102" i="3" s="1"/>
  <c r="F10" i="20" l="1"/>
  <c r="G10" i="20"/>
  <c r="E94" i="3" l="1"/>
  <c r="E93" i="3" s="1"/>
  <c r="E100" i="3"/>
  <c r="E99" i="3" s="1"/>
  <c r="E106" i="3"/>
  <c r="E105" i="3" s="1"/>
  <c r="I105" i="3" l="1"/>
  <c r="I99" i="3"/>
  <c r="I93" i="3"/>
  <c r="E57" i="3" l="1"/>
  <c r="E44" i="3"/>
  <c r="E31" i="3"/>
  <c r="E20" i="3"/>
  <c r="I20" i="3" s="1"/>
  <c r="E8" i="3"/>
  <c r="K8" i="3" s="1"/>
  <c r="K9" i="3" s="1"/>
  <c r="K10" i="3" s="1"/>
  <c r="J32" i="3"/>
  <c r="J33" i="3" s="1"/>
  <c r="J34" i="3" s="1"/>
  <c r="J35" i="3" s="1"/>
  <c r="F25" i="6"/>
  <c r="G25" i="6" s="1"/>
  <c r="G61" i="20"/>
  <c r="I50" i="3"/>
  <c r="I12" i="3"/>
  <c r="J12" i="3" s="1"/>
  <c r="I49" i="3"/>
  <c r="J49" i="3" s="1"/>
  <c r="J50" i="3" s="1"/>
  <c r="J51" i="3" s="1"/>
  <c r="J52" i="3" s="1"/>
  <c r="J53" i="3" s="1"/>
  <c r="J54" i="3" s="1"/>
  <c r="J55" i="3" s="1"/>
  <c r="J56" i="3" s="1"/>
  <c r="I24" i="3"/>
  <c r="I21" i="3"/>
  <c r="I13" i="3"/>
  <c r="D31" i="3"/>
  <c r="D44" i="3" s="1"/>
  <c r="E38" i="20"/>
  <c r="G38" i="20" s="1"/>
  <c r="J13" i="3" l="1"/>
  <c r="J14" i="3" s="1"/>
  <c r="J15" i="3" s="1"/>
  <c r="J16" i="3" s="1"/>
  <c r="J17" i="3" s="1"/>
  <c r="J18" i="3" s="1"/>
  <c r="J19" i="3" s="1"/>
  <c r="D67" i="3"/>
  <c r="D57" i="3"/>
  <c r="I44" i="3"/>
  <c r="J20" i="3"/>
  <c r="J21" i="3" s="1"/>
  <c r="J22" i="3" s="1"/>
  <c r="J23" i="3" s="1"/>
  <c r="J24" i="3" s="1"/>
  <c r="J25" i="3" s="1"/>
  <c r="J26" i="3" s="1"/>
  <c r="J27" i="3" s="1"/>
  <c r="J28" i="3" s="1"/>
  <c r="J29" i="3" s="1"/>
  <c r="J30" i="3" s="1"/>
  <c r="J31" i="3" s="1"/>
  <c r="I31" i="3"/>
  <c r="I57" i="3"/>
  <c r="H25" i="6"/>
  <c r="I25" i="6"/>
  <c r="J36" i="3"/>
  <c r="J37" i="3" s="1"/>
  <c r="J38" i="3" s="1"/>
  <c r="J39" i="3" s="1"/>
  <c r="J40" i="3" s="1"/>
  <c r="J41" i="3" s="1"/>
  <c r="J42" i="3" s="1"/>
  <c r="J43" i="3" s="1"/>
  <c r="J57" i="3"/>
  <c r="I58" i="3" s="1"/>
  <c r="J58" i="3" s="1"/>
  <c r="J59" i="3" s="1"/>
  <c r="K11" i="3"/>
  <c r="K12" i="3" s="1"/>
  <c r="K13" i="3" s="1"/>
  <c r="K14" i="3" s="1"/>
  <c r="K15" i="3" s="1"/>
  <c r="K16" i="3" s="1"/>
  <c r="K17" i="3" s="1"/>
  <c r="K18" i="3" s="1"/>
  <c r="K19" i="3" s="1"/>
  <c r="K20" i="3" s="1"/>
  <c r="K21" i="3" s="1"/>
  <c r="K22" i="3" s="1"/>
  <c r="J44" i="3" l="1"/>
  <c r="J45" i="3" s="1"/>
  <c r="J46" i="3" s="1"/>
  <c r="D88" i="3"/>
  <c r="I67" i="3"/>
  <c r="G7" i="6"/>
  <c r="E35" i="20"/>
  <c r="K23" i="3"/>
  <c r="K24" i="3" s="1"/>
  <c r="K25" i="3" s="1"/>
  <c r="K26" i="3" s="1"/>
  <c r="K27" i="3" s="1"/>
  <c r="K28" i="3" s="1"/>
  <c r="K29" i="3" s="1"/>
  <c r="K30" i="3" s="1"/>
  <c r="K31" i="3" s="1"/>
  <c r="K32" i="3" s="1"/>
  <c r="J60" i="3"/>
  <c r="J61" i="3" s="1"/>
  <c r="J62" i="3" s="1"/>
  <c r="J63" i="3" s="1"/>
  <c r="J64" i="3" s="1"/>
  <c r="J65" i="3" s="1"/>
  <c r="J66" i="3" s="1"/>
  <c r="N59" i="3"/>
  <c r="I69" i="3"/>
  <c r="J67" i="3" l="1"/>
  <c r="J68" i="3" s="1"/>
  <c r="J69" i="3" s="1"/>
  <c r="D100" i="3"/>
  <c r="I100" i="3" s="1"/>
  <c r="D94" i="3"/>
  <c r="I88" i="3"/>
  <c r="F6" i="6"/>
  <c r="H7" i="6"/>
  <c r="K34" i="3"/>
  <c r="K35" i="3" s="1"/>
  <c r="K33" i="3"/>
  <c r="J70" i="3"/>
  <c r="D106" i="3" l="1"/>
  <c r="I106" i="3" s="1"/>
  <c r="I94" i="3"/>
  <c r="I7" i="6"/>
  <c r="G6" i="6"/>
  <c r="K36" i="3"/>
  <c r="K37" i="3" s="1"/>
  <c r="K38" i="3" s="1"/>
  <c r="K39" i="3" s="1"/>
  <c r="K40" i="3" s="1"/>
  <c r="K41" i="3" s="1"/>
  <c r="K42" i="3" s="1"/>
  <c r="K43" i="3" s="1"/>
  <c r="K44" i="3" s="1"/>
  <c r="K45" i="3" s="1"/>
  <c r="K46" i="3" s="1"/>
  <c r="K47" i="3" s="1"/>
  <c r="J82" i="3"/>
  <c r="J83" i="3" s="1"/>
  <c r="J84" i="3" s="1"/>
  <c r="J85" i="3" s="1"/>
  <c r="J86" i="3" s="1"/>
  <c r="J87" i="3" s="1"/>
  <c r="J88" i="3" s="1"/>
  <c r="J71" i="3"/>
  <c r="J72" i="3" s="1"/>
  <c r="J73" i="3" s="1"/>
  <c r="J74" i="3" s="1"/>
  <c r="I75" i="3"/>
  <c r="E17" i="20" l="1"/>
  <c r="E27" i="20"/>
  <c r="H6" i="6"/>
  <c r="K48" i="3"/>
  <c r="K49" i="3" s="1"/>
  <c r="K50" i="3" s="1"/>
  <c r="K51" i="3" s="1"/>
  <c r="K52" i="3" s="1"/>
  <c r="K53" i="3" s="1"/>
  <c r="K54" i="3" s="1"/>
  <c r="K55" i="3" s="1"/>
  <c r="K56" i="3" s="1"/>
  <c r="K57" i="3" s="1"/>
  <c r="K58" i="3" s="1"/>
  <c r="K59" i="3" s="1"/>
  <c r="J75" i="3"/>
  <c r="I6" i="6" l="1"/>
  <c r="K60" i="3"/>
  <c r="K61" i="3" s="1"/>
  <c r="K62" i="3" s="1"/>
  <c r="K63" i="3" s="1"/>
  <c r="K64" i="3" s="1"/>
  <c r="K65" i="3" s="1"/>
  <c r="K66" i="3" s="1"/>
  <c r="K67" i="3" s="1"/>
  <c r="K68" i="3" s="1"/>
  <c r="J76" i="3"/>
  <c r="J77" i="3" s="1"/>
  <c r="J78" i="3" s="1"/>
  <c r="J79" i="3" s="1"/>
  <c r="I80" i="3"/>
  <c r="K69" i="3" l="1"/>
  <c r="K70" i="3"/>
  <c r="J80" i="3"/>
  <c r="J81" i="3" s="1"/>
  <c r="K82" i="3" l="1"/>
  <c r="K83" i="3" s="1"/>
  <c r="K84" i="3" s="1"/>
  <c r="K85" i="3" s="1"/>
  <c r="K86" i="3" s="1"/>
  <c r="K87" i="3" s="1"/>
  <c r="K88" i="3" s="1"/>
  <c r="K89" i="3" s="1"/>
  <c r="K90" i="3" s="1"/>
  <c r="K91" i="3" s="1"/>
  <c r="K92" i="3" s="1"/>
  <c r="K93" i="3" s="1"/>
  <c r="K94" i="3" s="1"/>
  <c r="K95" i="3" s="1"/>
  <c r="K96" i="3" s="1"/>
  <c r="K97" i="3" s="1"/>
  <c r="K98" i="3" s="1"/>
  <c r="K99" i="3" s="1"/>
  <c r="K100" i="3" s="1"/>
  <c r="K101" i="3" s="1"/>
  <c r="K102" i="3" s="1"/>
  <c r="K103" i="3" s="1"/>
  <c r="K104" i="3" s="1"/>
  <c r="K105" i="3" s="1"/>
  <c r="K106" i="3" s="1"/>
  <c r="K71" i="3"/>
  <c r="K72" i="3" s="1"/>
  <c r="K73" i="3" s="1"/>
  <c r="K74" i="3" s="1"/>
  <c r="K75" i="3" s="1"/>
  <c r="K76" i="3" s="1"/>
  <c r="K77" i="3" s="1"/>
  <c r="K78" i="3" s="1"/>
  <c r="K79" i="3" s="1"/>
  <c r="K80" i="3" s="1"/>
  <c r="K81" i="3" s="1"/>
  <c r="D31" i="7" l="1"/>
  <c r="E31" i="7" s="1"/>
  <c r="F31" i="7" s="1"/>
  <c r="G31" i="7" s="1"/>
  <c r="E29" i="7"/>
  <c r="D27" i="7"/>
  <c r="E27" i="7" s="1"/>
  <c r="F27" i="7" s="1"/>
  <c r="G27" i="7" s="1"/>
  <c r="H13" i="7"/>
  <c r="I13" i="7" s="1"/>
  <c r="D26" i="7"/>
  <c r="D28" i="7"/>
  <c r="B28" i="7"/>
  <c r="G29" i="7"/>
  <c r="H29" i="7" s="1"/>
  <c r="I29" i="7" s="1"/>
  <c r="B27" i="7"/>
  <c r="F37" i="20"/>
  <c r="F15" i="7"/>
  <c r="G15" i="7" s="1"/>
  <c r="B26" i="7"/>
  <c r="F16" i="7"/>
  <c r="G16" i="7" s="1"/>
  <c r="H16" i="7" s="1"/>
  <c r="I16" i="7" s="1"/>
  <c r="F14" i="7"/>
  <c r="G14" i="7" s="1"/>
  <c r="F22" i="20" s="1"/>
  <c r="H15" i="7" l="1"/>
  <c r="I15" i="7" s="1"/>
  <c r="F23" i="20"/>
  <c r="G23" i="20" s="1"/>
  <c r="E28" i="7"/>
  <c r="F28" i="7" s="1"/>
  <c r="G28" i="7" s="1"/>
  <c r="H28" i="7" s="1"/>
  <c r="I28" i="7" s="1"/>
  <c r="F35" i="20"/>
  <c r="G35" i="20" s="1"/>
  <c r="H27" i="7"/>
  <c r="I27" i="7" s="1"/>
  <c r="F36" i="20"/>
  <c r="G36" i="20" s="1"/>
  <c r="H31" i="7"/>
  <c r="I31" i="7" s="1"/>
  <c r="F39" i="20"/>
  <c r="G39" i="20" s="1"/>
  <c r="G22" i="20"/>
  <c r="F24" i="20"/>
  <c r="G24" i="20" s="1"/>
  <c r="G37" i="20"/>
  <c r="E26" i="7"/>
  <c r="H14" i="7"/>
  <c r="I14" i="7" s="1"/>
  <c r="F26" i="7" l="1"/>
  <c r="G26" i="7" l="1"/>
  <c r="H26" i="7" l="1"/>
  <c r="F34" i="20"/>
  <c r="G34" i="20" l="1"/>
  <c r="I26" i="7"/>
  <c r="I7" i="3" l="1"/>
  <c r="J7" i="3" s="1"/>
  <c r="J8" i="3" s="1"/>
  <c r="J9" i="3" s="1"/>
  <c r="G30" i="6"/>
  <c r="D30" i="6" s="1"/>
  <c r="G18" i="6" l="1"/>
  <c r="H30" i="6"/>
  <c r="E40" i="20"/>
  <c r="F30" i="6"/>
  <c r="I30" i="6" s="1"/>
  <c r="D18" i="6" l="1"/>
  <c r="E18" i="6"/>
  <c r="I18" i="6"/>
  <c r="F18" i="6"/>
  <c r="H18" i="6"/>
  <c r="G17" i="6"/>
  <c r="D17" i="6" l="1"/>
  <c r="E17" i="6"/>
  <c r="E28" i="20"/>
  <c r="F17" i="6"/>
  <c r="I17" i="6"/>
  <c r="H17" i="6"/>
  <c r="F2" i="7" l="1"/>
  <c r="G2" i="7" s="1"/>
  <c r="D4" i="7"/>
  <c r="E4" i="7" s="1"/>
  <c r="E18" i="7"/>
  <c r="F18" i="7" s="1"/>
  <c r="G18" i="7" s="1"/>
  <c r="E20" i="7"/>
  <c r="F20" i="7" s="1"/>
  <c r="G20" i="7" s="1"/>
  <c r="E21" i="7"/>
  <c r="F21" i="7" s="1"/>
  <c r="G21" i="7" s="1"/>
  <c r="E22" i="7"/>
  <c r="F22" i="7" s="1"/>
  <c r="G22" i="7" s="1"/>
  <c r="E23" i="7"/>
  <c r="F23" i="7" s="1"/>
  <c r="G23" i="7" s="1"/>
  <c r="E32" i="7"/>
  <c r="F32" i="7" s="1"/>
  <c r="G32" i="7" s="1"/>
  <c r="F7" i="7"/>
  <c r="G7" i="7" s="1"/>
  <c r="H7" i="7" s="1"/>
  <c r="I7" i="7" s="1"/>
  <c r="E19" i="7"/>
  <c r="F19" i="7" s="1"/>
  <c r="G19" i="7" s="1"/>
  <c r="H19" i="7" s="1"/>
  <c r="I19" i="7" s="1"/>
  <c r="N89" i="3"/>
  <c r="F89" i="3" s="1"/>
  <c r="I89" i="3" s="1"/>
  <c r="J89" i="3" s="1"/>
  <c r="J90" i="3" s="1"/>
  <c r="J91" i="3" s="1"/>
  <c r="J92" i="3" s="1"/>
  <c r="J93" i="3" s="1"/>
  <c r="J94" i="3" s="1"/>
  <c r="N95" i="3"/>
  <c r="N101" i="3"/>
  <c r="H2" i="7" l="1"/>
  <c r="I2" i="7" s="1"/>
  <c r="M95" i="3"/>
  <c r="F95" i="3" s="1"/>
  <c r="I95" i="3" s="1"/>
  <c r="D35" i="7"/>
  <c r="F31" i="20"/>
  <c r="G31" i="20" s="1"/>
  <c r="H23" i="7"/>
  <c r="I23" i="7" s="1"/>
  <c r="F40" i="20"/>
  <c r="G40" i="20" s="1"/>
  <c r="H32" i="7"/>
  <c r="I32" i="7" s="1"/>
  <c r="H22" i="7"/>
  <c r="I22" i="7" s="1"/>
  <c r="F30" i="20"/>
  <c r="G30" i="20" s="1"/>
  <c r="H21" i="7"/>
  <c r="I21" i="7" s="1"/>
  <c r="F29" i="20"/>
  <c r="G29" i="20" s="1"/>
  <c r="H20" i="7"/>
  <c r="I20" i="7" s="1"/>
  <c r="F28" i="20"/>
  <c r="G28" i="20" s="1"/>
  <c r="H18" i="7"/>
  <c r="I18" i="7" s="1"/>
  <c r="F26" i="20"/>
  <c r="G26" i="20" s="1"/>
  <c r="F4" i="7"/>
  <c r="M101" i="3"/>
  <c r="F101" i="3" s="1"/>
  <c r="I101" i="3" s="1"/>
  <c r="J95" i="3"/>
  <c r="J96" i="3" s="1"/>
  <c r="J97" i="3" s="1"/>
  <c r="J98" i="3" s="1"/>
  <c r="J99" i="3" s="1"/>
  <c r="J100" i="3" s="1"/>
  <c r="J101" i="3" l="1"/>
  <c r="J102" i="3" s="1"/>
  <c r="J103" i="3" s="1"/>
  <c r="J104" i="3" s="1"/>
  <c r="J105" i="3" s="1"/>
  <c r="J106" i="3" s="1"/>
  <c r="G4" i="7"/>
  <c r="H4" i="7" l="1"/>
  <c r="F14" i="20"/>
  <c r="F7" i="20" l="1"/>
  <c r="G14" i="20"/>
  <c r="I4" i="7"/>
  <c r="G43" i="20" l="1"/>
  <c r="F41" i="20"/>
  <c r="E8" i="7"/>
  <c r="F8" i="7" s="1"/>
  <c r="E9" i="7"/>
  <c r="F9" i="7"/>
  <c r="G9" i="7" s="1"/>
  <c r="E25" i="7"/>
  <c r="F25" i="7"/>
  <c r="E35" i="7" l="1"/>
  <c r="F17" i="20"/>
  <c r="H9" i="7"/>
  <c r="I9" i="7" s="1"/>
  <c r="F27" i="20"/>
  <c r="G27" i="20" s="1"/>
  <c r="G8" i="7"/>
  <c r="F35" i="7"/>
  <c r="F45" i="20" l="1"/>
  <c r="G17" i="20"/>
  <c r="G41" i="20" s="1"/>
  <c r="G42" i="20" s="1"/>
  <c r="F43" i="20" s="1"/>
  <c r="H8" i="7"/>
  <c r="G35" i="7"/>
  <c r="G60" i="20" l="1"/>
  <c r="G62" i="20" s="1"/>
  <c r="I8" i="7"/>
  <c r="I35" i="7" s="1"/>
  <c r="H35" i="7"/>
  <c r="E7" i="20" l="1"/>
  <c r="F42" i="20"/>
  <c r="G7" i="20" l="1"/>
  <c r="E54" i="20"/>
  <c r="E56" i="20" s="1"/>
  <c r="E52" i="20" s="1"/>
  <c r="E8" i="20"/>
  <c r="G8" i="20" s="1"/>
  <c r="E16" i="20"/>
  <c r="C5" i="10"/>
  <c r="E9" i="20" l="1"/>
  <c r="G9" i="20" s="1"/>
  <c r="G16" i="20"/>
  <c r="C6" i="10"/>
  <c r="E15" i="20"/>
  <c r="G15" i="20" s="1"/>
  <c r="G45" i="20" l="1"/>
  <c r="G46" i="20" s="1"/>
</calcChain>
</file>

<file path=xl/comments1.xml><?xml version="1.0" encoding="utf-8"?>
<comments xmlns="http://schemas.openxmlformats.org/spreadsheetml/2006/main">
  <authors>
    <author>Shakarov Amir</author>
  </authors>
  <commentList>
    <comment ref="D2" authorId="0">
      <text>
        <r>
          <rPr>
            <b/>
            <sz val="8"/>
            <color indexed="81"/>
            <rFont val="Tahoma"/>
            <family val="2"/>
          </rPr>
          <t>Shakarov Amir:</t>
        </r>
        <r>
          <rPr>
            <sz val="8"/>
            <color indexed="81"/>
            <rFont val="Tahoma"/>
            <family val="2"/>
          </rPr>
          <t xml:space="preserve">
כמויות סופיות לפי דוח שרון לשנת 2010 לצריכה ביתית</t>
        </r>
      </text>
    </comment>
  </commentList>
</comments>
</file>

<file path=xl/comments2.xml><?xml version="1.0" encoding="utf-8"?>
<comments xmlns="http://schemas.openxmlformats.org/spreadsheetml/2006/main">
  <authors>
    <author>Shakarov Amir</author>
  </authors>
  <commentList>
    <comment ref="B16" authorId="0">
      <text>
        <r>
          <rPr>
            <b/>
            <sz val="8"/>
            <color indexed="81"/>
            <rFont val="Tahoma"/>
            <family val="2"/>
          </rPr>
          <t>Shakarov Amir:</t>
        </r>
        <r>
          <rPr>
            <sz val="8"/>
            <color indexed="81"/>
            <rFont val="Tahoma"/>
            <family val="2"/>
          </rPr>
          <t xml:space="preserve">
הוספת ה- 20 מלמ"ק שנוכו בשנת 2011 בגין שנת 2010
</t>
        </r>
      </text>
    </comment>
  </commentList>
</comments>
</file>

<file path=xl/sharedStrings.xml><?xml version="1.0" encoding="utf-8"?>
<sst xmlns="http://schemas.openxmlformats.org/spreadsheetml/2006/main" count="311" uniqueCount="152">
  <si>
    <t>כמות</t>
  </si>
  <si>
    <t>תעשייה</t>
  </si>
  <si>
    <t>חקלאות שפירים</t>
  </si>
  <si>
    <t>שפירים לבית</t>
  </si>
  <si>
    <t>שפירים לתעשייה</t>
  </si>
  <si>
    <t>נחותים לתעשייה - בסיס</t>
  </si>
  <si>
    <t>בית שאן מעינות</t>
  </si>
  <si>
    <t>בית שאן קידוחים</t>
  </si>
  <si>
    <t>שפירים לחקלאות א'</t>
  </si>
  <si>
    <t>שפירים לחקלאות ב'</t>
  </si>
  <si>
    <t>שפירים לחקלאות ג'</t>
  </si>
  <si>
    <t>שפירים חריגה</t>
  </si>
  <si>
    <t>עמק הירדן</t>
  </si>
  <si>
    <t>עמק הירדן תחום המוא"ז בית שאן</t>
  </si>
  <si>
    <t>גבעת יואב</t>
  </si>
  <si>
    <t>מעלה גמלא</t>
  </si>
  <si>
    <t>חולתא למדגה</t>
  </si>
  <si>
    <t>שפעה מילוי מאגרים</t>
  </si>
  <si>
    <t>שפעה</t>
  </si>
  <si>
    <t>שפד"ן</t>
  </si>
  <si>
    <t>שפד"ן חריגה</t>
  </si>
  <si>
    <t>קולחים</t>
  </si>
  <si>
    <t>מים לטבע</t>
  </si>
  <si>
    <t xml:space="preserve">ממלכת ירדן </t>
  </si>
  <si>
    <t>רשות פלסטינאית</t>
  </si>
  <si>
    <t>בית שאן בית, תעשייה וחקלאות</t>
  </si>
  <si>
    <t>סה"כ</t>
  </si>
  <si>
    <t>ירדן</t>
  </si>
  <si>
    <t>חדרה</t>
  </si>
  <si>
    <t>שנה</t>
  </si>
  <si>
    <t>פרוייקט</t>
  </si>
  <si>
    <t>עלות לקוב</t>
  </si>
  <si>
    <t>סה"כ קובים</t>
  </si>
  <si>
    <t>סה"כ עלות</t>
  </si>
  <si>
    <t>עלות חיבור מתקני התפלת מי ים</t>
  </si>
  <si>
    <t>עלות חיבור מים מליחים</t>
  </si>
  <si>
    <t>השקעה</t>
  </si>
  <si>
    <t>פחת</t>
  </si>
  <si>
    <t>תשואה</t>
  </si>
  <si>
    <t>השקעות מעבר לפחת</t>
  </si>
  <si>
    <t>הרחבת אשקלון</t>
  </si>
  <si>
    <t>חיבור מפיקים פרטיים</t>
  </si>
  <si>
    <t>רכישת מים מליחים</t>
  </si>
  <si>
    <t>שיעור שינוי לשנה</t>
  </si>
  <si>
    <t>ביתי</t>
  </si>
  <si>
    <t>חקלאות קולחין</t>
  </si>
  <si>
    <t>עלויות</t>
  </si>
  <si>
    <t>מקורות לכיסוי</t>
  </si>
  <si>
    <t>מחיר</t>
  </si>
  <si>
    <t>מליחים</t>
  </si>
  <si>
    <t>פלסטינים</t>
  </si>
  <si>
    <t>עלות מוכרת צפויה (כולל רווח)</t>
  </si>
  <si>
    <t>קבועות</t>
  </si>
  <si>
    <t>הון</t>
  </si>
  <si>
    <t>הגברת המטר</t>
  </si>
  <si>
    <t>הורדת שאיבה שנייה בגין מותפלים</t>
  </si>
  <si>
    <t>בסיסי</t>
  </si>
  <si>
    <t>הורדת מחצית שאיבה ראשונה בגין מותפלים</t>
  </si>
  <si>
    <t>הנחות עיקריות</t>
  </si>
  <si>
    <t>בתי מלון</t>
  </si>
  <si>
    <t>מזה:</t>
  </si>
  <si>
    <t>שולי - בסיסי</t>
  </si>
  <si>
    <t>תעשייה שולי</t>
  </si>
  <si>
    <t>תעשייה ישיר</t>
  </si>
  <si>
    <t>תעשייה לתאגיד</t>
  </si>
  <si>
    <t>עלויות משתנות</t>
  </si>
  <si>
    <t>התייעלות</t>
  </si>
  <si>
    <t>הורדת חצי ראשונה בגין מותפלים</t>
  </si>
  <si>
    <t>בית שאן מעיינות (מליחים ומתוקים)</t>
  </si>
  <si>
    <t>עיון זמר א'+ב'+ג'</t>
  </si>
  <si>
    <t>מליחים חקלאות (תעריף ממוצע)</t>
  </si>
  <si>
    <t>רשות שמורות הטבע</t>
  </si>
  <si>
    <t>שיעור שינוי לשנה סטנדרטית</t>
  </si>
  <si>
    <t>הרחבת פלמחים</t>
  </si>
  <si>
    <t>התאמת המערכת הארצית לקליטת מותפלים (קו ירקון מערבי)</t>
  </si>
  <si>
    <t>המערכת החמישית - הקטע המערבי</t>
  </si>
  <si>
    <t>קליטת מים מותפלים - קו חפץ חיים</t>
  </si>
  <si>
    <t>רכישת מים מותפלים תעוזית</t>
  </si>
  <si>
    <t>התפלה</t>
  </si>
  <si>
    <t xml:space="preserve">רכישת מים </t>
  </si>
  <si>
    <t>אנרגיה והשבחה</t>
  </si>
  <si>
    <t>נמוך</t>
  </si>
  <si>
    <t>הרחבת חדרה</t>
  </si>
  <si>
    <t>שורק</t>
  </si>
  <si>
    <t>אשדוד</t>
  </si>
  <si>
    <t>תשלום בגין רכישה מפרטיים</t>
  </si>
  <si>
    <t>חובות בגין שנים עברו</t>
  </si>
  <si>
    <t>פחת מוערך בעשור</t>
  </si>
  <si>
    <t>תוספת עלויות קבועות</t>
  </si>
  <si>
    <t>אחיד נמוך</t>
  </si>
  <si>
    <t>מקדם עליית מחיר מים מליחים</t>
  </si>
  <si>
    <t>להכניס את העלויות המאושרות</t>
  </si>
  <si>
    <t>עלויות מוכרות 2011 לפני תוספת השקעות</t>
  </si>
  <si>
    <t>רשויות מקומיות</t>
  </si>
  <si>
    <t>רשות מקומית</t>
  </si>
  <si>
    <t>מים בלבד</t>
  </si>
  <si>
    <t>תוספת איגודי ערים</t>
  </si>
  <si>
    <t>ממלכת ירדן קניה</t>
  </si>
  <si>
    <t>צרכן שאינו ספק</t>
  </si>
  <si>
    <t>רשויות מקומיות גבוה</t>
  </si>
  <si>
    <t>רשויות מקומיות נמוך</t>
  </si>
  <si>
    <t>התייקרויות</t>
  </si>
  <si>
    <t>הסבר</t>
  </si>
  <si>
    <t>ריכוז הנתונים במחירים שוטפים</t>
  </si>
  <si>
    <t>יחידות</t>
  </si>
  <si>
    <t>ינואר</t>
  </si>
  <si>
    <t>פברואר</t>
  </si>
  <si>
    <t>מרץ</t>
  </si>
  <si>
    <t>אפריל</t>
  </si>
  <si>
    <t>מאי</t>
  </si>
  <si>
    <t>יוני</t>
  </si>
  <si>
    <t>יולי</t>
  </si>
  <si>
    <t>אוגוסט</t>
  </si>
  <si>
    <t>ספטמבר</t>
  </si>
  <si>
    <t>אוקטובר</t>
  </si>
  <si>
    <t>נובמבר</t>
  </si>
  <si>
    <t>דצמבר</t>
  </si>
  <si>
    <t>סך כמות המים שסיפקה מקורות</t>
  </si>
  <si>
    <t>אלמ"ק</t>
  </si>
  <si>
    <t>אלש"ח</t>
  </si>
  <si>
    <t>אחזקה</t>
  </si>
  <si>
    <t>עמק חפר</t>
  </si>
  <si>
    <t>הכנסות אחרות - 50%</t>
  </si>
  <si>
    <t>הכנסות מגורמי חוץ - 7%</t>
  </si>
  <si>
    <t>סה"כ הכנסות מוכרות</t>
  </si>
  <si>
    <t>גידול בצרכנים הלא ביתיים</t>
  </si>
  <si>
    <t>מחירי 2013</t>
  </si>
  <si>
    <t>שינוי כללים</t>
  </si>
  <si>
    <t xml:space="preserve">התאמת המערכת הארצית לקליטת מותפלים </t>
  </si>
  <si>
    <t>הורדת שאיבה ראשונה בגין מותפלים</t>
  </si>
  <si>
    <t>ריכוז העלויות וההכנסות המוכרות לתקופה 1-12/2013</t>
  </si>
  <si>
    <t>נתוני רבעון ראשון 2010</t>
  </si>
  <si>
    <t>פער של 7.5%</t>
  </si>
  <si>
    <t>כתבי שיפוי</t>
  </si>
  <si>
    <t>במרץ 2010 היה "זיכוי" בגובה 6.6 מלש"ח</t>
  </si>
  <si>
    <t>נובע בעיקר מגידול בתעריפים וגם מגידול מכמויות המים</t>
  </si>
  <si>
    <t>החזר מפא"ר</t>
  </si>
  <si>
    <t>התאמת עלויות לחישוב מדוייק</t>
  </si>
  <si>
    <t>תוספת ספק אחר</t>
  </si>
  <si>
    <t>אומדן החזר מקורות</t>
  </si>
  <si>
    <t>1-12/2013
(אלש"ח)</t>
  </si>
  <si>
    <t>אנרגיה</t>
  </si>
  <si>
    <t>השבחת מים</t>
  </si>
  <si>
    <t>קניות מים מאחרים</t>
  </si>
  <si>
    <t>סה"כ משתנות</t>
  </si>
  <si>
    <t>סה"כ קבועות</t>
  </si>
  <si>
    <t>החזר הון מקורות</t>
  </si>
  <si>
    <t xml:space="preserve">תשואה מפא"ר </t>
  </si>
  <si>
    <t>סה"כ הון</t>
  </si>
  <si>
    <t>רשות פלסטינית</t>
  </si>
  <si>
    <t>סה"כ אחרים</t>
  </si>
  <si>
    <t>סה"כ עלות מוכרת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</si>
</sst>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3" formatCode="_ * #,##0.00_ ;_ * \-#,##0.00_ ;_ * &quot;-&quot;??_ ;_ @_ "/>
    <numFmt numFmtId="164" formatCode="_(* #,##0.00_);_(* \(#,##0.00\);_(* &quot;-&quot;??_);_(@_)"/>
    <numFmt numFmtId="165" formatCode="_(* #,##0_);_(* \(#,##0\);_(* &quot;-&quot;??_);_(@_)"/>
    <numFmt numFmtId="166" formatCode="0.000"/>
    <numFmt numFmtId="167" formatCode="0.0%"/>
    <numFmt numFmtId="168" formatCode="_(* #,##0.000_);_(* \(#,##0.000\);_(* &quot;-&quot;??_);_(@_)"/>
    <numFmt numFmtId="169" formatCode="_ * #,##0.000_ ;_ * \-#,##0.000_ ;_ * &quot;-&quot;??_ ;_ @_ "/>
    <numFmt numFmtId="170" formatCode="_(* #,##0.000000000_);_(* \(#,##0.000000000\);_(* &quot;-&quot;??_);_(@_)"/>
    <numFmt numFmtId="171" formatCode="0_)"/>
    <numFmt numFmtId="172" formatCode="#,##0;\(#,##0\)"/>
    <numFmt numFmtId="173" formatCode="#,##0.000000;\-#,##0.000000"/>
    <numFmt numFmtId="174" formatCode="#,##0.0000;\-#,##0.0000"/>
    <numFmt numFmtId="175" formatCode="_(* #,##0.0000_);_(* \(#,##0.0000\);_(* &quot;-&quot;??_);_(@_)"/>
    <numFmt numFmtId="176" formatCode="_ * #,##0.0000_ ;_ * \-#,##0.0000_ ;_ * &quot;-&quot;??_ ;_ @_ "/>
    <numFmt numFmtId="177" formatCode="#,##0.0000;\(#,##0.0000\)"/>
    <numFmt numFmtId="178" formatCode="#,##0.00000;\-#,##0.00000"/>
    <numFmt numFmtId="179" formatCode="_-* #,##0_-;\-* #,##0_-;_-* &quot;-&quot;??_-;_-@_-"/>
  </numFmts>
  <fonts count="2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14"/>
      <name val="Arial"/>
      <family val="2"/>
    </font>
    <font>
      <u/>
      <sz val="10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b/>
      <u/>
      <sz val="10"/>
      <color rgb="FFFF0000"/>
      <name val="Arial"/>
      <family val="2"/>
    </font>
    <font>
      <sz val="13"/>
      <name val="David"/>
      <family val="2"/>
      <charset val="177"/>
    </font>
    <font>
      <b/>
      <sz val="13"/>
      <name val="David"/>
      <family val="2"/>
      <charset val="177"/>
    </font>
    <font>
      <u/>
      <sz val="13"/>
      <name val="David"/>
      <family val="2"/>
      <charset val="177"/>
    </font>
    <font>
      <b/>
      <u/>
      <sz val="16"/>
      <name val="David"/>
      <family val="2"/>
      <charset val="177"/>
    </font>
    <font>
      <sz val="10"/>
      <name val="Arial (Hebrew)"/>
      <family val="2"/>
      <charset val="177"/>
    </font>
    <font>
      <b/>
      <sz val="10"/>
      <name val="Arial (Hebrew)"/>
      <charset val="177"/>
    </font>
    <font>
      <b/>
      <sz val="10"/>
      <name val="Arial (Hebrew)"/>
      <family val="2"/>
      <charset val="177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DC6D"/>
        <bgColor indexed="64"/>
      </patternFill>
    </fill>
    <fill>
      <patternFill patternType="solid">
        <fgColor theme="9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5" fillId="0" borderId="0"/>
    <xf numFmtId="9" fontId="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89">
    <xf numFmtId="0" fontId="0" fillId="0" borderId="0" xfId="0"/>
    <xf numFmtId="164" fontId="0" fillId="0" borderId="0" xfId="1" applyFont="1"/>
    <xf numFmtId="165" fontId="0" fillId="0" borderId="0" xfId="1" applyNumberFormat="1" applyFont="1"/>
    <xf numFmtId="166" fontId="0" fillId="0" borderId="0" xfId="0" applyNumberFormat="1"/>
    <xf numFmtId="0" fontId="3" fillId="0" borderId="0" xfId="0" applyFont="1" applyBorder="1"/>
    <xf numFmtId="0" fontId="3" fillId="0" borderId="1" xfId="0" applyFont="1" applyFill="1" applyBorder="1"/>
    <xf numFmtId="0" fontId="3" fillId="0" borderId="2" xfId="0" applyFont="1" applyFill="1" applyBorder="1"/>
    <xf numFmtId="0" fontId="3" fillId="0" borderId="1" xfId="0" applyFont="1" applyFill="1" applyBorder="1" applyAlignment="1">
      <alignment horizontal="right" readingOrder="2"/>
    </xf>
    <xf numFmtId="166" fontId="0" fillId="2" borderId="1" xfId="0" applyNumberFormat="1" applyFill="1" applyBorder="1"/>
    <xf numFmtId="3" fontId="0" fillId="0" borderId="0" xfId="0" applyNumberFormat="1"/>
    <xf numFmtId="167" fontId="0" fillId="0" borderId="0" xfId="6" applyNumberFormat="1" applyFont="1"/>
    <xf numFmtId="167" fontId="0" fillId="0" borderId="0" xfId="0" applyNumberFormat="1"/>
    <xf numFmtId="0" fontId="4" fillId="0" borderId="0" xfId="0" applyFont="1"/>
    <xf numFmtId="164" fontId="4" fillId="0" borderId="0" xfId="1" applyFont="1"/>
    <xf numFmtId="9" fontId="0" fillId="0" borderId="0" xfId="0" applyNumberFormat="1"/>
    <xf numFmtId="165" fontId="0" fillId="0" borderId="0" xfId="0" applyNumberFormat="1"/>
    <xf numFmtId="9" fontId="4" fillId="0" borderId="0" xfId="0" applyNumberFormat="1" applyFont="1"/>
    <xf numFmtId="0" fontId="0" fillId="2" borderId="0" xfId="0" applyFill="1"/>
    <xf numFmtId="9" fontId="0" fillId="2" borderId="0" xfId="0" applyNumberFormat="1" applyFill="1"/>
    <xf numFmtId="0" fontId="0" fillId="0" borderId="0" xfId="0" applyAlignment="1">
      <alignment horizontal="left"/>
    </xf>
    <xf numFmtId="167" fontId="0" fillId="2" borderId="0" xfId="0" applyNumberFormat="1" applyFill="1"/>
    <xf numFmtId="43" fontId="0" fillId="0" borderId="0" xfId="0" applyNumberFormat="1"/>
    <xf numFmtId="165" fontId="0" fillId="0" borderId="0" xfId="1" applyNumberFormat="1" applyFont="1" applyBorder="1"/>
    <xf numFmtId="0" fontId="8" fillId="0" borderId="0" xfId="0" applyFont="1"/>
    <xf numFmtId="164" fontId="0" fillId="0" borderId="0" xfId="0" applyNumberFormat="1"/>
    <xf numFmtId="164" fontId="0" fillId="0" borderId="0" xfId="1" applyNumberFormat="1" applyFont="1"/>
    <xf numFmtId="10" fontId="0" fillId="2" borderId="0" xfId="0" applyNumberFormat="1" applyFill="1"/>
    <xf numFmtId="168" fontId="0" fillId="0" borderId="0" xfId="1" applyNumberFormat="1" applyFont="1"/>
    <xf numFmtId="0" fontId="3" fillId="0" borderId="11" xfId="0" applyFont="1" applyFill="1" applyBorder="1" applyAlignment="1">
      <alignment horizontal="right" readingOrder="2"/>
    </xf>
    <xf numFmtId="0" fontId="3" fillId="0" borderId="12" xfId="0" applyFont="1" applyFill="1" applyBorder="1"/>
    <xf numFmtId="0" fontId="3" fillId="0" borderId="7" xfId="0" applyFont="1" applyFill="1" applyBorder="1" applyAlignment="1">
      <alignment horizontal="right" readingOrder="2"/>
    </xf>
    <xf numFmtId="164" fontId="0" fillId="0" borderId="0" xfId="1" applyFont="1" applyFill="1"/>
    <xf numFmtId="165" fontId="0" fillId="0" borderId="0" xfId="1" applyNumberFormat="1" applyFont="1" applyFill="1"/>
    <xf numFmtId="167" fontId="0" fillId="0" borderId="0" xfId="6" applyNumberFormat="1" applyFont="1" applyFill="1"/>
    <xf numFmtId="0" fontId="0" fillId="0" borderId="0" xfId="0" applyFill="1"/>
    <xf numFmtId="169" fontId="0" fillId="0" borderId="0" xfId="0" applyNumberFormat="1"/>
    <xf numFmtId="170" fontId="0" fillId="0" borderId="0" xfId="1" applyNumberFormat="1" applyFont="1"/>
    <xf numFmtId="164" fontId="1" fillId="0" borderId="0" xfId="1"/>
    <xf numFmtId="1" fontId="0" fillId="0" borderId="0" xfId="0" applyNumberFormat="1"/>
    <xf numFmtId="168" fontId="0" fillId="0" borderId="0" xfId="0" applyNumberFormat="1"/>
    <xf numFmtId="0" fontId="6" fillId="0" borderId="0" xfId="0" applyFont="1"/>
    <xf numFmtId="168" fontId="6" fillId="0" borderId="0" xfId="1" applyNumberFormat="1" applyFont="1"/>
    <xf numFmtId="0" fontId="0" fillId="3" borderId="0" xfId="0" applyFill="1"/>
    <xf numFmtId="0" fontId="5" fillId="0" borderId="0" xfId="0" applyFont="1"/>
    <xf numFmtId="0" fontId="12" fillId="3" borderId="7" xfId="0" applyFont="1" applyFill="1" applyBorder="1"/>
    <xf numFmtId="0" fontId="12" fillId="3" borderId="8" xfId="0" applyFont="1" applyFill="1" applyBorder="1"/>
    <xf numFmtId="9" fontId="12" fillId="3" borderId="9" xfId="0" applyNumberFormat="1" applyFont="1" applyFill="1" applyBorder="1"/>
    <xf numFmtId="0" fontId="13" fillId="0" borderId="0" xfId="0" applyFont="1"/>
    <xf numFmtId="0" fontId="1" fillId="0" borderId="0" xfId="0" applyFont="1"/>
    <xf numFmtId="168" fontId="1" fillId="0" borderId="0" xfId="1" applyNumberFormat="1" applyFont="1"/>
    <xf numFmtId="165" fontId="0" fillId="5" borderId="0" xfId="1" applyNumberFormat="1" applyFont="1" applyFill="1"/>
    <xf numFmtId="0" fontId="1" fillId="4" borderId="0" xfId="0" applyFont="1" applyFill="1"/>
    <xf numFmtId="164" fontId="0" fillId="4" borderId="0" xfId="1" applyFont="1" applyFill="1"/>
    <xf numFmtId="0" fontId="0" fillId="4" borderId="0" xfId="0" applyFill="1"/>
    <xf numFmtId="167" fontId="0" fillId="4" borderId="0" xfId="0" applyNumberFormat="1" applyFill="1"/>
    <xf numFmtId="37" fontId="14" fillId="0" borderId="0" xfId="0" applyNumberFormat="1" applyFont="1" applyFill="1"/>
    <xf numFmtId="39" fontId="16" fillId="0" borderId="0" xfId="0" applyNumberFormat="1" applyFont="1" applyFill="1" applyBorder="1" applyAlignment="1" applyProtection="1">
      <alignment horizontal="right"/>
      <protection locked="0"/>
    </xf>
    <xf numFmtId="37" fontId="14" fillId="0" borderId="0" xfId="0" applyNumberFormat="1" applyFont="1" applyFill="1" applyBorder="1"/>
    <xf numFmtId="37" fontId="14" fillId="0" borderId="0" xfId="0" applyNumberFormat="1" applyFont="1" applyFill="1" applyBorder="1" applyAlignment="1">
      <alignment horizontal="right"/>
    </xf>
    <xf numFmtId="37" fontId="14" fillId="0" borderId="0" xfId="0" applyNumberFormat="1" applyFont="1" applyFill="1" applyBorder="1" applyAlignment="1">
      <alignment horizontal="center"/>
    </xf>
    <xf numFmtId="171" fontId="14" fillId="0" borderId="0" xfId="0" applyNumberFormat="1" applyFont="1" applyFill="1" applyBorder="1" applyAlignment="1" applyProtection="1">
      <alignment horizontal="left"/>
      <protection locked="0"/>
    </xf>
    <xf numFmtId="37" fontId="14" fillId="0" borderId="17" xfId="0" quotePrefix="1" applyNumberFormat="1" applyFont="1" applyFill="1" applyBorder="1" applyAlignment="1" applyProtection="1">
      <alignment horizontal="right"/>
    </xf>
    <xf numFmtId="37" fontId="14" fillId="0" borderId="14" xfId="0" applyNumberFormat="1" applyFont="1" applyFill="1" applyBorder="1" applyAlignment="1" applyProtection="1">
      <alignment horizontal="right"/>
    </xf>
    <xf numFmtId="37" fontId="14" fillId="0" borderId="14" xfId="0" applyNumberFormat="1" applyFont="1" applyFill="1" applyBorder="1" applyAlignment="1" applyProtection="1">
      <alignment horizontal="center"/>
    </xf>
    <xf numFmtId="3" fontId="14" fillId="0" borderId="14" xfId="0" applyNumberFormat="1" applyFont="1" applyFill="1" applyBorder="1" applyAlignment="1" applyProtection="1">
      <alignment horizontal="center"/>
    </xf>
    <xf numFmtId="37" fontId="14" fillId="0" borderId="20" xfId="0" applyNumberFormat="1" applyFont="1" applyFill="1" applyBorder="1" applyAlignment="1" applyProtection="1">
      <alignment horizontal="center"/>
    </xf>
    <xf numFmtId="37" fontId="14" fillId="0" borderId="10" xfId="0" applyNumberFormat="1" applyFont="1" applyFill="1" applyBorder="1" applyAlignment="1" applyProtection="1">
      <alignment horizontal="center"/>
    </xf>
    <xf numFmtId="37" fontId="14" fillId="0" borderId="21" xfId="0" applyNumberFormat="1" applyFont="1" applyFill="1" applyBorder="1"/>
    <xf numFmtId="37" fontId="14" fillId="0" borderId="6" xfId="0" applyNumberFormat="1" applyFont="1" applyFill="1" applyBorder="1" applyAlignment="1" applyProtection="1">
      <alignment horizontal="right"/>
    </xf>
    <xf numFmtId="37" fontId="14" fillId="0" borderId="4" xfId="0" applyNumberFormat="1" applyFont="1" applyFill="1" applyBorder="1" applyAlignment="1" applyProtection="1">
      <alignment horizontal="center"/>
    </xf>
    <xf numFmtId="172" fontId="14" fillId="0" borderId="4" xfId="0" applyNumberFormat="1" applyFont="1" applyFill="1" applyBorder="1" applyAlignment="1" applyProtection="1">
      <alignment horizontal="center"/>
    </xf>
    <xf numFmtId="172" fontId="14" fillId="0" borderId="5" xfId="0" applyNumberFormat="1" applyFont="1" applyFill="1" applyBorder="1" applyAlignment="1" applyProtection="1">
      <alignment horizontal="center"/>
    </xf>
    <xf numFmtId="172" fontId="14" fillId="0" borderId="19" xfId="0" applyNumberFormat="1" applyFont="1" applyFill="1" applyBorder="1" applyAlignment="1" applyProtection="1">
      <alignment horizontal="center"/>
    </xf>
    <xf numFmtId="37" fontId="14" fillId="0" borderId="0" xfId="0" applyNumberFormat="1" applyFont="1" applyFill="1" applyAlignment="1">
      <alignment horizontal="center"/>
    </xf>
    <xf numFmtId="37" fontId="14" fillId="0" borderId="22" xfId="0" applyNumberFormat="1" applyFont="1" applyFill="1" applyBorder="1" applyAlignment="1">
      <alignment vertical="center"/>
    </xf>
    <xf numFmtId="37" fontId="15" fillId="0" borderId="6" xfId="0" applyNumberFormat="1" applyFont="1" applyFill="1" applyBorder="1" applyAlignment="1" applyProtection="1">
      <alignment horizontal="right" vertical="center"/>
    </xf>
    <xf numFmtId="37" fontId="15" fillId="0" borderId="4" xfId="0" applyNumberFormat="1" applyFont="1" applyFill="1" applyBorder="1" applyAlignment="1" applyProtection="1">
      <alignment horizontal="center" vertical="center"/>
    </xf>
    <xf numFmtId="172" fontId="15" fillId="0" borderId="4" xfId="0" applyNumberFormat="1" applyFont="1" applyFill="1" applyBorder="1" applyAlignment="1" applyProtection="1">
      <alignment horizontal="center" vertical="center"/>
    </xf>
    <xf numFmtId="172" fontId="15" fillId="0" borderId="5" xfId="0" applyNumberFormat="1" applyFont="1" applyFill="1" applyBorder="1" applyAlignment="1" applyProtection="1">
      <alignment horizontal="center" vertical="center"/>
    </xf>
    <xf numFmtId="172" fontId="15" fillId="0" borderId="19" xfId="0" applyNumberFormat="1" applyFont="1" applyFill="1" applyBorder="1" applyAlignment="1" applyProtection="1">
      <alignment horizontal="center" vertical="center"/>
    </xf>
    <xf numFmtId="173" fontId="14" fillId="0" borderId="0" xfId="0" applyNumberFormat="1" applyFont="1" applyFill="1"/>
    <xf numFmtId="174" fontId="14" fillId="0" borderId="0" xfId="0" applyNumberFormat="1" applyFont="1" applyFill="1"/>
    <xf numFmtId="37" fontId="14" fillId="0" borderId="6" xfId="0" applyNumberFormat="1" applyFont="1" applyFill="1" applyBorder="1" applyAlignment="1" applyProtection="1">
      <alignment horizontal="right" vertical="center"/>
    </xf>
    <xf numFmtId="37" fontId="14" fillId="0" borderId="4" xfId="0" applyNumberFormat="1" applyFont="1" applyFill="1" applyBorder="1" applyAlignment="1" applyProtection="1">
      <alignment horizontal="center" vertical="center"/>
    </xf>
    <xf numFmtId="172" fontId="14" fillId="0" borderId="4" xfId="0" applyNumberFormat="1" applyFont="1" applyFill="1" applyBorder="1" applyAlignment="1" applyProtection="1">
      <alignment horizontal="center" vertical="center"/>
    </xf>
    <xf numFmtId="172" fontId="14" fillId="0" borderId="5" xfId="0" applyNumberFormat="1" applyFont="1" applyFill="1" applyBorder="1" applyAlignment="1" applyProtection="1">
      <alignment horizontal="center" vertical="center"/>
    </xf>
    <xf numFmtId="172" fontId="14" fillId="0" borderId="19" xfId="0" applyNumberFormat="1" applyFont="1" applyFill="1" applyBorder="1" applyAlignment="1" applyProtection="1">
      <alignment horizontal="center" vertical="center"/>
    </xf>
    <xf numFmtId="37" fontId="15" fillId="0" borderId="22" xfId="0" applyNumberFormat="1" applyFont="1" applyFill="1" applyBorder="1" applyAlignment="1">
      <alignment vertical="center"/>
    </xf>
    <xf numFmtId="37" fontId="14" fillId="0" borderId="6" xfId="0" applyNumberFormat="1" applyFont="1" applyFill="1" applyBorder="1" applyAlignment="1">
      <alignment vertical="center"/>
    </xf>
    <xf numFmtId="37" fontId="14" fillId="0" borderId="4" xfId="0" applyNumberFormat="1" applyFont="1" applyFill="1" applyBorder="1" applyAlignment="1">
      <alignment horizontal="center" vertical="center"/>
    </xf>
    <xf numFmtId="37" fontId="15" fillId="6" borderId="17" xfId="0" applyNumberFormat="1" applyFont="1" applyFill="1" applyBorder="1" applyAlignment="1">
      <alignment vertical="center"/>
    </xf>
    <xf numFmtId="37" fontId="15" fillId="6" borderId="13" xfId="0" applyNumberFormat="1" applyFont="1" applyFill="1" applyBorder="1" applyAlignment="1" applyProtection="1">
      <alignment horizontal="right" vertical="center"/>
    </xf>
    <xf numFmtId="172" fontId="15" fillId="6" borderId="14" xfId="0" applyNumberFormat="1" applyFont="1" applyFill="1" applyBorder="1" applyAlignment="1" applyProtection="1">
      <alignment horizontal="center" vertical="center"/>
    </xf>
    <xf numFmtId="37" fontId="15" fillId="6" borderId="10" xfId="0" applyNumberFormat="1" applyFont="1" applyFill="1" applyBorder="1" applyAlignment="1">
      <alignment horizontal="center" vertical="center"/>
    </xf>
    <xf numFmtId="37" fontId="15" fillId="0" borderId="0" xfId="0" applyNumberFormat="1" applyFont="1" applyFill="1" applyAlignment="1">
      <alignment horizontal="center"/>
    </xf>
    <xf numFmtId="37" fontId="15" fillId="0" borderId="22" xfId="0" applyNumberFormat="1" applyFont="1" applyFill="1" applyBorder="1" applyAlignment="1" applyProtection="1">
      <alignment vertical="center"/>
    </xf>
    <xf numFmtId="3" fontId="14" fillId="0" borderId="0" xfId="0" applyNumberFormat="1" applyFont="1" applyFill="1" applyAlignment="1">
      <alignment horizontal="center"/>
    </xf>
    <xf numFmtId="37" fontId="14" fillId="0" borderId="5" xfId="0" applyNumberFormat="1" applyFont="1" applyFill="1" applyBorder="1" applyAlignment="1">
      <alignment horizontal="center" vertical="center"/>
    </xf>
    <xf numFmtId="37" fontId="14" fillId="0" borderId="4" xfId="0" applyNumberFormat="1" applyFont="1" applyFill="1" applyBorder="1" applyAlignment="1">
      <alignment vertical="center"/>
    </xf>
    <xf numFmtId="37" fontId="15" fillId="6" borderId="15" xfId="0" applyNumberFormat="1" applyFont="1" applyFill="1" applyBorder="1" applyAlignment="1" applyProtection="1">
      <alignment horizontal="center" vertical="center"/>
    </xf>
    <xf numFmtId="172" fontId="15" fillId="6" borderId="13" xfId="0" applyNumberFormat="1" applyFont="1" applyFill="1" applyBorder="1" applyAlignment="1" applyProtection="1">
      <alignment horizontal="center" vertical="center"/>
    </xf>
    <xf numFmtId="172" fontId="15" fillId="6" borderId="20" xfId="0" applyNumberFormat="1" applyFont="1" applyFill="1" applyBorder="1" applyAlignment="1" applyProtection="1">
      <alignment horizontal="center" vertical="center"/>
    </xf>
    <xf numFmtId="10" fontId="14" fillId="0" borderId="6" xfId="0" applyNumberFormat="1" applyFont="1" applyFill="1" applyBorder="1" applyAlignment="1" applyProtection="1">
      <alignment horizontal="right" vertical="center"/>
    </xf>
    <xf numFmtId="10" fontId="14" fillId="0" borderId="18" xfId="0" applyNumberFormat="1" applyFont="1" applyFill="1" applyBorder="1" applyAlignment="1" applyProtection="1">
      <alignment horizontal="center" vertical="center"/>
    </xf>
    <xf numFmtId="172" fontId="14" fillId="0" borderId="6" xfId="0" applyNumberFormat="1" applyFont="1" applyFill="1" applyBorder="1" applyAlignment="1" applyProtection="1">
      <alignment horizontal="center" vertical="center"/>
    </xf>
    <xf numFmtId="37" fontId="16" fillId="0" borderId="0" xfId="0" applyNumberFormat="1" applyFont="1" applyFill="1" applyBorder="1" applyAlignment="1">
      <alignment vertical="center"/>
    </xf>
    <xf numFmtId="37" fontId="14" fillId="0" borderId="0" xfId="0" applyNumberFormat="1" applyFont="1" applyFill="1" applyBorder="1" applyAlignment="1" applyProtection="1">
      <alignment horizontal="right" vertical="center"/>
    </xf>
    <xf numFmtId="37" fontId="14" fillId="0" borderId="0" xfId="0" applyNumberFormat="1" applyFont="1" applyFill="1" applyBorder="1" applyAlignment="1" applyProtection="1">
      <alignment horizontal="center" vertical="center"/>
    </xf>
    <xf numFmtId="172" fontId="14" fillId="0" borderId="0" xfId="0" applyNumberFormat="1" applyFont="1" applyFill="1" applyBorder="1" applyAlignment="1" applyProtection="1">
      <alignment vertical="center"/>
    </xf>
    <xf numFmtId="172" fontId="14" fillId="0" borderId="0" xfId="0" applyNumberFormat="1" applyFont="1" applyFill="1" applyBorder="1" applyAlignment="1" applyProtection="1">
      <alignment horizontal="center" vertical="center"/>
    </xf>
    <xf numFmtId="37" fontId="15" fillId="0" borderId="0" xfId="0" applyNumberFormat="1" applyFont="1" applyFill="1" applyBorder="1" applyAlignment="1" applyProtection="1">
      <alignment horizontal="right" vertical="center"/>
    </xf>
    <xf numFmtId="37" fontId="15" fillId="0" borderId="0" xfId="0" applyNumberFormat="1" applyFont="1" applyFill="1" applyBorder="1" applyAlignment="1">
      <alignment horizontal="right" vertical="center"/>
    </xf>
    <xf numFmtId="37" fontId="14" fillId="0" borderId="0" xfId="0" applyNumberFormat="1" applyFont="1" applyFill="1" applyBorder="1" applyAlignment="1">
      <alignment horizontal="center" vertical="center"/>
    </xf>
    <xf numFmtId="172" fontId="14" fillId="0" borderId="0" xfId="0" applyNumberFormat="1" applyFont="1" applyFill="1" applyBorder="1" applyAlignment="1">
      <alignment vertical="center"/>
    </xf>
    <xf numFmtId="172" fontId="14" fillId="0" borderId="0" xfId="0" applyNumberFormat="1" applyFont="1" applyFill="1" applyBorder="1" applyAlignment="1">
      <alignment horizontal="center" vertical="center"/>
    </xf>
    <xf numFmtId="37" fontId="14" fillId="0" borderId="0" xfId="0" applyNumberFormat="1" applyFont="1" applyFill="1" applyAlignment="1">
      <alignment vertical="center"/>
    </xf>
    <xf numFmtId="37" fontId="15" fillId="0" borderId="0" xfId="0" applyNumberFormat="1" applyFont="1" applyFill="1" applyAlignment="1">
      <alignment vertical="center"/>
    </xf>
    <xf numFmtId="37" fontId="14" fillId="0" borderId="0" xfId="0" applyNumberFormat="1" applyFont="1" applyFill="1" applyAlignment="1">
      <alignment horizontal="center" vertical="center"/>
    </xf>
    <xf numFmtId="0" fontId="0" fillId="7" borderId="0" xfId="0" applyFill="1"/>
    <xf numFmtId="164" fontId="0" fillId="7" borderId="0" xfId="1" applyFont="1" applyFill="1"/>
    <xf numFmtId="164" fontId="0" fillId="7" borderId="0" xfId="0" applyNumberFormat="1" applyFill="1"/>
    <xf numFmtId="176" fontId="0" fillId="0" borderId="0" xfId="0" applyNumberFormat="1"/>
    <xf numFmtId="177" fontId="14" fillId="0" borderId="0" xfId="0" applyNumberFormat="1" applyFont="1" applyFill="1" applyBorder="1" applyAlignment="1">
      <alignment vertical="center"/>
    </xf>
    <xf numFmtId="178" fontId="14" fillId="0" borderId="0" xfId="0" applyNumberFormat="1" applyFont="1" applyFill="1" applyAlignment="1">
      <alignment vertical="center"/>
    </xf>
    <xf numFmtId="175" fontId="0" fillId="0" borderId="0" xfId="1" applyNumberFormat="1" applyFont="1"/>
    <xf numFmtId="168" fontId="14" fillId="0" borderId="0" xfId="1" applyNumberFormat="1" applyFont="1" applyFill="1" applyBorder="1" applyAlignment="1" applyProtection="1">
      <alignment vertical="center"/>
    </xf>
    <xf numFmtId="0" fontId="1" fillId="3" borderId="0" xfId="0" applyFont="1" applyFill="1"/>
    <xf numFmtId="43" fontId="0" fillId="3" borderId="0" xfId="0" applyNumberFormat="1" applyFill="1"/>
    <xf numFmtId="0" fontId="18" fillId="0" borderId="0" xfId="0" applyNumberFormat="1" applyFont="1" applyProtection="1">
      <protection locked="0"/>
    </xf>
    <xf numFmtId="0" fontId="18" fillId="0" borderId="2" xfId="0" applyNumberFormat="1" applyFont="1" applyBorder="1" applyAlignment="1" applyProtection="1">
      <alignment horizontal="center" vertical="center"/>
      <protection locked="0"/>
    </xf>
    <xf numFmtId="0" fontId="19" fillId="0" borderId="2" xfId="0" applyNumberFormat="1" applyFont="1" applyBorder="1" applyAlignment="1" applyProtection="1">
      <alignment horizontal="center" vertical="center"/>
      <protection locked="0"/>
    </xf>
    <xf numFmtId="14" fontId="19" fillId="0" borderId="1" xfId="0" quotePrefix="1" applyNumberFormat="1" applyFont="1" applyBorder="1" applyAlignment="1" applyProtection="1">
      <alignment horizontal="center" wrapText="1"/>
      <protection locked="0"/>
    </xf>
    <xf numFmtId="0" fontId="18" fillId="0" borderId="0" xfId="0" applyNumberFormat="1" applyFont="1" applyBorder="1" applyAlignment="1" applyProtection="1">
      <alignment horizontal="center"/>
      <protection locked="0"/>
    </xf>
    <xf numFmtId="179" fontId="18" fillId="0" borderId="23" xfId="1" applyNumberFormat="1" applyFont="1" applyBorder="1" applyAlignment="1" applyProtection="1">
      <protection locked="0"/>
    </xf>
    <xf numFmtId="172" fontId="18" fillId="0" borderId="3" xfId="1" applyNumberFormat="1" applyFont="1" applyBorder="1" applyAlignment="1" applyProtection="1">
      <alignment horizontal="center"/>
    </xf>
    <xf numFmtId="172" fontId="18" fillId="0" borderId="0" xfId="0" applyNumberFormat="1" applyFont="1" applyProtection="1">
      <protection locked="0"/>
    </xf>
    <xf numFmtId="179" fontId="18" fillId="0" borderId="5" xfId="1" applyNumberFormat="1" applyFont="1" applyBorder="1" applyAlignment="1" applyProtection="1">
      <protection locked="0"/>
    </xf>
    <xf numFmtId="172" fontId="18" fillId="0" borderId="4" xfId="1" applyNumberFormat="1" applyFont="1" applyBorder="1" applyAlignment="1" applyProtection="1">
      <alignment horizontal="center"/>
    </xf>
    <xf numFmtId="0" fontId="20" fillId="0" borderId="0" xfId="0" applyNumberFormat="1" applyFont="1" applyProtection="1">
      <protection locked="0"/>
    </xf>
    <xf numFmtId="179" fontId="20" fillId="0" borderId="2" xfId="1" applyNumberFormat="1" applyFont="1" applyBorder="1" applyAlignment="1" applyProtection="1">
      <protection locked="0"/>
    </xf>
    <xf numFmtId="172" fontId="20" fillId="0" borderId="1" xfId="1" applyNumberFormat="1" applyFont="1" applyBorder="1" applyAlignment="1" applyProtection="1">
      <alignment horizontal="center"/>
    </xf>
    <xf numFmtId="0" fontId="18" fillId="0" borderId="0" xfId="0" applyNumberFormat="1" applyFont="1" applyAlignment="1" applyProtection="1">
      <protection locked="0"/>
    </xf>
    <xf numFmtId="0" fontId="20" fillId="0" borderId="0" xfId="0" applyNumberFormat="1" applyFont="1" applyBorder="1" applyProtection="1">
      <protection locked="0"/>
    </xf>
    <xf numFmtId="0" fontId="20" fillId="0" borderId="0" xfId="0" applyNumberFormat="1" applyFont="1" applyBorder="1" applyAlignment="1" applyProtection="1">
      <protection locked="0"/>
    </xf>
    <xf numFmtId="0" fontId="20" fillId="0" borderId="2" xfId="0" applyNumberFormat="1" applyFont="1" applyBorder="1" applyAlignment="1" applyProtection="1">
      <protection locked="0"/>
    </xf>
    <xf numFmtId="0" fontId="18" fillId="0" borderId="23" xfId="0" applyNumberFormat="1" applyFont="1" applyBorder="1" applyAlignment="1" applyProtection="1">
      <protection locked="0"/>
    </xf>
    <xf numFmtId="0" fontId="18" fillId="0" borderId="5" xfId="0" applyNumberFormat="1" applyFont="1" applyBorder="1" applyAlignment="1" applyProtection="1">
      <protection locked="0"/>
    </xf>
    <xf numFmtId="0" fontId="19" fillId="0" borderId="1" xfId="0" applyNumberFormat="1" applyFont="1" applyBorder="1" applyProtection="1">
      <protection locked="0"/>
    </xf>
    <xf numFmtId="172" fontId="20" fillId="0" borderId="1" xfId="0" applyNumberFormat="1" applyFont="1" applyBorder="1" applyAlignment="1" applyProtection="1">
      <alignment horizontal="center"/>
      <protection locked="0"/>
    </xf>
    <xf numFmtId="168" fontId="0" fillId="0" borderId="0" xfId="1" applyNumberFormat="1" applyFont="1" applyFill="1"/>
    <xf numFmtId="168" fontId="0" fillId="0" borderId="1" xfId="0" applyNumberFormat="1" applyFill="1" applyBorder="1"/>
    <xf numFmtId="168" fontId="0" fillId="0" borderId="0" xfId="0" applyNumberFormat="1" applyFill="1" applyBorder="1"/>
    <xf numFmtId="168" fontId="0" fillId="0" borderId="1" xfId="1" applyNumberFormat="1" applyFont="1" applyFill="1" applyBorder="1"/>
    <xf numFmtId="168" fontId="6" fillId="0" borderId="1" xfId="1" applyNumberFormat="1" applyFont="1" applyFill="1" applyBorder="1"/>
    <xf numFmtId="168" fontId="1" fillId="0" borderId="1" xfId="1" applyNumberFormat="1" applyFont="1" applyFill="1" applyBorder="1"/>
    <xf numFmtId="0" fontId="0" fillId="0" borderId="24" xfId="0" applyFill="1" applyBorder="1"/>
    <xf numFmtId="0" fontId="4" fillId="0" borderId="25" xfId="0" applyFont="1" applyFill="1" applyBorder="1"/>
    <xf numFmtId="0" fontId="4" fillId="0" borderId="26" xfId="0" applyFont="1" applyFill="1" applyBorder="1"/>
    <xf numFmtId="0" fontId="3" fillId="0" borderId="27" xfId="0" applyFont="1" applyFill="1" applyBorder="1"/>
    <xf numFmtId="168" fontId="0" fillId="0" borderId="28" xfId="0" applyNumberFormat="1" applyFill="1" applyBorder="1"/>
    <xf numFmtId="168" fontId="0" fillId="0" borderId="28" xfId="1" applyNumberFormat="1" applyFont="1" applyFill="1" applyBorder="1"/>
    <xf numFmtId="0" fontId="3" fillId="0" borderId="27" xfId="0" applyFont="1" applyFill="1" applyBorder="1" applyAlignment="1">
      <alignment horizontal="right" readingOrder="2"/>
    </xf>
    <xf numFmtId="168" fontId="1" fillId="0" borderId="28" xfId="1" applyNumberFormat="1" applyFont="1" applyFill="1" applyBorder="1"/>
    <xf numFmtId="0" fontId="3" fillId="0" borderId="29" xfId="0" applyFont="1" applyFill="1" applyBorder="1"/>
    <xf numFmtId="168" fontId="0" fillId="0" borderId="30" xfId="1" applyNumberFormat="1" applyFont="1" applyFill="1" applyBorder="1"/>
    <xf numFmtId="168" fontId="0" fillId="0" borderId="30" xfId="0" applyNumberFormat="1" applyFill="1" applyBorder="1"/>
    <xf numFmtId="168" fontId="0" fillId="0" borderId="31" xfId="0" applyNumberFormat="1" applyFill="1" applyBorder="1"/>
    <xf numFmtId="164" fontId="0" fillId="0" borderId="0" xfId="1" applyNumberFormat="1" applyFont="1" applyFill="1"/>
    <xf numFmtId="165" fontId="0" fillId="0" borderId="1" xfId="1" applyNumberFormat="1" applyFont="1" applyFill="1" applyBorder="1"/>
    <xf numFmtId="0" fontId="4" fillId="0" borderId="25" xfId="1" applyNumberFormat="1" applyFont="1" applyFill="1" applyBorder="1"/>
    <xf numFmtId="0" fontId="4" fillId="0" borderId="26" xfId="1" applyNumberFormat="1" applyFont="1" applyFill="1" applyBorder="1"/>
    <xf numFmtId="165" fontId="0" fillId="0" borderId="28" xfId="1" applyNumberFormat="1" applyFont="1" applyFill="1" applyBorder="1"/>
    <xf numFmtId="165" fontId="0" fillId="0" borderId="30" xfId="1" applyNumberFormat="1" applyFont="1" applyFill="1" applyBorder="1"/>
    <xf numFmtId="165" fontId="0" fillId="0" borderId="31" xfId="1" applyNumberFormat="1" applyFont="1" applyFill="1" applyBorder="1"/>
    <xf numFmtId="0" fontId="0" fillId="0" borderId="32" xfId="0" applyBorder="1"/>
    <xf numFmtId="0" fontId="0" fillId="0" borderId="33" xfId="0" applyBorder="1"/>
    <xf numFmtId="164" fontId="0" fillId="0" borderId="0" xfId="1" applyNumberFormat="1" applyFont="1" applyBorder="1"/>
    <xf numFmtId="0" fontId="0" fillId="0" borderId="29" xfId="0" applyBorder="1"/>
    <xf numFmtId="165" fontId="0" fillId="0" borderId="30" xfId="1" applyNumberFormat="1" applyFont="1" applyBorder="1"/>
    <xf numFmtId="165" fontId="0" fillId="0" borderId="34" xfId="1" applyNumberFormat="1" applyFont="1" applyBorder="1"/>
    <xf numFmtId="165" fontId="0" fillId="0" borderId="35" xfId="1" applyNumberFormat="1" applyFont="1" applyBorder="1"/>
    <xf numFmtId="0" fontId="0" fillId="0" borderId="16" xfId="0" applyBorder="1"/>
    <xf numFmtId="0" fontId="0" fillId="0" borderId="19" xfId="0" applyBorder="1"/>
    <xf numFmtId="165" fontId="0" fillId="0" borderId="36" xfId="1" applyNumberFormat="1" applyFont="1" applyBorder="1"/>
    <xf numFmtId="165" fontId="0" fillId="0" borderId="37" xfId="1" applyNumberFormat="1" applyFont="1" applyBorder="1"/>
    <xf numFmtId="165" fontId="0" fillId="0" borderId="16" xfId="1" applyNumberFormat="1" applyFont="1" applyBorder="1"/>
    <xf numFmtId="165" fontId="0" fillId="0" borderId="19" xfId="1" applyNumberFormat="1" applyFont="1" applyBorder="1"/>
    <xf numFmtId="37" fontId="17" fillId="0" borderId="0" xfId="0" applyNumberFormat="1" applyFont="1" applyFill="1" applyAlignment="1" applyProtection="1">
      <alignment horizontal="center"/>
    </xf>
    <xf numFmtId="0" fontId="7" fillId="0" borderId="0" xfId="0" applyFont="1" applyAlignment="1">
      <alignment horizontal="center"/>
    </xf>
  </cellXfs>
  <cellStyles count="8">
    <cellStyle name="Comma" xfId="1" builtinId="3"/>
    <cellStyle name="Comma 2" xfId="2"/>
    <cellStyle name="Comma 3" xfId="3"/>
    <cellStyle name="Comma 4" xfId="4"/>
    <cellStyle name="Normal" xfId="0" builtinId="0"/>
    <cellStyle name="Normal 2" xfId="5"/>
    <cellStyle name="Percent" xfId="6" builtinId="5"/>
    <cellStyle name="Percent 2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4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externalLink" Target="externalLinks/externalLink13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23" Type="http://schemas.openxmlformats.org/officeDocument/2006/relationships/theme" Target="theme/theme1.xml"/><Relationship Id="rId28" Type="http://schemas.openxmlformats.org/officeDocument/2006/relationships/customXml" Target="../customXml/item2.xml"/><Relationship Id="rId10" Type="http://schemas.openxmlformats.org/officeDocument/2006/relationships/externalLink" Target="externalLinks/externalLink3.xml"/><Relationship Id="rId19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externalLink" Target="externalLinks/externalLink15.xml"/><Relationship Id="rId27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yehuda.AVRAMZON-CPA/Local%20Settings/Temporary%20Internet%20Files/Content.IE5/CHO899C5/&#1514;&#1495;&#1494;&#1497;&#1514;%20&#1488;&#1505;&#1508;&#1514;%20&#1502;&#1497;&#1501;%20&#1513;&#1508;&#1497;&#1512;&#1497;&#1501;%20&#1493;&#1492;&#1499;&#1504;&#1505;&#1493;&#1514;%20&#1500;&#1513;&#1504;&#1514;%202009%20&#1502;&#1493;&#1512;&#1493;&#1514;%2009_1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yehuda.AVRAMZON-CPA/Local%20Settings/Temporary%20Internet%20Files/Content.IE5/CHO899C5/&#1504;&#1514;&#1493;&#1504;&#1497;%20&#1502;&#1497;&#1501;%20200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495;&#1496;&#1497;&#1489;&#1514;%20&#1499;&#1500;&#1499;&#1500;&#1492;/&#1514;&#1506;&#1512;&#1497;&#1508;&#1497;&#1501;%20&#1500;&#1513;&#1504;&#1514;%202012/&#1506;&#1500;&#1493;&#1497;&#1493;&#1514;%20&#1502;&#1511;&#1493;&#1512;&#1493;&#1514;%20&#1502;&#1506;&#1493;&#1491;&#1499;&#1503;%20&#1500;&#1513;&#1504;&#1497;&#1501;%202011-2012/&#1514;&#1495;&#1494;&#1497;&#1514;%20&#1499;&#1502;&#1493;&#1497;&#1493;&#1514;%20&#1510;&#1512;&#1497;&#1499;&#1492;%20&#1500;&#1502;&#1511;&#1493;&#1512;&#1493;&#1514;%20&#1500;&#1513;&#1504;&#1514;%20201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1495;&#1496;&#1497;&#1489;&#1514;%20&#1499;&#1500;&#1499;&#1500;&#1492;/&#1513;&#1497;&#1504;&#1493;&#1497;%20&#1489;&#1514;&#1506;&#1512;&#1497;&#1508;&#1497;%20&#1492;&#1502;&#1497;&#1501;-&#1499;&#1493;&#1500;&#1500;%20&#1492;&#1502;&#1491;&#1491;&#1497;&#1501;/&#1496;&#1489;&#1500;&#1514;%20&#1514;&#1506;&#1512;&#1497;&#1508;&#1497;&#1501;%202010%20&#1502;&#1506;&#1493;&#1491;&#1499;&#1504;&#1514;%20&#1500;&#1506;&#1500;&#1497;&#1497;&#1514;%20&#1492;&#1514;&#1506;&#1512;&#1497;&#1508;&#1497;&#1501;%201%207%202010%2027%204%202010%20(2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mirsh10/Local%20Settings/Temporary%20Internet%20Files/OLK9F/&#1492;&#1499;&#1504;&#1492;%20&#1500;&#1514;&#1506;&#1512;&#1497;&#1508;&#1497;&#1501;%20&#1495;&#1491;&#1513;&#1497;&#1501;%2022.4.2009%20&#1502;&#1511;&#1493;&#1512;&#1493;&#151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My%20Documents\&#1488;&#1490;&#1507;%20&#1514;&#1508;&#1506;&#1493;&#1500;\&#1514;&#1506;&#1512;&#1497;&#1508;&#1497;%20&#1502;&#1497;&#1501;\&#1514;&#1506;&#1512;&#1497;&#1508;&#1497;&#1501;%20&#1500;&#1502;&#1511;&#1493;&#1512;&#1493;&#1514;\2009\&#1506;&#1491;&#1499;&#1493;&#1503;%202009\&#1495;&#1500;&#1493;&#1511;&#1514;%20&#1492;&#1499;&#1504;&#1505;&#1493;&#1514;%202009%20&#1506;&#1508;%20&#1514;&#1514;&#1497;%20&#1502;&#1508;&#1506;&#1500;%2013.7.201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&#1495;&#1496;&#1497;&#1489;&#1514;%20&#1499;&#1500;&#1499;&#1500;&#1492;\&#1514;&#1506;&#1512;&#1497;&#1508;&#1497;&#1501;%202013\&#1505;&#1497;&#1502;&#1493;&#1500;&#1510;&#1497;&#1492;%20&#1502;&#1493;&#1508;&#1512;&#1496;&#1514;%20&#1500;&#1514;&#1506;&#1512;&#1497;&#1508;&#1497;%20&#1502;&#1511;&#1493;&#1512;&#1493;&#1514;%20&#1489;&#1506;&#1511;&#1489;&#1493;&#1514;%20&#1492;&#1513;&#1497;&#1502;&#1493;&#1506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1495;&#1496;&#1497;&#1489;&#1514;%20&#1499;&#1500;&#1499;&#1500;&#1492;/&#1502;&#1511;&#1493;&#1512;&#1493;&#1514;/2013/&#1514;&#1495;&#1494;&#1497;&#1514;%20&#1492;&#1514;&#1495;&#1513;&#1489;&#1504;&#1493;&#1514;%202013%20&#1500;&#1500;&#1488;%20&#1502;&#1491;&#1491;&#1497;&#1501;%20-%2026%208%202013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yehuda/Local%20Settings/Temporary%20Internet%20Files/Content.Outlook/4QN7QFJQ/&#1505;&#1497;&#1502;&#1493;&#1500;&#1510;&#1497;&#1492;%20&#1502;&#1493;&#1508;&#1512;&#1496;&#1514;%20&#1500;&#1514;&#1506;&#1512;&#1497;&#1508;&#1497;%20&#1502;&#1511;&#1493;&#1512;&#1493;&#1514;%20&#1489;&#1506;&#1511;&#1489;&#1493;&#1514;%20&#1492;&#1513;&#1497;&#1502;&#1493;&#1506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My%20Documents\&#1488;&#1490;&#1507;%20&#1514;&#1508;&#1506;&#1493;&#1500;\&#1514;&#1506;&#1512;&#1497;&#1508;&#1497;%20&#1502;&#1497;&#1501;\&#1514;&#1506;&#1512;&#1497;&#1508;&#1497;&#1501;%20&#1500;&#1502;&#1511;&#1493;&#1512;&#1493;&#1514;\2009\&#1506;&#1491;&#1499;&#1493;&#1503;%202009\&#1489;&#1491;&#1497;&#1511;&#1514;%202009\hes1209s3-1%20%2017.5.2010%20&#1500;&#1502;&#1511;&#1493;&#1512;&#1493;&#1514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My%20Documents\&#1495;&#1496;&#1497;&#1489;&#1514;%20&#1499;&#1500;&#1499;&#1500;&#1492;\&#1514;&#1493;&#1499;&#1504;&#1497;&#1514;%20&#1488;&#1489;\&#1506;&#1493;&#1514;&#1511;%20&#1513;&#1500;%20&#1511;&#1493;&#1489;&#1509;%20&#1502;&#1512;&#1499;&#1494;%20(3)%20(2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495;&#1496;&#1497;&#1489;&#1514;%20&#1499;&#1500;&#1499;&#1500;&#1492;/&#1514;&#1506;&#1512;&#1497;&#1508;&#1497;&#1501;%20&#1500;&#1513;&#1504;&#1514;%202012/&#1511;&#1493;&#1489;&#1509;%20&#1514;&#1506;&#1512;&#1497;&#1508;&#1497;&#1501;%20&#1500;&#1513;&#1504;&#1514;%202012%20&#1489;&#1508;&#1495;&#1514;&#1497;%20&#1502;&#1497;&#1501;%20&#1493;&#1490;&#1489;&#1497;&#1492;%20&#1513;&#1493;&#1504;&#1497;&#1501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495;&#1496;&#1497;&#1489;&#1514;%20&#1499;&#1500;&#1499;&#1500;&#1492;/&#1514;&#1506;&#1512;&#1497;&#1508;&#1497;&#1501;%20&#1513;&#1504;&#1514;%202011/&#1514;&#1506;&#1512;&#1497;&#1508;&#1497;&#1501;%20&#1500;&#1513;&#1504;&#1514;%202011-&#1500;&#1508;&#1497;%20&#1508;&#1495;&#1514;%20&#1500;&#1513;&#1504;&#1514;%20201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&#1495;&#1496;&#1497;&#1489;&#1514;%20&#1499;&#1500;&#1499;&#1500;&#1492;/&#1514;&#1506;&#1512;&#1497;&#1508;&#1497;&#1501;%20&#1513;&#1504;&#1514;%202011/&#1514;&#1506;&#1512;&#1497;&#1508;&#1497;&#1501;%20&#1497;&#1493;&#1500;&#1497;%202011-&#1511;&#1493;&#1489;&#1509;%20&#1502;&#1511;&#1493;&#1512;&#1497;/&#1514;&#1506;&#1512;&#1497;&#1508;&#1497;%20&#1492;&#1502;&#1497;&#1501;-%20&#1489;&#1506;&#1511;&#1489;&#1493;&#1514;%20&#1492;&#1493;&#1505;&#1508;&#1514;%20&#1514;&#1506;&#1512;&#1497;&#1507;%20&#1504;&#1493;&#1505;&#1507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irani/Desktop/&#1511;&#1493;&#1489;&#1509;%20&#1500;&#1504;&#1497;&#1505;&#1497;&#1493;&#150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צריכה 2007 לפי אזורי תכנון"/>
      <sheetName val="הקצאה לחקלאות"/>
      <sheetName val="מים לשכנים"/>
      <sheetName val="עלות הולכה"/>
      <sheetName val="הגדרות"/>
      <sheetName val="סיכום בית"/>
      <sheetName val="סיכום בית ותעשייה"/>
      <sheetName val="תחזית הכנסות מקורות - הפקה יחסי"/>
      <sheetName val="תחזית הכנסות מקורות - הפקה מקור"/>
      <sheetName val="תחזית הכנסות מקורות - הפקה פרטי"/>
    </sheetNames>
    <sheetDataSet>
      <sheetData sheetId="0"/>
      <sheetData sheetId="1"/>
      <sheetData sheetId="2">
        <row r="8">
          <cell r="D8">
            <v>100000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נתונים 2007"/>
      <sheetName val="התפלגות 2007"/>
      <sheetName val="תעריפים 2007"/>
    </sheetNames>
    <sheetDataSet>
      <sheetData sheetId="0" refreshError="1"/>
      <sheetData sheetId="1" refreshError="1">
        <row r="199">
          <cell r="P199">
            <v>11121539</v>
          </cell>
        </row>
      </sheetData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תחזית 2012"/>
    </sheetNames>
    <sheetDataSet>
      <sheetData sheetId="0">
        <row r="6">
          <cell r="B6">
            <v>265.64</v>
          </cell>
        </row>
        <row r="10">
          <cell r="B10">
            <v>196.85955399999997</v>
          </cell>
        </row>
        <row r="11">
          <cell r="B11">
            <v>53.067508999999994</v>
          </cell>
        </row>
        <row r="12">
          <cell r="B12">
            <v>18.203699999999998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גיליון3"/>
      <sheetName val="יובלים אשדוד"/>
      <sheetName val="1.7.2010"/>
      <sheetName val="1.1.2010"/>
      <sheetName val="גיליון1"/>
      <sheetName val="גיליון2"/>
      <sheetName val="תעריפי מים המסופקים מאת מקורות"/>
      <sheetName val="תעריפי מים מספקים לא מורשים"/>
      <sheetName val="תעריפי המים מספקים מורשים"/>
      <sheetName val="תעריפי מים וביוב לתאגיד"/>
    </sheetNames>
    <sheetDataSet>
      <sheetData sheetId="0" refreshError="1"/>
      <sheetData sheetId="1" refreshError="1"/>
      <sheetData sheetId="2">
        <row r="10">
          <cell r="E10">
            <v>1.610436</v>
          </cell>
        </row>
        <row r="17">
          <cell r="E17">
            <v>1.8550999999999997</v>
          </cell>
        </row>
        <row r="24">
          <cell r="E24">
            <v>2.3516239999999997</v>
          </cell>
        </row>
        <row r="198">
          <cell r="E198">
            <v>0.91102564102564121</v>
          </cell>
        </row>
        <row r="207">
          <cell r="E207">
            <v>0.78338461538461546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עלויות מוכרות 08 (2)"/>
      <sheetName val="עלויות מוכרות 08"/>
      <sheetName val="הכנסות 08 (2)"/>
      <sheetName val="עדכון תעריפים"/>
      <sheetName val="הכנסות 08"/>
      <sheetName val="עלויות מוכרות 09"/>
      <sheetName val="הכנסות רשות רגיל 09"/>
      <sheetName val="הכנסות רשות שחון 09"/>
      <sheetName val="הכנסות מקורות 09"/>
      <sheetName val="הכנסות 09"/>
      <sheetName val="תעריפים"/>
      <sheetName val="התפלגות צריכה ביתית 2008"/>
      <sheetName val="גיליון1"/>
      <sheetName val="התפלה 2009"/>
      <sheetName val="תשלום מקורות 2007-20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9">
          <cell r="C29">
            <v>0.81182411215393036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תעריפים לאורך השנה 2009 "/>
      <sheetName val="תעריפים 2009"/>
      <sheetName val="תעריפים"/>
      <sheetName val="2008"/>
      <sheetName val="2009בית שאן (2)"/>
      <sheetName val="2009בית שאן"/>
      <sheetName val="2009  (2)"/>
      <sheetName val="2009 "/>
      <sheetName val="2009 שפדן (2)"/>
      <sheetName val="2009 שפדן"/>
      <sheetName val="2009זיכויים"/>
      <sheetName val="שמורות טבע תעריפים 2009"/>
      <sheetName val="שמורות טבע 2009"/>
      <sheetName val="חישוב הכנסות 2009 (2)"/>
      <sheetName val="חישוב הכנסות 200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30">
          <cell r="D30">
            <v>63550.508999999998</v>
          </cell>
          <cell r="E30">
            <v>51591.835545855363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גיליון1"/>
      <sheetName val="הכנסות וכמויות היום"/>
      <sheetName val="מאזן ארצי 2050"/>
      <sheetName val="שינוי בצריכה לשנה"/>
      <sheetName val="כמויות על פני השנים"/>
      <sheetName val="גיליון10"/>
      <sheetName val="כמות בסיסית"/>
      <sheetName val="סיבסוד פנימי מקורות 2011"/>
      <sheetName val="סיבסוד פנימי מקורות 2010"/>
      <sheetName val="חישוב רקע לסבסוד 2010"/>
      <sheetName val="גיליון8"/>
      <sheetName val="תרחיש מפורט 2010"/>
      <sheetName val="תחזית עלויות 2011"/>
      <sheetName val="תוכנית אב"/>
      <sheetName val="גיליון12"/>
      <sheetName val="תחשיב "/>
      <sheetName val="מחירים על פני השנים"/>
      <sheetName val="גיליון15"/>
      <sheetName val="גיליון13"/>
      <sheetName val="חישוב רקע לסבסוד 2011"/>
      <sheetName val="חקלאות 2012"/>
      <sheetName val="חקלאות 2013"/>
      <sheetName val="חקלאות 2014"/>
      <sheetName val="עלויות 2013"/>
      <sheetName val="תוספת עלויות במהלך השנים"/>
      <sheetName val="תרחיש מפורט"/>
      <sheetName val="הפרשים 2012 2013"/>
      <sheetName val="תרחישים לפי סוג מחיר"/>
      <sheetName val="רב שנתי"/>
      <sheetName val="עלות שאיבות"/>
      <sheetName val="כולל מחיר בסיסי"/>
      <sheetName val="גיליון7"/>
      <sheetName val="גיליון4"/>
      <sheetName val="גיליון5"/>
      <sheetName val="גיליון9"/>
      <sheetName val="גיליון6"/>
      <sheetName val="רב שנתי שולי קבוע"/>
      <sheetName val="שולי ותעשייתי קבועים"/>
      <sheetName val="העמסת סובסידיה על שולי ובסיסי"/>
      <sheetName val="גיליון3"/>
      <sheetName val="גיליון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26">
          <cell r="E26">
            <v>0.53834470840305904</v>
          </cell>
        </row>
        <row r="27">
          <cell r="E27">
            <v>0.14573999999999998</v>
          </cell>
          <cell r="F27">
            <v>0.13125000000000001</v>
          </cell>
        </row>
        <row r="29">
          <cell r="E29">
            <v>2.3730000000000002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מודול1"/>
      <sheetName val="אנרגיה"/>
      <sheetName val="אנרגיה במפא&quot;ר"/>
      <sheetName val="התפלה וטיפול"/>
      <sheetName val="החדרה והזרמה"/>
      <sheetName val="סינון "/>
      <sheetName val="השבחה"/>
      <sheetName val="קבועות ואחזקה"/>
      <sheetName val="מיסים בירדן"/>
      <sheetName val="הפלרה "/>
      <sheetName val="הגברת המטר"/>
      <sheetName val="מים לאחרים"/>
      <sheetName val="שיפוי"/>
      <sheetName val="מי גולן 1"/>
      <sheetName val="קניית מים"/>
      <sheetName val="הון"/>
      <sheetName val="התאמות בדמי שימוש מפאר"/>
      <sheetName val="עמק חפר"/>
      <sheetName val="שירותי תשתית"/>
      <sheetName val="הכנסות"/>
      <sheetName val="סה&quot;כ חשבון"/>
      <sheetName val="תקופת הדו&quot;ח"/>
      <sheetName val="מדדים והתייעלות"/>
      <sheetName val="תוספת חמישית"/>
      <sheetName val="אנרגיה 19 שנים"/>
    </sheetNames>
    <sheetDataSet>
      <sheetData sheetId="0"/>
      <sheetData sheetId="1">
        <row r="10">
          <cell r="D10">
            <v>76227.010357505162</v>
          </cell>
          <cell r="E10">
            <v>68646.318151480504</v>
          </cell>
          <cell r="F10">
            <v>84286.243052274527</v>
          </cell>
          <cell r="G10">
            <v>123338.85149982797</v>
          </cell>
          <cell r="H10">
            <v>146242.57042726409</v>
          </cell>
          <cell r="I10">
            <v>151249.11180815395</v>
          </cell>
          <cell r="J10">
            <v>149118.04087254504</v>
          </cell>
          <cell r="K10">
            <v>149118.04087254504</v>
          </cell>
          <cell r="L10">
            <v>142340.67465396319</v>
          </cell>
          <cell r="M10">
            <v>121440.24346583712</v>
          </cell>
          <cell r="N10">
            <v>114662.87724725524</v>
          </cell>
          <cell r="O10">
            <v>100330.01759134835</v>
          </cell>
        </row>
      </sheetData>
      <sheetData sheetId="2"/>
      <sheetData sheetId="3">
        <row r="6">
          <cell r="D6">
            <v>2325.1585947696262</v>
          </cell>
        </row>
      </sheetData>
      <sheetData sheetId="4">
        <row r="49">
          <cell r="D49">
            <v>5.0669916343257668</v>
          </cell>
        </row>
      </sheetData>
      <sheetData sheetId="5">
        <row r="10">
          <cell r="D10">
            <v>0</v>
          </cell>
        </row>
      </sheetData>
      <sheetData sheetId="6">
        <row r="9">
          <cell r="D9">
            <v>0</v>
          </cell>
        </row>
      </sheetData>
      <sheetData sheetId="7">
        <row r="13">
          <cell r="D13">
            <v>43078.024386373785</v>
          </cell>
        </row>
      </sheetData>
      <sheetData sheetId="8">
        <row r="6">
          <cell r="D6">
            <v>743.58333333333337</v>
          </cell>
        </row>
      </sheetData>
      <sheetData sheetId="9">
        <row r="46">
          <cell r="D46">
            <v>218.14</v>
          </cell>
        </row>
      </sheetData>
      <sheetData sheetId="10">
        <row r="5">
          <cell r="D5">
            <v>289.75</v>
          </cell>
        </row>
      </sheetData>
      <sheetData sheetId="11">
        <row r="17">
          <cell r="D17">
            <v>530.91532151176807</v>
          </cell>
        </row>
      </sheetData>
      <sheetData sheetId="12">
        <row r="9">
          <cell r="D9">
            <v>41.666666666666664</v>
          </cell>
        </row>
      </sheetData>
      <sheetData sheetId="13">
        <row r="9">
          <cell r="D9">
            <v>65.745861604166294</v>
          </cell>
        </row>
      </sheetData>
      <sheetData sheetId="14">
        <row r="5">
          <cell r="D5">
            <v>104115.00595385958</v>
          </cell>
        </row>
      </sheetData>
      <sheetData sheetId="15">
        <row r="59">
          <cell r="D59">
            <v>42417.999999999993</v>
          </cell>
        </row>
      </sheetData>
      <sheetData sheetId="16"/>
      <sheetData sheetId="17">
        <row r="43">
          <cell r="D43">
            <v>266.97153109418355</v>
          </cell>
        </row>
      </sheetData>
      <sheetData sheetId="18">
        <row r="12">
          <cell r="D12">
            <v>-121.773</v>
          </cell>
        </row>
      </sheetData>
      <sheetData sheetId="19">
        <row r="6">
          <cell r="D6">
            <v>102144.05500000001</v>
          </cell>
        </row>
        <row r="28">
          <cell r="D28">
            <v>833.33333333333337</v>
          </cell>
          <cell r="E28">
            <v>833.33333333333337</v>
          </cell>
          <cell r="F28">
            <v>833.33333333333337</v>
          </cell>
          <cell r="G28">
            <v>833.33333333333337</v>
          </cell>
          <cell r="H28">
            <v>833.33333333333337</v>
          </cell>
          <cell r="I28">
            <v>833.33333333333337</v>
          </cell>
          <cell r="J28">
            <v>833.33333333333337</v>
          </cell>
          <cell r="K28">
            <v>833.33333333333337</v>
          </cell>
          <cell r="L28">
            <v>833.33333333333337</v>
          </cell>
          <cell r="M28">
            <v>833.33333333333337</v>
          </cell>
          <cell r="N28">
            <v>833.33333333333337</v>
          </cell>
          <cell r="O28">
            <v>833.33333333333337</v>
          </cell>
        </row>
        <row r="35">
          <cell r="D35">
            <v>-110.36347000000002</v>
          </cell>
          <cell r="E35">
            <v>299.10390999999998</v>
          </cell>
          <cell r="F35">
            <v>627.30318000000011</v>
          </cell>
          <cell r="G35">
            <v>765.78348000000005</v>
          </cell>
          <cell r="H35">
            <v>1608.6706300000001</v>
          </cell>
          <cell r="I35">
            <v>4845.8906999999936</v>
          </cell>
          <cell r="J35">
            <v>1343.9352616666677</v>
          </cell>
          <cell r="K35">
            <v>1343.9352616666677</v>
          </cell>
          <cell r="L35">
            <v>1343.9352616666677</v>
          </cell>
          <cell r="M35">
            <v>1343.9352616666677</v>
          </cell>
          <cell r="N35">
            <v>1343.9352616666677</v>
          </cell>
          <cell r="O35">
            <v>1343.9352616666677</v>
          </cell>
        </row>
      </sheetData>
      <sheetData sheetId="20"/>
      <sheetData sheetId="21"/>
      <sheetData sheetId="22"/>
      <sheetData sheetId="23"/>
      <sheetData sheetId="24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גיליון1"/>
      <sheetName val="הכנסות וכמויות היום"/>
      <sheetName val="מאזן ארצי 2050"/>
      <sheetName val="שינוי בצריכה לשנה"/>
      <sheetName val="כמויות על פני השנים"/>
      <sheetName val="גיליון10"/>
      <sheetName val="כמות בסיסית"/>
      <sheetName val="סיבסוד פנימי מקורות 2011"/>
      <sheetName val="סיבסוד פנימי מקורות 2010"/>
      <sheetName val="חישוב רקע לסבסוד 2010"/>
      <sheetName val="גיליון8"/>
      <sheetName val="תרחיש מפורט 2010"/>
      <sheetName val="תחזית עלויות 2011"/>
      <sheetName val="תוכנית אב"/>
      <sheetName val="גיליון12"/>
      <sheetName val="תחשיב "/>
      <sheetName val="מחירים על פני השנים"/>
      <sheetName val="גיליון15"/>
      <sheetName val="גיליון13"/>
      <sheetName val="חישוב רקע לסבסוד 2011"/>
      <sheetName val="חקלאות 2012"/>
      <sheetName val="חקלאות 2013"/>
      <sheetName val="חקלאות 2014"/>
      <sheetName val="גיליון11"/>
      <sheetName val="תוספת עלויות במהלך השנים"/>
      <sheetName val="תרחיש מפורט"/>
      <sheetName val="הפרשים 2012 2013"/>
      <sheetName val="תרחישים לפי סוג מחיר"/>
      <sheetName val="רב שנתי"/>
      <sheetName val="עלות שאיבות"/>
      <sheetName val="כולל מחיר בסיסי"/>
      <sheetName val="גיליון7"/>
      <sheetName val="גיליון4"/>
      <sheetName val="גיליון5"/>
      <sheetName val="גיליון9"/>
      <sheetName val="גיליון6"/>
      <sheetName val="רב שנתי שולי קבוע"/>
      <sheetName val="שולי ותעשייתי קבועים"/>
      <sheetName val="העמסת סובסידיה על שולי ובסיסי"/>
      <sheetName val="גיליון3"/>
      <sheetName val="גיליון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78">
          <cell r="P78">
            <v>175000</v>
          </cell>
        </row>
      </sheetData>
      <sheetData sheetId="24"/>
      <sheetData sheetId="25"/>
      <sheetData sheetId="26"/>
      <sheetData sheetId="27">
        <row r="202">
          <cell r="H202">
            <v>4.53</v>
          </cell>
        </row>
      </sheetData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הגברת המטר חישובנו"/>
      <sheetName val="הגברת המטר"/>
      <sheetName val="שונות"/>
      <sheetName val="קידוחים"/>
      <sheetName val="החדרה2"/>
      <sheetName val="קולחין"/>
      <sheetName val="הולכה"/>
      <sheetName val="מסים ירדן"/>
      <sheetName val="רשות פלשתינאית חדש"/>
      <sheetName val="עמק חפר"/>
      <sheetName val="הפלרה מתוקן"/>
      <sheetName val="הפלרה"/>
      <sheetName val="סינון"/>
      <sheetName val="התפלה חדש"/>
      <sheetName val="אופטימיזציה - מפא&quot;ר"/>
      <sheetName val="חשבון שוטף"/>
      <sheetName val="ריכוז "/>
      <sheetName val="מודו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28">
          <cell r="M28">
            <v>235201.83278780244</v>
          </cell>
        </row>
        <row r="31">
          <cell r="M31">
            <v>2783353.7259189505</v>
          </cell>
        </row>
      </sheetData>
      <sheetData sheetId="1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כמויות מים"/>
      <sheetName val="השקעות לפי תחומים"/>
      <sheetName val="ריכוז הנחות"/>
      <sheetName val="תוספת מים"/>
      <sheetName val="השקעות - תוספת מים"/>
    </sheetNames>
    <sheetDataSet>
      <sheetData sheetId="0"/>
      <sheetData sheetId="1">
        <row r="43">
          <cell r="D43" t="str">
            <v>מקורות</v>
          </cell>
        </row>
        <row r="45">
          <cell r="D45" t="str">
            <v>יזמות פרטית</v>
          </cell>
        </row>
        <row r="46">
          <cell r="D46" t="str">
            <v>תקציב מדינה</v>
          </cell>
        </row>
      </sheetData>
      <sheetData sheetId="2"/>
      <sheetData sheetId="3"/>
      <sheetData sheetId="4">
        <row r="13">
          <cell r="D13">
            <v>209</v>
          </cell>
        </row>
        <row r="18">
          <cell r="D18">
            <v>750</v>
          </cell>
        </row>
        <row r="33">
          <cell r="D33">
            <v>10.629999999999995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אשכול חברתי לרשויות"/>
      <sheetName val="נתוני תאגידים לשנת 2012"/>
      <sheetName val="נתוני תאגידים"/>
      <sheetName val="התפלגות מים 2009"/>
      <sheetName val="התפלגות מים 2008"/>
      <sheetName val="נתוני מים 2008"/>
      <sheetName val="הנחות עבודה כלליות למקורות"/>
      <sheetName val="הנחות עבודה כלליות"/>
      <sheetName val="תאגידים ומט&quot;שים יוני 2010"/>
      <sheetName val="המדד המשוקלל"/>
      <sheetName val="מדדי חשמל"/>
      <sheetName val="מדד תפוקות התעשייה"/>
      <sheetName val="מדד המחירים לצרכן"/>
      <sheetName val="מדד שכר ציבורי"/>
      <sheetName val="גיליון חישוב לסובב שפרעם ופלג ה"/>
      <sheetName val="תעריפי שפדן עם הסכמים"/>
      <sheetName val="תאגידים ומט&quot;שים מעודכן"/>
      <sheetName val="גיליון להתאמת הכללים"/>
      <sheetName val="עלויות תפעול לשנת 2012 חלש מתקד"/>
      <sheetName val="עלויות תפעול לשנת 2012"/>
      <sheetName val="חישוב עלויות תפעול"/>
      <sheetName val="גיליון 11 לשנת 2012"/>
      <sheetName val="גיליון11"/>
      <sheetName val="גיליון סימולציות"/>
      <sheetName val="2013"/>
      <sheetName val="עלויות ממוצעות לקב"/>
      <sheetName val="2012"/>
      <sheetName val="2011"/>
      <sheetName val="2010"/>
      <sheetName val="נתונים לפי חלוקה לתאגידים"/>
      <sheetName val="גיליון מרכז"/>
      <sheetName val="גיליון מרכז 2012"/>
      <sheetName val="גיליון מרכז 2013"/>
      <sheetName val="רשימת נכסים מהקובץ"/>
      <sheetName val="נתוני דיווח רשויות מקומיות 2010"/>
      <sheetName val="גיליון1"/>
      <sheetName val="תעריפי התאגידים 2012"/>
      <sheetName val="תעריף השלמה לרשויות מקומיות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>
        <row r="1">
          <cell r="A1" t="str">
            <v>רשימת תאגידים</v>
          </cell>
        </row>
      </sheetData>
      <sheetData sheetId="22"/>
      <sheetData sheetId="23">
        <row r="10">
          <cell r="H10">
            <v>342500</v>
          </cell>
        </row>
      </sheetData>
      <sheetData sheetId="24"/>
      <sheetData sheetId="25" refreshError="1"/>
      <sheetData sheetId="26" refreshError="1"/>
      <sheetData sheetId="27"/>
      <sheetData sheetId="28"/>
      <sheetData sheetId="29"/>
      <sheetData sheetId="30"/>
      <sheetData sheetId="31">
        <row r="1">
          <cell r="A1" t="str">
            <v>כל התעריפים לפני מע"מ</v>
          </cell>
        </row>
      </sheetData>
      <sheetData sheetId="32"/>
      <sheetData sheetId="33" refreshError="1"/>
      <sheetData sheetId="34"/>
      <sheetData sheetId="35"/>
      <sheetData sheetId="36"/>
      <sheetData sheetId="37">
        <row r="5">
          <cell r="I5">
            <v>10.363889525480447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אשכול חברתי לרשויות"/>
      <sheetName val="נתוני תאגידים"/>
      <sheetName val="התפלגות מים 2008"/>
      <sheetName val="נתוני מים 2008"/>
      <sheetName val="הנחות עבודה כלליות למקורות"/>
      <sheetName val="הנחות עבודה כלליות"/>
      <sheetName val="חישוב עלויות תפעול"/>
      <sheetName val="תאגידים ומט&quot;שים יוני 2010"/>
      <sheetName val="המדד המשוקלל"/>
      <sheetName val="מדדי חשמל"/>
      <sheetName val="מדד תפוקות התעשייה"/>
      <sheetName val="מדד המחירים לצרכן"/>
      <sheetName val="מדד שכר ציבורי"/>
      <sheetName val="ממוצע"/>
      <sheetName val="קובץ בקרה 2014"/>
      <sheetName val="קובץ בקרה 2013"/>
      <sheetName val="קובץ בקרה 2012"/>
      <sheetName val="קובץ בקרה 2011"/>
      <sheetName val="קובץ בקרה 2010"/>
      <sheetName val="גיליון1"/>
      <sheetName val="נתונים לפי חלוקה לתאגידים"/>
      <sheetName val="גיליון חישוב לסובב שפרעם ופלג ה"/>
      <sheetName val="תאגידים ומט&quot;שים מעודכן"/>
      <sheetName val="גיליון11"/>
      <sheetName val="2014"/>
      <sheetName val="2013"/>
      <sheetName val="2012"/>
      <sheetName val="2011"/>
      <sheetName val="2010"/>
      <sheetName val="גינון"/>
      <sheetName val="רשימת נכסים מהקובץ"/>
    </sheetNames>
    <sheetDataSet>
      <sheetData sheetId="0" refreshError="1"/>
      <sheetData sheetId="1" refreshError="1">
        <row r="1">
          <cell r="A1" t="str">
            <v>.</v>
          </cell>
        </row>
        <row r="245">
          <cell r="B245" t="str">
            <v>עלויות לתאגיד ללא מקורות משוקלל</v>
          </cell>
          <cell r="D245">
            <v>19648.137999999999</v>
          </cell>
          <cell r="E245">
            <v>0</v>
          </cell>
          <cell r="F245">
            <v>3703.4790000000003</v>
          </cell>
          <cell r="G245">
            <v>0</v>
          </cell>
          <cell r="H245">
            <v>17287.786</v>
          </cell>
          <cell r="I245">
            <v>0</v>
          </cell>
          <cell r="J245">
            <v>2122.0569999999998</v>
          </cell>
          <cell r="K245">
            <v>0</v>
          </cell>
          <cell r="L245">
            <v>6494.7920000000004</v>
          </cell>
          <cell r="M245">
            <v>0</v>
          </cell>
          <cell r="N245">
            <v>62859.990999999995</v>
          </cell>
          <cell r="O245">
            <v>0</v>
          </cell>
          <cell r="P245">
            <v>21954.236000000001</v>
          </cell>
          <cell r="Q245">
            <v>0</v>
          </cell>
          <cell r="R245">
            <v>12960.301000000001</v>
          </cell>
          <cell r="S245">
            <v>0</v>
          </cell>
          <cell r="T245">
            <v>7712.2950000000001</v>
          </cell>
          <cell r="U245">
            <v>6346.1869999999999</v>
          </cell>
          <cell r="V245">
            <v>19945.883999999998</v>
          </cell>
          <cell r="W245">
            <v>24030.116999999998</v>
          </cell>
          <cell r="X245">
            <v>16645.978999999999</v>
          </cell>
          <cell r="Y245">
            <v>6436.7569999999996</v>
          </cell>
          <cell r="Z245">
            <v>10846.606</v>
          </cell>
          <cell r="AA245">
            <v>3681.2719999999999</v>
          </cell>
          <cell r="AB245">
            <v>6521.3019999999997</v>
          </cell>
          <cell r="AC245">
            <v>5515.0129999999999</v>
          </cell>
          <cell r="AD245">
            <v>11787.204</v>
          </cell>
          <cell r="AE245">
            <v>5518.8000000000011</v>
          </cell>
          <cell r="AF245">
            <v>6010.2190000000001</v>
          </cell>
          <cell r="AG245">
            <v>10355.778</v>
          </cell>
          <cell r="AH245">
            <v>4119.3879999999999</v>
          </cell>
          <cell r="AI245">
            <v>4285.79</v>
          </cell>
          <cell r="AJ245">
            <v>7886.4490000000005</v>
          </cell>
          <cell r="AK245">
            <v>7642.13</v>
          </cell>
          <cell r="AL245">
            <v>11905.545999999998</v>
          </cell>
          <cell r="AM245">
            <v>5642.9030000000002</v>
          </cell>
          <cell r="AN245">
            <v>27789.128000000001</v>
          </cell>
          <cell r="AO245">
            <v>6135.9569999999994</v>
          </cell>
          <cell r="AP245">
            <v>4798.7269999999999</v>
          </cell>
          <cell r="AQ245">
            <v>3220.6889999999999</v>
          </cell>
          <cell r="AR245">
            <v>10032.969000000001</v>
          </cell>
          <cell r="AS245">
            <v>4482.143</v>
          </cell>
          <cell r="AT245">
            <v>3127.6060000000002</v>
          </cell>
          <cell r="AU245">
            <v>3314.4030000000002</v>
          </cell>
          <cell r="AV245">
            <v>5158.2190000000001</v>
          </cell>
          <cell r="AW245">
            <v>0</v>
          </cell>
          <cell r="AX245">
            <v>47907.46</v>
          </cell>
          <cell r="AY245">
            <v>6784.7749999999996</v>
          </cell>
          <cell r="AZ245">
            <v>5006.2070000000003</v>
          </cell>
          <cell r="BA245">
            <v>13163.936</v>
          </cell>
          <cell r="BB245">
            <v>4256.8890000000001</v>
          </cell>
          <cell r="BC245">
            <v>10443.365</v>
          </cell>
          <cell r="BD245">
            <v>0</v>
          </cell>
          <cell r="BE245">
            <v>2923.913</v>
          </cell>
          <cell r="BF245">
            <v>9777.6669999999995</v>
          </cell>
          <cell r="BG245">
            <v>5820.0350000000008</v>
          </cell>
          <cell r="BH245">
            <v>4685.134</v>
          </cell>
          <cell r="BI245">
            <v>13599.794</v>
          </cell>
          <cell r="BJ245">
            <v>4250.4409999999998</v>
          </cell>
          <cell r="BK245">
            <v>4360.4449999999997</v>
          </cell>
          <cell r="BL245">
            <v>3111.7930000000001</v>
          </cell>
          <cell r="BM245">
            <v>4007.8710000000001</v>
          </cell>
          <cell r="BN245">
            <v>8610.0349999999999</v>
          </cell>
          <cell r="BO245">
            <v>5953.585</v>
          </cell>
          <cell r="BP245">
            <v>7713.485999999999</v>
          </cell>
          <cell r="BQ245">
            <v>9934.7989999999991</v>
          </cell>
          <cell r="BR245">
            <v>570237.87</v>
          </cell>
        </row>
        <row r="246">
          <cell r="B246">
            <v>2010</v>
          </cell>
          <cell r="D246">
            <v>38781.123708125968</v>
          </cell>
          <cell r="F246">
            <v>7398.3512255628902</v>
          </cell>
          <cell r="H246">
            <v>33828.617633334303</v>
          </cell>
          <cell r="J246">
            <v>4589.6765600370154</v>
          </cell>
          <cell r="L246">
            <v>14924.43320061337</v>
          </cell>
          <cell r="N246">
            <v>135011.95840249627</v>
          </cell>
          <cell r="P246">
            <v>47945.209544368205</v>
          </cell>
          <cell r="R246">
            <v>20604.318479536043</v>
          </cell>
          <cell r="T246">
            <v>15616.234122291358</v>
          </cell>
          <cell r="U246">
            <v>14670.222742565225</v>
          </cell>
          <cell r="V246">
            <v>33807.576203250072</v>
          </cell>
          <cell r="W246">
            <v>43474.715963666487</v>
          </cell>
          <cell r="X246">
            <v>29898.914167010596</v>
          </cell>
          <cell r="Y246">
            <v>14812.683877074829</v>
          </cell>
          <cell r="Z246">
            <v>18645.017405378625</v>
          </cell>
          <cell r="AA246">
            <v>6766.0123778061379</v>
          </cell>
          <cell r="AB246">
            <v>10863.930890552807</v>
          </cell>
          <cell r="AC246">
            <v>10356.346056722241</v>
          </cell>
          <cell r="AD246">
            <v>21970.080450217749</v>
          </cell>
          <cell r="AE246">
            <v>11474.542892903539</v>
          </cell>
          <cell r="AF246">
            <v>12462.535475111035</v>
          </cell>
          <cell r="AG246">
            <v>19890.348800495813</v>
          </cell>
          <cell r="AH246">
            <v>9611.9946034879304</v>
          </cell>
          <cell r="AI246">
            <v>8428.9376084484193</v>
          </cell>
          <cell r="AJ246">
            <v>16078.775202418794</v>
          </cell>
          <cell r="AK246">
            <v>13512.577765029837</v>
          </cell>
          <cell r="AL246">
            <v>21011.01515439061</v>
          </cell>
          <cell r="AM246">
            <v>10819.760886027483</v>
          </cell>
          <cell r="AN246">
            <v>61944.828887267344</v>
          </cell>
          <cell r="AO246">
            <v>10319.322830171957</v>
          </cell>
          <cell r="AP246">
            <v>9650.2758915944451</v>
          </cell>
          <cell r="AQ246">
            <v>7383.4260820649515</v>
          </cell>
          <cell r="AR246">
            <v>16041.616941993687</v>
          </cell>
          <cell r="AS246">
            <v>8453.6476487779037</v>
          </cell>
          <cell r="AT246">
            <v>5217.1724324985807</v>
          </cell>
          <cell r="AU246">
            <v>5495.7039346772417</v>
          </cell>
          <cell r="AV246">
            <v>9679.4793891405679</v>
          </cell>
          <cell r="AW246">
            <v>0</v>
          </cell>
          <cell r="AX246">
            <v>92480.302362220566</v>
          </cell>
          <cell r="AY246">
            <v>13590.50465904327</v>
          </cell>
          <cell r="AZ246">
            <v>0</v>
          </cell>
          <cell r="BA246">
            <v>23931.054057279271</v>
          </cell>
          <cell r="BB246">
            <v>7908.7120566413332</v>
          </cell>
          <cell r="BC246">
            <v>15510.385464150233</v>
          </cell>
          <cell r="BD246">
            <v>0</v>
          </cell>
          <cell r="BE246">
            <v>5568.6292156537893</v>
          </cell>
          <cell r="BF246">
            <v>19961.223712927</v>
          </cell>
          <cell r="BG246">
            <v>10807.315583499418</v>
          </cell>
          <cell r="BH246">
            <v>8879.6323759727493</v>
          </cell>
          <cell r="BI246">
            <v>27182.714694158905</v>
          </cell>
          <cell r="BJ246">
            <v>9856.1612160209825</v>
          </cell>
          <cell r="BK246">
            <v>7892.8101734245529</v>
          </cell>
          <cell r="BL246">
            <v>5274.9091377893928</v>
          </cell>
          <cell r="BM246">
            <v>8159.5907695040469</v>
          </cell>
          <cell r="BN246">
            <v>18173.843448102845</v>
          </cell>
          <cell r="BO246">
            <v>12689.737140719746</v>
          </cell>
          <cell r="BP246">
            <v>13908.343155890459</v>
          </cell>
          <cell r="BQ246">
            <v>0</v>
          </cell>
          <cell r="BR246">
            <v>1083217.2546601088</v>
          </cell>
          <cell r="BS246">
            <v>1.8995884202852202</v>
          </cell>
        </row>
        <row r="247">
          <cell r="B247">
            <v>2011</v>
          </cell>
          <cell r="D247">
            <v>38262.698928990379</v>
          </cell>
          <cell r="F247">
            <v>7303.9605421598717</v>
          </cell>
          <cell r="H247">
            <v>33361.429597121401</v>
          </cell>
          <cell r="J247">
            <v>4548.769636052084</v>
          </cell>
          <cell r="L247">
            <v>14832.214906888095</v>
          </cell>
          <cell r="N247">
            <v>133764.69956726514</v>
          </cell>
          <cell r="P247">
            <v>47539.354302961212</v>
          </cell>
          <cell r="R247">
            <v>20075.247744777771</v>
          </cell>
          <cell r="T247">
            <v>15427.550009038296</v>
          </cell>
          <cell r="U247">
            <v>14777.546814794949</v>
          </cell>
          <cell r="V247">
            <v>33072.20198426889</v>
          </cell>
          <cell r="W247">
            <v>42691.95132935093</v>
          </cell>
          <cell r="X247">
            <v>29348.539161562632</v>
          </cell>
          <cell r="Y247">
            <v>14917.807171409157</v>
          </cell>
          <cell r="Z247">
            <v>18469.817715859412</v>
          </cell>
          <cell r="AA247">
            <v>6650.0807299385469</v>
          </cell>
          <cell r="AB247">
            <v>10739.292973756932</v>
          </cell>
          <cell r="AC247">
            <v>10316.144678037026</v>
          </cell>
          <cell r="AD247">
            <v>21610.369457808836</v>
          </cell>
          <cell r="AE247">
            <v>11496.297750368622</v>
          </cell>
          <cell r="AF247">
            <v>12484.344525145376</v>
          </cell>
          <cell r="AG247">
            <v>19839.618576193108</v>
          </cell>
          <cell r="AH247">
            <v>9686.6457886375829</v>
          </cell>
          <cell r="AI247">
            <v>8314.7169071041135</v>
          </cell>
          <cell r="AJ247">
            <v>15889.962615281229</v>
          </cell>
          <cell r="AK247">
            <v>13410.112286717082</v>
          </cell>
          <cell r="AL247">
            <v>20603.340094586027</v>
          </cell>
          <cell r="AM247">
            <v>10658.910570495796</v>
          </cell>
          <cell r="AN247">
            <v>61478.367417558256</v>
          </cell>
          <cell r="AO247">
            <v>10090.057408854262</v>
          </cell>
          <cell r="AP247">
            <v>9530.3759062441532</v>
          </cell>
          <cell r="AQ247">
            <v>7434.4504403941146</v>
          </cell>
          <cell r="AR247">
            <v>15635.475104862728</v>
          </cell>
          <cell r="AS247">
            <v>8320.6036019233707</v>
          </cell>
          <cell r="AT247">
            <v>5098.7037310540873</v>
          </cell>
          <cell r="AU247">
            <v>5368.9164594475806</v>
          </cell>
          <cell r="AV247">
            <v>9524.5138106966333</v>
          </cell>
          <cell r="AW247">
            <v>0</v>
          </cell>
          <cell r="AX247">
            <v>91138.093306199517</v>
          </cell>
          <cell r="AY247">
            <v>13418.961587061343</v>
          </cell>
          <cell r="AZ247">
            <v>10528.093325475558</v>
          </cell>
          <cell r="BA247">
            <v>23506.578204196252</v>
          </cell>
          <cell r="BB247">
            <v>7777.8390599753393</v>
          </cell>
          <cell r="BC247">
            <v>15042.985835121593</v>
          </cell>
          <cell r="BD247">
            <v>0</v>
          </cell>
          <cell r="BE247">
            <v>5483.8654957323388</v>
          </cell>
          <cell r="BF247">
            <v>19979.223765951694</v>
          </cell>
          <cell r="BG247">
            <v>10758.095108826254</v>
          </cell>
          <cell r="BH247">
            <v>8742.1844979788038</v>
          </cell>
          <cell r="BI247">
            <v>27175.315124166234</v>
          </cell>
          <cell r="BJ247">
            <v>9929.7493867302474</v>
          </cell>
          <cell r="BK247">
            <v>7844.5436082603128</v>
          </cell>
          <cell r="BL247">
            <v>5160.2019729092362</v>
          </cell>
          <cell r="BM247">
            <v>8063.2007144117651</v>
          </cell>
          <cell r="BN247">
            <v>18222.962636605596</v>
          </cell>
          <cell r="BO247">
            <v>12730.566779974311</v>
          </cell>
          <cell r="BP247">
            <v>13819.960817421297</v>
          </cell>
          <cell r="BQ247">
            <v>11545.130729272751</v>
          </cell>
          <cell r="BR247">
            <v>1093442.6422038761</v>
          </cell>
          <cell r="BS247">
            <v>1.9175202134573701</v>
          </cell>
        </row>
        <row r="248">
          <cell r="B248">
            <v>2012</v>
          </cell>
          <cell r="D248">
            <v>37748.737058977837</v>
          </cell>
          <cell r="F248">
            <v>7207.0838308708835</v>
          </cell>
          <cell r="H248">
            <v>32909.210520640132</v>
          </cell>
          <cell r="J248">
            <v>4493.260234398188</v>
          </cell>
          <cell r="L248">
            <v>14662.32219534146</v>
          </cell>
          <cell r="N248">
            <v>132120.38912302197</v>
          </cell>
          <cell r="P248">
            <v>46965.068831775257</v>
          </cell>
          <cell r="R248">
            <v>19736.228315156222</v>
          </cell>
          <cell r="T248">
            <v>15225.809489896563</v>
          </cell>
          <cell r="U248">
            <v>14068.30638441014</v>
          </cell>
          <cell r="V248">
            <v>32550.451585340845</v>
          </cell>
          <cell r="W248">
            <v>42063.364342129033</v>
          </cell>
          <cell r="X248">
            <v>28913.10866453388</v>
          </cell>
          <cell r="Y248">
            <v>14200.982918872229</v>
          </cell>
          <cell r="Z248">
            <v>17501.494645182403</v>
          </cell>
          <cell r="AA248">
            <v>6553.7849159970528</v>
          </cell>
          <cell r="AB248">
            <v>10170.234541321237</v>
          </cell>
          <cell r="AC248">
            <v>9790.5565612374594</v>
          </cell>
          <cell r="AD248">
            <v>21302.036250353791</v>
          </cell>
          <cell r="AE248">
            <v>10928.19849195699</v>
          </cell>
          <cell r="AF248">
            <v>11866.939579415723</v>
          </cell>
          <cell r="AG248">
            <v>18835.863395151173</v>
          </cell>
          <cell r="AH248">
            <v>9222.8786565526734</v>
          </cell>
          <cell r="AI248">
            <v>8202.6079305241929</v>
          </cell>
          <cell r="AJ248">
            <v>15683.666523722904</v>
          </cell>
          <cell r="AK248">
            <v>12713.603844576384</v>
          </cell>
          <cell r="AL248">
            <v>20291.911261702204</v>
          </cell>
          <cell r="AM248">
            <v>10511.301826187335</v>
          </cell>
          <cell r="AN248">
            <v>60751.451096383287</v>
          </cell>
          <cell r="AO248">
            <v>9929.5512105551388</v>
          </cell>
          <cell r="AP248">
            <v>9404.8493702131218</v>
          </cell>
          <cell r="AQ248">
            <v>7076.852054066565</v>
          </cell>
          <cell r="AR248">
            <v>15373.029701180312</v>
          </cell>
          <cell r="AS248">
            <v>8203.3583648457607</v>
          </cell>
          <cell r="AT248">
            <v>5016.8908779266076</v>
          </cell>
          <cell r="AU248">
            <v>5282.2173145283441</v>
          </cell>
          <cell r="AV248">
            <v>9389.5835754155978</v>
          </cell>
          <cell r="AW248">
            <v>0</v>
          </cell>
          <cell r="AX248">
            <v>89884.91563973813</v>
          </cell>
          <cell r="AY248">
            <v>13241.4834134749</v>
          </cell>
          <cell r="AZ248">
            <v>10009.181549642786</v>
          </cell>
          <cell r="BA248">
            <v>23162.232029343173</v>
          </cell>
          <cell r="BB248">
            <v>7666.4860843968991</v>
          </cell>
          <cell r="BC248">
            <v>14769.805170133212</v>
          </cell>
          <cell r="BD248">
            <v>0</v>
          </cell>
          <cell r="BE248">
            <v>5407.3809050177379</v>
          </cell>
          <cell r="BF248">
            <v>18986.691067951171</v>
          </cell>
          <cell r="BG248">
            <v>10208.059167025469</v>
          </cell>
          <cell r="BH248">
            <v>8619.629361614263</v>
          </cell>
          <cell r="BI248">
            <v>25816.854701932582</v>
          </cell>
          <cell r="BJ248">
            <v>9453.5659739826897</v>
          </cell>
          <cell r="BK248">
            <v>7440.1950065310239</v>
          </cell>
          <cell r="BL248">
            <v>5078.8027609649826</v>
          </cell>
          <cell r="BM248">
            <v>7958.3616261516445</v>
          </cell>
          <cell r="BN248">
            <v>17326.333115839494</v>
          </cell>
          <cell r="BO248">
            <v>12105.905486930955</v>
          </cell>
          <cell r="BP248">
            <v>13106.721530714813</v>
          </cell>
          <cell r="BQ248">
            <v>11285.253285810233</v>
          </cell>
          <cell r="BR248">
            <v>1068395.0433615567</v>
          </cell>
          <cell r="BS248">
            <v>1.8735953881168164</v>
          </cell>
        </row>
        <row r="249">
          <cell r="B249">
            <v>2013</v>
          </cell>
          <cell r="D249">
            <v>37258.888960752927</v>
          </cell>
          <cell r="F249">
            <v>7114.7523262282612</v>
          </cell>
          <cell r="H249">
            <v>32478.208402545315</v>
          </cell>
          <cell r="J249">
            <v>4440.3551913974279</v>
          </cell>
          <cell r="L249">
            <v>14500.400413767735</v>
          </cell>
          <cell r="N249">
            <v>130553.22550447527</v>
          </cell>
          <cell r="P249">
            <v>46417.727360915225</v>
          </cell>
          <cell r="R249">
            <v>19413.114807032838</v>
          </cell>
          <cell r="T249">
            <v>15033.534118118358</v>
          </cell>
          <cell r="U249">
            <v>13407.902451220476</v>
          </cell>
          <cell r="V249">
            <v>32053.18037598682</v>
          </cell>
          <cell r="W249">
            <v>41464.26904299319</v>
          </cell>
          <cell r="X249">
            <v>28498.107448833856</v>
          </cell>
          <cell r="Y249">
            <v>13533.557405567322</v>
          </cell>
          <cell r="Z249">
            <v>16603.69501445425</v>
          </cell>
          <cell r="AA249">
            <v>6462.0070544893297</v>
          </cell>
          <cell r="AB249">
            <v>9642.8801274539928</v>
          </cell>
          <cell r="AC249">
            <v>9302.5908730691681</v>
          </cell>
          <cell r="AD249">
            <v>21008.169245613237</v>
          </cell>
          <cell r="AE249">
            <v>10399.984934464008</v>
          </cell>
          <cell r="AF249">
            <v>11292.903969060264</v>
          </cell>
          <cell r="AG249">
            <v>17903.647152017376</v>
          </cell>
          <cell r="AH249">
            <v>8790.9918685696503</v>
          </cell>
          <cell r="AI249">
            <v>8095.7588193823967</v>
          </cell>
          <cell r="AJ249">
            <v>15487.049315293398</v>
          </cell>
          <cell r="AK249">
            <v>12067.540790690038</v>
          </cell>
          <cell r="AL249">
            <v>19995.093870332636</v>
          </cell>
          <cell r="AM249">
            <v>10370.618505303815</v>
          </cell>
          <cell r="AN249">
            <v>60058.639823267811</v>
          </cell>
          <cell r="AO249">
            <v>9776.5755511191237</v>
          </cell>
          <cell r="AP249">
            <v>9285.2122170716611</v>
          </cell>
          <cell r="AQ249">
            <v>6743.9139154312224</v>
          </cell>
          <cell r="AR249">
            <v>15122.897562236685</v>
          </cell>
          <cell r="AS249">
            <v>8091.6139733659102</v>
          </cell>
          <cell r="AT249">
            <v>4938.9164738840045</v>
          </cell>
          <cell r="AU249">
            <v>5199.5858709635158</v>
          </cell>
          <cell r="AV249">
            <v>9260.9839204570671</v>
          </cell>
          <cell r="AW249">
            <v>0</v>
          </cell>
          <cell r="AX249">
            <v>88690.533852935434</v>
          </cell>
          <cell r="AY249">
            <v>13072.332060271157</v>
          </cell>
          <cell r="AZ249">
            <v>9526.6407852926186</v>
          </cell>
          <cell r="BA249">
            <v>22834.0416932027</v>
          </cell>
          <cell r="BB249">
            <v>7560.3575046299748</v>
          </cell>
          <cell r="BC249">
            <v>14509.441440790581</v>
          </cell>
          <cell r="BD249">
            <v>0</v>
          </cell>
          <cell r="BE249">
            <v>5334.4847749913151</v>
          </cell>
          <cell r="BF249">
            <v>18064.082386205475</v>
          </cell>
          <cell r="BG249">
            <v>9697.4811556130444</v>
          </cell>
          <cell r="BH249">
            <v>8502.8241976934423</v>
          </cell>
          <cell r="BI249">
            <v>24554.481015346297</v>
          </cell>
          <cell r="BJ249">
            <v>9010.1530373222249</v>
          </cell>
          <cell r="BK249">
            <v>7064.9976487328868</v>
          </cell>
          <cell r="BL249">
            <v>5001.2225911229552</v>
          </cell>
          <cell r="BM249">
            <v>7858.4413188288454</v>
          </cell>
          <cell r="BN249">
            <v>16492.478309968596</v>
          </cell>
          <cell r="BO249">
            <v>11524.898868753695</v>
          </cell>
          <cell r="BP249">
            <v>12444.941546606449</v>
          </cell>
          <cell r="BQ249">
            <v>11037.568624984013</v>
          </cell>
          <cell r="BR249">
            <v>1044849.8974711173</v>
          </cell>
          <cell r="BS249">
            <v>1.832305345611503</v>
          </cell>
        </row>
        <row r="250">
          <cell r="B250">
            <v>2014</v>
          </cell>
          <cell r="D250">
            <v>36781.287064983633</v>
          </cell>
          <cell r="F250">
            <v>7024.7291092017031</v>
          </cell>
          <cell r="H250">
            <v>32057.981337402864</v>
          </cell>
          <cell r="J250">
            <v>4388.7727744716867</v>
          </cell>
          <cell r="L250">
            <v>14342.526676733356</v>
          </cell>
          <cell r="N250">
            <v>129025.24097639222</v>
          </cell>
          <cell r="P250">
            <v>45884.069426826696</v>
          </cell>
          <cell r="R250">
            <v>19098.079136612538</v>
          </cell>
          <cell r="T250">
            <v>14846.065630634606</v>
          </cell>
          <cell r="U250">
            <v>12788.713266622248</v>
          </cell>
          <cell r="V250">
            <v>31568.34094686665</v>
          </cell>
          <cell r="W250">
            <v>40880.151126335761</v>
          </cell>
          <cell r="X250">
            <v>28093.481263526333</v>
          </cell>
          <cell r="Y250">
            <v>12907.809501744405</v>
          </cell>
          <cell r="Z250">
            <v>15764.294623284712</v>
          </cell>
          <cell r="AA250">
            <v>6372.5236395192996</v>
          </cell>
          <cell r="AB250">
            <v>9149.9888794907929</v>
          </cell>
          <cell r="AC250">
            <v>8845.9599901014553</v>
          </cell>
          <cell r="AD250">
            <v>20721.648915991194</v>
          </cell>
          <cell r="AE250">
            <v>9905.2091483774184</v>
          </cell>
          <cell r="AF250">
            <v>10755.220350312296</v>
          </cell>
          <cell r="AG250">
            <v>17031.100999747687</v>
          </cell>
          <cell r="AH250">
            <v>8386.0255066781556</v>
          </cell>
          <cell r="AI250">
            <v>7991.5809360191461</v>
          </cell>
          <cell r="AJ250">
            <v>15295.347537074626</v>
          </cell>
          <cell r="AK250">
            <v>11463.328064782383</v>
          </cell>
          <cell r="AL250">
            <v>19705.69691374731</v>
          </cell>
          <cell r="AM250">
            <v>10233.452267442386</v>
          </cell>
          <cell r="AN250">
            <v>59383.148831980201</v>
          </cell>
          <cell r="AO250">
            <v>9627.4242831690062</v>
          </cell>
          <cell r="AP250">
            <v>9168.5659927587385</v>
          </cell>
          <cell r="AQ250">
            <v>6431.7766517862619</v>
          </cell>
          <cell r="AR250">
            <v>14879.018726766653</v>
          </cell>
          <cell r="AS250">
            <v>7982.6631916730585</v>
          </cell>
          <cell r="AT250">
            <v>4862.8914299424669</v>
          </cell>
          <cell r="AU250">
            <v>5119.0202134878091</v>
          </cell>
          <cell r="AV250">
            <v>9135.5992568724978</v>
          </cell>
          <cell r="AW250">
            <v>0</v>
          </cell>
          <cell r="AX250">
            <v>87526.011610802787</v>
          </cell>
          <cell r="AY250">
            <v>12907.409490897506</v>
          </cell>
          <cell r="AZ250">
            <v>9074.6087521972586</v>
          </cell>
          <cell r="BA250">
            <v>22514.056115465737</v>
          </cell>
          <cell r="BB250">
            <v>7456.8821393572216</v>
          </cell>
          <cell r="BC250">
            <v>14255.586804681519</v>
          </cell>
          <cell r="BD250">
            <v>0</v>
          </cell>
          <cell r="BE250">
            <v>5263.4110482155529</v>
          </cell>
          <cell r="BF250">
            <v>17200.02561211534</v>
          </cell>
          <cell r="BG250">
            <v>9219.7427998960047</v>
          </cell>
          <cell r="BH250">
            <v>8388.9391628706453</v>
          </cell>
          <cell r="BI250">
            <v>23372.458183783074</v>
          </cell>
          <cell r="BJ250">
            <v>8594.4015172977543</v>
          </cell>
          <cell r="BK250">
            <v>6714.0217023910836</v>
          </cell>
          <cell r="BL250">
            <v>4925.5819255269789</v>
          </cell>
          <cell r="BM250">
            <v>7761.0190191891152</v>
          </cell>
          <cell r="BN250">
            <v>15711.300423892804</v>
          </cell>
          <cell r="BO250">
            <v>10980.547321367663</v>
          </cell>
          <cell r="BP250">
            <v>11825.907701767741</v>
          </cell>
          <cell r="BQ250">
            <v>10796.076080678446</v>
          </cell>
          <cell r="BR250">
            <v>1022386.7220017548</v>
          </cell>
          <cell r="BS250">
            <v>1.7929127050116029</v>
          </cell>
        </row>
        <row r="252">
          <cell r="B252" t="str">
            <v>פחת משוקלל</v>
          </cell>
        </row>
        <row r="253">
          <cell r="B253">
            <v>2010</v>
          </cell>
          <cell r="D253">
            <v>16087.895394400002</v>
          </cell>
          <cell r="F253">
            <v>3032.4086052000002</v>
          </cell>
          <cell r="H253">
            <v>14155.239176800002</v>
          </cell>
          <cell r="J253">
            <v>1737.5402715999999</v>
          </cell>
          <cell r="L253">
            <v>5317.9356896000008</v>
          </cell>
          <cell r="N253">
            <v>51469.760630799996</v>
          </cell>
          <cell r="P253">
            <v>17976.128436800002</v>
          </cell>
          <cell r="R253">
            <v>10611.894458800001</v>
          </cell>
          <cell r="T253">
            <v>6314.8271460000005</v>
          </cell>
          <cell r="U253">
            <v>4746.9478759999993</v>
          </cell>
          <cell r="V253">
            <v>16331.689819200001</v>
          </cell>
          <cell r="W253">
            <v>19675.859799600003</v>
          </cell>
          <cell r="X253">
            <v>13629.7276052</v>
          </cell>
          <cell r="Y253">
            <v>4814.6942360000003</v>
          </cell>
          <cell r="Z253">
            <v>8113.2612879999988</v>
          </cell>
          <cell r="AA253">
            <v>3014.2255136000003</v>
          </cell>
          <cell r="AB253">
            <v>4877.9338959999995</v>
          </cell>
          <cell r="AC253">
            <v>4125.2297239999998</v>
          </cell>
          <cell r="AD253">
            <v>9651.3626351999992</v>
          </cell>
          <cell r="AE253">
            <v>4128.0624000000007</v>
          </cell>
          <cell r="AF253">
            <v>4495.6438120000003</v>
          </cell>
          <cell r="AG253">
            <v>7746.1219440000004</v>
          </cell>
          <cell r="AH253">
            <v>3081.302224</v>
          </cell>
          <cell r="AI253">
            <v>3509.2048520000003</v>
          </cell>
          <cell r="AJ253">
            <v>6457.4244412000007</v>
          </cell>
          <cell r="AK253">
            <v>5716.3132400000004</v>
          </cell>
          <cell r="AL253">
            <v>9748.2610648000009</v>
          </cell>
          <cell r="AM253">
            <v>4620.4089764</v>
          </cell>
          <cell r="AN253">
            <v>22753.738006400003</v>
          </cell>
          <cell r="AO253">
            <v>5024.1215916000001</v>
          </cell>
          <cell r="AP253">
            <v>3929.1976676000004</v>
          </cell>
          <cell r="AQ253">
            <v>2409.0753719999998</v>
          </cell>
          <cell r="AR253">
            <v>8214.9950172000008</v>
          </cell>
          <cell r="AS253">
            <v>3669.9786884000005</v>
          </cell>
          <cell r="AT253">
            <v>2560.8837928000003</v>
          </cell>
          <cell r="AU253">
            <v>2713.8331764000004</v>
          </cell>
          <cell r="AV253">
            <v>4223.5497172000005</v>
          </cell>
          <cell r="AW253">
            <v>0</v>
          </cell>
          <cell r="AX253">
            <v>39226.628248000001</v>
          </cell>
          <cell r="AY253">
            <v>5555.3737699999992</v>
          </cell>
          <cell r="AZ253">
            <v>3744.642836</v>
          </cell>
          <cell r="BA253">
            <v>10778.6307968</v>
          </cell>
          <cell r="BB253">
            <v>3485.5407132000005</v>
          </cell>
          <cell r="BC253">
            <v>8551.0272619999996</v>
          </cell>
          <cell r="BD253">
            <v>0</v>
          </cell>
          <cell r="BE253">
            <v>2394.0999644000003</v>
          </cell>
          <cell r="BF253">
            <v>7313.6949159999986</v>
          </cell>
          <cell r="BG253">
            <v>4353.3861800000004</v>
          </cell>
          <cell r="BH253">
            <v>3836.1877192000006</v>
          </cell>
          <cell r="BI253">
            <v>10172.645912</v>
          </cell>
          <cell r="BJ253">
            <v>3179.3298679999998</v>
          </cell>
          <cell r="BK253">
            <v>3261.6128599999997</v>
          </cell>
          <cell r="BL253">
            <v>2547.9361084000002</v>
          </cell>
          <cell r="BM253">
            <v>3281.6447748000001</v>
          </cell>
          <cell r="BN253">
            <v>6440.3061799999996</v>
          </cell>
          <cell r="BO253">
            <v>4453.2815799999998</v>
          </cell>
          <cell r="BP253">
            <v>5769.6875279999995</v>
          </cell>
          <cell r="BQ253">
            <v>8134.6134211999997</v>
          </cell>
          <cell r="BR253">
            <v>457166.94882480003</v>
          </cell>
          <cell r="BS253">
            <v>0.80171271126696664</v>
          </cell>
        </row>
        <row r="254">
          <cell r="B254">
            <v>2011</v>
          </cell>
          <cell r="D254">
            <v>16991.709742400002</v>
          </cell>
          <cell r="F254">
            <v>3202.7686392000005</v>
          </cell>
          <cell r="H254">
            <v>14950.477332799999</v>
          </cell>
          <cell r="J254">
            <v>1835.1548935999997</v>
          </cell>
          <cell r="L254">
            <v>5616.6961216</v>
          </cell>
          <cell r="N254">
            <v>54361.320216799992</v>
          </cell>
          <cell r="P254">
            <v>18986.0232928</v>
          </cell>
          <cell r="R254">
            <v>11208.068304800001</v>
          </cell>
          <cell r="T254">
            <v>6669.5927160000001</v>
          </cell>
          <cell r="U254">
            <v>4927.2589141375001</v>
          </cell>
          <cell r="V254">
            <v>17249.200483199998</v>
          </cell>
          <cell r="W254">
            <v>20781.245181599999</v>
          </cell>
          <cell r="X254">
            <v>14395.442639199999</v>
          </cell>
          <cell r="Y254">
            <v>4997.5785942624998</v>
          </cell>
          <cell r="Z254">
            <v>8421.4404809749994</v>
          </cell>
          <cell r="AA254">
            <v>3183.5640255999997</v>
          </cell>
          <cell r="AB254">
            <v>5063.2203890749988</v>
          </cell>
          <cell r="AC254">
            <v>4281.9250308624996</v>
          </cell>
          <cell r="AD254">
            <v>10193.574019199999</v>
          </cell>
          <cell r="AE254">
            <v>4284.8653050000003</v>
          </cell>
          <cell r="AF254">
            <v>4666.4091593374997</v>
          </cell>
          <cell r="AG254">
            <v>8040.3554864249991</v>
          </cell>
          <cell r="AH254">
            <v>3198.3443355499999</v>
          </cell>
          <cell r="AI254">
            <v>3706.3511920000001</v>
          </cell>
          <cell r="AJ254">
            <v>6820.2010952000001</v>
          </cell>
          <cell r="AK254">
            <v>5933.445258625</v>
          </cell>
          <cell r="AL254">
            <v>10295.916180799997</v>
          </cell>
          <cell r="AM254">
            <v>4879.9825143999997</v>
          </cell>
          <cell r="AN254">
            <v>24032.0378944</v>
          </cell>
          <cell r="AO254">
            <v>5306.3756135999993</v>
          </cell>
          <cell r="AP254">
            <v>4149.9391095999999</v>
          </cell>
          <cell r="AQ254">
            <v>2500.5831982124996</v>
          </cell>
          <cell r="AR254">
            <v>8676.5115912000001</v>
          </cell>
          <cell r="AS254">
            <v>3876.1572663999996</v>
          </cell>
          <cell r="AT254">
            <v>2704.7536688</v>
          </cell>
          <cell r="AU254">
            <v>2866.2957144000002</v>
          </cell>
          <cell r="AV254">
            <v>4460.8277911999994</v>
          </cell>
          <cell r="AW254">
            <v>0</v>
          </cell>
          <cell r="AX254">
            <v>41430.371407999999</v>
          </cell>
          <cell r="AY254">
            <v>5867.4734199999994</v>
          </cell>
          <cell r="AZ254">
            <v>3886.8816923874997</v>
          </cell>
          <cell r="BA254">
            <v>11384.1718528</v>
          </cell>
          <cell r="BB254">
            <v>3681.3576072000001</v>
          </cell>
          <cell r="BC254">
            <v>9031.4220519999999</v>
          </cell>
          <cell r="BD254">
            <v>0</v>
          </cell>
          <cell r="BE254">
            <v>2528.5999624000001</v>
          </cell>
          <cell r="BF254">
            <v>7591.5028796374991</v>
          </cell>
          <cell r="BG254">
            <v>4518.7479244374999</v>
          </cell>
          <cell r="BH254">
            <v>4051.7038832000003</v>
          </cell>
          <cell r="BI254">
            <v>10559.050059024999</v>
          </cell>
          <cell r="BJ254">
            <v>3300.0955229124997</v>
          </cell>
          <cell r="BK254">
            <v>3385.5040035624997</v>
          </cell>
          <cell r="BL254">
            <v>2691.0785863999999</v>
          </cell>
          <cell r="BM254">
            <v>3466.0068408000002</v>
          </cell>
          <cell r="BN254">
            <v>6684.9387994374993</v>
          </cell>
          <cell r="BO254">
            <v>4622.4378138125003</v>
          </cell>
          <cell r="BP254">
            <v>5988.8469489749996</v>
          </cell>
          <cell r="BQ254">
            <v>8591.6141751999985</v>
          </cell>
          <cell r="BR254">
            <v>480977.41882545006</v>
          </cell>
          <cell r="BS254">
            <v>0.84346804049588997</v>
          </cell>
        </row>
        <row r="255">
          <cell r="B255">
            <v>2012</v>
          </cell>
          <cell r="D255">
            <v>16991.709742400002</v>
          </cell>
          <cell r="F255">
            <v>3202.7686392000005</v>
          </cell>
          <cell r="H255">
            <v>14950.477332799999</v>
          </cell>
          <cell r="J255">
            <v>1835.1548935999997</v>
          </cell>
          <cell r="L255">
            <v>5616.6961216</v>
          </cell>
          <cell r="N255">
            <v>54361.320216799992</v>
          </cell>
          <cell r="P255">
            <v>18986.0232928</v>
          </cell>
          <cell r="R255">
            <v>11208.068304800001</v>
          </cell>
          <cell r="T255">
            <v>6669.5927160000001</v>
          </cell>
          <cell r="U255">
            <v>5110.9017004500001</v>
          </cell>
          <cell r="V255">
            <v>17249.200483199998</v>
          </cell>
          <cell r="W255">
            <v>20781.245181599999</v>
          </cell>
          <cell r="X255">
            <v>14395.442639199999</v>
          </cell>
          <cell r="Y255">
            <v>5183.8422499500002</v>
          </cell>
          <cell r="Z255">
            <v>8735.3141421</v>
          </cell>
          <cell r="AA255">
            <v>3183.5640255999997</v>
          </cell>
          <cell r="AB255">
            <v>5251.9305657000004</v>
          </cell>
          <cell r="AC255">
            <v>4441.5157195499996</v>
          </cell>
          <cell r="AD255">
            <v>10193.574019199999</v>
          </cell>
          <cell r="AE255">
            <v>4444.5655800000013</v>
          </cell>
          <cell r="AF255">
            <v>4840.3298716500003</v>
          </cell>
          <cell r="AG255">
            <v>8340.0258123000003</v>
          </cell>
          <cell r="AH255">
            <v>3317.5491258000002</v>
          </cell>
          <cell r="AI255">
            <v>3706.3511920000001</v>
          </cell>
          <cell r="AJ255">
            <v>6820.2010952000001</v>
          </cell>
          <cell r="AK255">
            <v>6154.5893955000001</v>
          </cell>
          <cell r="AL255">
            <v>10295.916180799997</v>
          </cell>
          <cell r="AM255">
            <v>4879.9825143999997</v>
          </cell>
          <cell r="AN255">
            <v>24032.0378944</v>
          </cell>
          <cell r="AO255">
            <v>5306.3756135999993</v>
          </cell>
          <cell r="AP255">
            <v>4149.9391095999999</v>
          </cell>
          <cell r="AQ255">
            <v>2593.78188615</v>
          </cell>
          <cell r="AR255">
            <v>8676.5115912000001</v>
          </cell>
          <cell r="AS255">
            <v>3876.1572663999996</v>
          </cell>
          <cell r="AT255">
            <v>2704.7536688</v>
          </cell>
          <cell r="AU255">
            <v>2866.2957144000002</v>
          </cell>
          <cell r="AV255">
            <v>4460.8277911999994</v>
          </cell>
          <cell r="AW255">
            <v>0</v>
          </cell>
          <cell r="AX255">
            <v>41430.371407999999</v>
          </cell>
          <cell r="AY255">
            <v>5867.4734199999994</v>
          </cell>
          <cell r="AZ255">
            <v>4031.7488074500006</v>
          </cell>
          <cell r="BA255">
            <v>11384.1718528</v>
          </cell>
          <cell r="BB255">
            <v>3681.3576072000001</v>
          </cell>
          <cell r="BC255">
            <v>9031.4220519999999</v>
          </cell>
          <cell r="BD255">
            <v>0</v>
          </cell>
          <cell r="BE255">
            <v>2528.5999624000001</v>
          </cell>
          <cell r="BF255">
            <v>7874.4441184500001</v>
          </cell>
          <cell r="BG255">
            <v>4687.1651872500006</v>
          </cell>
          <cell r="BH255">
            <v>4051.7038832000003</v>
          </cell>
          <cell r="BI255">
            <v>10952.594097900001</v>
          </cell>
          <cell r="BJ255">
            <v>3423.0926593499998</v>
          </cell>
          <cell r="BK255">
            <v>3511.6843807499999</v>
          </cell>
          <cell r="BL255">
            <v>2691.0785863999999</v>
          </cell>
          <cell r="BM255">
            <v>3466.0068408000002</v>
          </cell>
          <cell r="BN255">
            <v>6934.0916872500002</v>
          </cell>
          <cell r="BO255">
            <v>4794.7196797500001</v>
          </cell>
          <cell r="BP255">
            <v>6212.0559500999998</v>
          </cell>
          <cell r="BQ255">
            <v>8591.6141751999985</v>
          </cell>
          <cell r="BR255">
            <v>484959.92964619998</v>
          </cell>
          <cell r="BS255">
            <v>0.85045198707374514</v>
          </cell>
        </row>
        <row r="256">
          <cell r="B256">
            <v>2013</v>
          </cell>
          <cell r="D256">
            <v>16991.709742400002</v>
          </cell>
          <cell r="F256">
            <v>3202.7686392000005</v>
          </cell>
          <cell r="H256">
            <v>14950.477332799999</v>
          </cell>
          <cell r="J256">
            <v>1835.1548935999997</v>
          </cell>
          <cell r="L256">
            <v>5616.6961216</v>
          </cell>
          <cell r="N256">
            <v>54361.320216799992</v>
          </cell>
          <cell r="P256">
            <v>18986.0232928</v>
          </cell>
          <cell r="R256">
            <v>11208.068304800001</v>
          </cell>
          <cell r="T256">
            <v>6669.5927160000001</v>
          </cell>
          <cell r="U256">
            <v>5297.8762349375002</v>
          </cell>
          <cell r="V256">
            <v>17249.200483199998</v>
          </cell>
          <cell r="W256">
            <v>20781.245181599999</v>
          </cell>
          <cell r="X256">
            <v>14395.442639199999</v>
          </cell>
          <cell r="Y256">
            <v>5373.4852030624997</v>
          </cell>
          <cell r="Z256">
            <v>9054.8822713749996</v>
          </cell>
          <cell r="AA256">
            <v>3183.5640255999997</v>
          </cell>
          <cell r="AB256">
            <v>5444.0644258749999</v>
          </cell>
          <cell r="AC256">
            <v>4604.0017900624998</v>
          </cell>
          <cell r="AD256">
            <v>10193.574019199999</v>
          </cell>
          <cell r="AE256">
            <v>4607.1632250000011</v>
          </cell>
          <cell r="AF256">
            <v>5017.4059489375004</v>
          </cell>
          <cell r="AG256">
            <v>8645.1329216249997</v>
          </cell>
          <cell r="AH256">
            <v>3438.9165947500001</v>
          </cell>
          <cell r="AI256">
            <v>3706.3511920000001</v>
          </cell>
          <cell r="AJ256">
            <v>6820.2010952000001</v>
          </cell>
          <cell r="AK256">
            <v>6379.7456506250001</v>
          </cell>
          <cell r="AL256">
            <v>10295.916180799997</v>
          </cell>
          <cell r="AM256">
            <v>4879.9825143999997</v>
          </cell>
          <cell r="AN256">
            <v>24032.0378944</v>
          </cell>
          <cell r="AO256">
            <v>5306.3756135999993</v>
          </cell>
          <cell r="AP256">
            <v>4149.9391095999999</v>
          </cell>
          <cell r="AQ256">
            <v>2688.6714358125</v>
          </cell>
          <cell r="AR256">
            <v>8676.5115912000001</v>
          </cell>
          <cell r="AS256">
            <v>3876.1572663999996</v>
          </cell>
          <cell r="AT256">
            <v>2704.7536688</v>
          </cell>
          <cell r="AU256">
            <v>2866.2957144000002</v>
          </cell>
          <cell r="AV256">
            <v>4460.8277911999994</v>
          </cell>
          <cell r="AW256">
            <v>0</v>
          </cell>
          <cell r="AX256">
            <v>41430.371407999999</v>
          </cell>
          <cell r="AY256">
            <v>5867.4734199999994</v>
          </cell>
          <cell r="AZ256">
            <v>4179.2441811875005</v>
          </cell>
          <cell r="BA256">
            <v>11384.1718528</v>
          </cell>
          <cell r="BB256">
            <v>3681.3576072000001</v>
          </cell>
          <cell r="BC256">
            <v>9031.4220519999999</v>
          </cell>
          <cell r="BD256">
            <v>0</v>
          </cell>
          <cell r="BE256">
            <v>2528.5999624000001</v>
          </cell>
          <cell r="BF256">
            <v>8162.518632437499</v>
          </cell>
          <cell r="BG256">
            <v>4858.6379684375006</v>
          </cell>
          <cell r="BH256">
            <v>4051.7038832000003</v>
          </cell>
          <cell r="BI256">
            <v>11353.278028625</v>
          </cell>
          <cell r="BJ256">
            <v>3548.3212773124997</v>
          </cell>
          <cell r="BK256">
            <v>3640.1539915624994</v>
          </cell>
          <cell r="BL256">
            <v>2691.0785863999999</v>
          </cell>
          <cell r="BM256">
            <v>3466.0068408000002</v>
          </cell>
          <cell r="BN256">
            <v>7187.7648434375005</v>
          </cell>
          <cell r="BO256">
            <v>4970.1271778125001</v>
          </cell>
          <cell r="BP256">
            <v>6439.3145313749992</v>
          </cell>
          <cell r="BQ256">
            <v>8591.6141751999985</v>
          </cell>
          <cell r="BR256">
            <v>489014.69336304994</v>
          </cell>
          <cell r="BS256">
            <v>0.85756264024178186</v>
          </cell>
        </row>
        <row r="257">
          <cell r="B257">
            <v>2014</v>
          </cell>
          <cell r="D257">
            <v>16991.709742400002</v>
          </cell>
          <cell r="F257">
            <v>3202.7686392000005</v>
          </cell>
          <cell r="H257">
            <v>14950.477332799999</v>
          </cell>
          <cell r="J257">
            <v>1835.1548935999997</v>
          </cell>
          <cell r="L257">
            <v>5616.6961216</v>
          </cell>
          <cell r="N257">
            <v>54361.320216799992</v>
          </cell>
          <cell r="P257">
            <v>18986.0232928</v>
          </cell>
          <cell r="R257">
            <v>11208.068304800001</v>
          </cell>
          <cell r="T257">
            <v>6669.5927160000001</v>
          </cell>
          <cell r="U257">
            <v>5488.1825175999993</v>
          </cell>
          <cell r="V257">
            <v>17249.200483199998</v>
          </cell>
          <cell r="W257">
            <v>20781.245181599999</v>
          </cell>
          <cell r="X257">
            <v>14395.442639199999</v>
          </cell>
          <cell r="Y257">
            <v>5566.5074535999993</v>
          </cell>
          <cell r="Z257">
            <v>9380.1448688</v>
          </cell>
          <cell r="AA257">
            <v>3183.5640255999997</v>
          </cell>
          <cell r="AB257">
            <v>5639.6219695999998</v>
          </cell>
          <cell r="AC257">
            <v>4769.3832424000002</v>
          </cell>
          <cell r="AD257">
            <v>10193.574019199999</v>
          </cell>
          <cell r="AE257">
            <v>4772.6582400000007</v>
          </cell>
          <cell r="AF257">
            <v>5197.6373911999999</v>
          </cell>
          <cell r="AG257">
            <v>8955.6768143999998</v>
          </cell>
          <cell r="AH257">
            <v>3562.4467423999999</v>
          </cell>
          <cell r="AI257">
            <v>3706.3511920000001</v>
          </cell>
          <cell r="AJ257">
            <v>6820.2010952000001</v>
          </cell>
          <cell r="AK257">
            <v>6608.9140239999997</v>
          </cell>
          <cell r="AL257">
            <v>10295.916180799997</v>
          </cell>
          <cell r="AM257">
            <v>4879.9825143999997</v>
          </cell>
          <cell r="AN257">
            <v>24032.0378944</v>
          </cell>
          <cell r="AO257">
            <v>5306.3756135999993</v>
          </cell>
          <cell r="AP257">
            <v>4149.9391095999999</v>
          </cell>
          <cell r="AQ257">
            <v>2785.2518472000002</v>
          </cell>
          <cell r="AR257">
            <v>8676.5115912000001</v>
          </cell>
          <cell r="AS257">
            <v>3876.1572663999996</v>
          </cell>
          <cell r="AT257">
            <v>2704.7536688</v>
          </cell>
          <cell r="AU257">
            <v>2866.2957144000002</v>
          </cell>
          <cell r="AV257">
            <v>4460.8277911999994</v>
          </cell>
          <cell r="AW257">
            <v>0</v>
          </cell>
          <cell r="AX257">
            <v>41430.371407999999</v>
          </cell>
          <cell r="AY257">
            <v>5867.4734199999994</v>
          </cell>
          <cell r="AZ257">
            <v>4329.3678135999999</v>
          </cell>
          <cell r="BA257">
            <v>11384.1718528</v>
          </cell>
          <cell r="BB257">
            <v>3681.3576072000001</v>
          </cell>
          <cell r="BC257">
            <v>9031.4220519999999</v>
          </cell>
          <cell r="BD257">
            <v>0</v>
          </cell>
          <cell r="BE257">
            <v>2528.5999624000001</v>
          </cell>
          <cell r="BF257">
            <v>8455.7264215999985</v>
          </cell>
          <cell r="BG257">
            <v>5033.1662680000009</v>
          </cell>
          <cell r="BH257">
            <v>4051.7038832000003</v>
          </cell>
          <cell r="BI257">
            <v>11761.101851199999</v>
          </cell>
          <cell r="BJ257">
            <v>3675.7813768000001</v>
          </cell>
          <cell r="BK257">
            <v>3770.912836</v>
          </cell>
          <cell r="BL257">
            <v>2691.0785863999999</v>
          </cell>
          <cell r="BM257">
            <v>3466.0068408000002</v>
          </cell>
          <cell r="BN257">
            <v>7445.9582680000003</v>
          </cell>
          <cell r="BO257">
            <v>5148.6603079999995</v>
          </cell>
          <cell r="BP257">
            <v>6670.6226927999987</v>
          </cell>
          <cell r="BQ257">
            <v>8591.6141751999985</v>
          </cell>
          <cell r="BR257">
            <v>493141.70997599995</v>
          </cell>
          <cell r="BS257">
            <v>0.8647999999999999</v>
          </cell>
        </row>
        <row r="261">
          <cell r="B261">
            <v>2010</v>
          </cell>
          <cell r="D261">
            <v>17486.842819999998</v>
          </cell>
          <cell r="F261">
            <v>3296.0963100000004</v>
          </cell>
          <cell r="H261">
            <v>15386.12954</v>
          </cell>
          <cell r="J261">
            <v>1888.6307299999999</v>
          </cell>
          <cell r="L261">
            <v>5780.3648800000001</v>
          </cell>
          <cell r="N261">
            <v>55945.391989999996</v>
          </cell>
          <cell r="P261">
            <v>19539.270039999999</v>
          </cell>
          <cell r="R261">
            <v>11534.667890000001</v>
          </cell>
          <cell r="T261">
            <v>6863.9425499999998</v>
          </cell>
          <cell r="U261">
            <v>5394.2589499999995</v>
          </cell>
          <cell r="V261">
            <v>17751.836759999998</v>
          </cell>
          <cell r="W261">
            <v>21386.80413</v>
          </cell>
          <cell r="X261">
            <v>14814.92131</v>
          </cell>
          <cell r="Y261">
            <v>5471.2434499999999</v>
          </cell>
          <cell r="Z261">
            <v>9219.6150999999991</v>
          </cell>
          <cell r="AA261">
            <v>3276.3320800000001</v>
          </cell>
          <cell r="AB261">
            <v>5543.1066999999994</v>
          </cell>
          <cell r="AC261">
            <v>4687.7610500000001</v>
          </cell>
          <cell r="AD261">
            <v>10490.611559999999</v>
          </cell>
          <cell r="AE261">
            <v>4690.9800000000005</v>
          </cell>
          <cell r="AF261">
            <v>5108.6861499999995</v>
          </cell>
          <cell r="AG261">
            <v>8802.4112999999998</v>
          </cell>
          <cell r="AH261">
            <v>3501.4797999999996</v>
          </cell>
          <cell r="AI261">
            <v>3814.3530999999998</v>
          </cell>
          <cell r="AJ261">
            <v>7018.9396100000004</v>
          </cell>
          <cell r="AK261">
            <v>6495.8104999999996</v>
          </cell>
          <cell r="AL261">
            <v>10595.935939999999</v>
          </cell>
          <cell r="AM261">
            <v>5022.1836700000003</v>
          </cell>
          <cell r="AN261">
            <v>24732.323920000003</v>
          </cell>
          <cell r="AO261">
            <v>5461.00173</v>
          </cell>
          <cell r="AP261">
            <v>4270.8670300000003</v>
          </cell>
          <cell r="AQ261">
            <v>2737.58565</v>
          </cell>
          <cell r="AR261">
            <v>8929.3424100000011</v>
          </cell>
          <cell r="AS261">
            <v>3989.10727</v>
          </cell>
          <cell r="AT261">
            <v>2783.5693400000005</v>
          </cell>
          <cell r="AU261">
            <v>2949.8186700000001</v>
          </cell>
          <cell r="AV261">
            <v>4590.8149100000001</v>
          </cell>
          <cell r="AW261">
            <v>0</v>
          </cell>
          <cell r="AX261">
            <v>42637.6394</v>
          </cell>
          <cell r="AY261">
            <v>6038.4497499999998</v>
          </cell>
          <cell r="AZ261">
            <v>4255.2759500000002</v>
          </cell>
          <cell r="BA261">
            <v>11715.903039999999</v>
          </cell>
          <cell r="BB261">
            <v>3788.63121</v>
          </cell>
          <cell r="BC261">
            <v>9294.5948499999995</v>
          </cell>
          <cell r="BD261">
            <v>0</v>
          </cell>
          <cell r="BE261">
            <v>2602.2825699999999</v>
          </cell>
          <cell r="BF261">
            <v>8311.0169499999993</v>
          </cell>
          <cell r="BG261">
            <v>4947.0297500000006</v>
          </cell>
          <cell r="BH261">
            <v>4169.76926</v>
          </cell>
          <cell r="BI261">
            <v>11559.8249</v>
          </cell>
          <cell r="BJ261">
            <v>3612.8748499999997</v>
          </cell>
          <cell r="BK261">
            <v>3706.3782499999998</v>
          </cell>
          <cell r="BL261">
            <v>2769.49577</v>
          </cell>
          <cell r="BM261">
            <v>3567.0051900000003</v>
          </cell>
          <cell r="BN261">
            <v>7318.5297499999997</v>
          </cell>
          <cell r="BO261">
            <v>5060.5472499999996</v>
          </cell>
          <cell r="BP261">
            <v>6556.463099999999</v>
          </cell>
          <cell r="BQ261">
            <v>8841.9711099999986</v>
          </cell>
          <cell r="BR261">
            <v>502006.72174000001</v>
          </cell>
          <cell r="BS261">
            <v>0.88034616455760828</v>
          </cell>
        </row>
        <row r="262">
          <cell r="B262">
            <v>2011</v>
          </cell>
          <cell r="D262">
            <v>18076.286960000001</v>
          </cell>
          <cell r="F262">
            <v>3407.2006800000004</v>
          </cell>
          <cell r="H262">
            <v>15904.763120000001</v>
          </cell>
          <cell r="J262">
            <v>1952.2924399999999</v>
          </cell>
          <cell r="L262">
            <v>5975.2086400000007</v>
          </cell>
          <cell r="N262">
            <v>57831.191719999995</v>
          </cell>
          <cell r="P262">
            <v>20197.897120000001</v>
          </cell>
          <cell r="R262">
            <v>11923.476920000001</v>
          </cell>
          <cell r="T262">
            <v>7095.3114000000005</v>
          </cell>
          <cell r="U262">
            <v>5505.3172224999998</v>
          </cell>
          <cell r="V262">
            <v>18350.21328</v>
          </cell>
          <cell r="W262">
            <v>22107.707640000001</v>
          </cell>
          <cell r="X262">
            <v>15314.30068</v>
          </cell>
          <cell r="Y262">
            <v>5583.8866974999992</v>
          </cell>
          <cell r="Z262">
            <v>9409.4307049999989</v>
          </cell>
          <cell r="AA262">
            <v>3386.7702400000003</v>
          </cell>
          <cell r="AB262">
            <v>5657.2294849999989</v>
          </cell>
          <cell r="AC262">
            <v>4784.2737774999996</v>
          </cell>
          <cell r="AD262">
            <v>10844.22768</v>
          </cell>
          <cell r="AE262">
            <v>4787.5590000000002</v>
          </cell>
          <cell r="AF262">
            <v>5213.8649824999993</v>
          </cell>
          <cell r="AG262">
            <v>8983.6374149999992</v>
          </cell>
          <cell r="AH262">
            <v>3573.5690899999995</v>
          </cell>
          <cell r="AI262">
            <v>3942.9268000000002</v>
          </cell>
          <cell r="AJ262">
            <v>7255.5330800000011</v>
          </cell>
          <cell r="AK262">
            <v>6629.547775</v>
          </cell>
          <cell r="AL262">
            <v>10953.10232</v>
          </cell>
          <cell r="AM262">
            <v>5191.4707600000002</v>
          </cell>
          <cell r="AN262">
            <v>25565.997760000002</v>
          </cell>
          <cell r="AO262">
            <v>5645.0804399999997</v>
          </cell>
          <cell r="AP262">
            <v>4414.8288400000001</v>
          </cell>
          <cell r="AQ262">
            <v>2793.9477074999995</v>
          </cell>
          <cell r="AR262">
            <v>9230.3314800000007</v>
          </cell>
          <cell r="AS262">
            <v>4123.5715600000003</v>
          </cell>
          <cell r="AT262">
            <v>2877.3975200000004</v>
          </cell>
          <cell r="AU262">
            <v>3049.2507600000004</v>
          </cell>
          <cell r="AV262">
            <v>4745.5614800000003</v>
          </cell>
          <cell r="AW262">
            <v>0</v>
          </cell>
          <cell r="AX262">
            <v>44074.8632</v>
          </cell>
          <cell r="AY262">
            <v>6241.9929999999995</v>
          </cell>
          <cell r="AZ262">
            <v>4342.8845725000001</v>
          </cell>
          <cell r="BA262">
            <v>12110.821120000001</v>
          </cell>
          <cell r="BB262">
            <v>3916.3378800000005</v>
          </cell>
          <cell r="BC262">
            <v>9607.8958000000002</v>
          </cell>
          <cell r="BD262">
            <v>0</v>
          </cell>
          <cell r="BE262">
            <v>2689.9999600000001</v>
          </cell>
          <cell r="BF262">
            <v>8482.126122499998</v>
          </cell>
          <cell r="BG262">
            <v>5048.8803625</v>
          </cell>
          <cell r="BH262">
            <v>4310.3232800000005</v>
          </cell>
          <cell r="BI262">
            <v>11797.821295</v>
          </cell>
          <cell r="BJ262">
            <v>3687.2575674999994</v>
          </cell>
          <cell r="BK262">
            <v>3782.6860374999997</v>
          </cell>
          <cell r="BL262">
            <v>2862.8495600000001</v>
          </cell>
          <cell r="BM262">
            <v>3687.2413200000001</v>
          </cell>
          <cell r="BN262">
            <v>7469.205362499999</v>
          </cell>
          <cell r="BO262">
            <v>5164.7349875</v>
          </cell>
          <cell r="BP262">
            <v>6691.4491049999988</v>
          </cell>
          <cell r="BQ262">
            <v>9140.0150799999992</v>
          </cell>
          <cell r="BR262">
            <v>517393.55078999995</v>
          </cell>
          <cell r="BS262">
            <v>0.90732934098186069</v>
          </cell>
        </row>
        <row r="263">
          <cell r="B263">
            <v>2012</v>
          </cell>
          <cell r="D263">
            <v>18076.286960000001</v>
          </cell>
          <cell r="F263">
            <v>3407.2006800000004</v>
          </cell>
          <cell r="H263">
            <v>15904.763120000001</v>
          </cell>
          <cell r="J263">
            <v>1952.2924399999999</v>
          </cell>
          <cell r="L263">
            <v>5975.2086400000007</v>
          </cell>
          <cell r="N263">
            <v>57831.191719999995</v>
          </cell>
          <cell r="P263">
            <v>20197.897120000001</v>
          </cell>
          <cell r="R263">
            <v>11923.476920000001</v>
          </cell>
          <cell r="T263">
            <v>7095.3114000000005</v>
          </cell>
          <cell r="U263">
            <v>5616.3754950000002</v>
          </cell>
          <cell r="V263">
            <v>18350.21328</v>
          </cell>
          <cell r="W263">
            <v>22107.707640000001</v>
          </cell>
          <cell r="X263">
            <v>15314.30068</v>
          </cell>
          <cell r="Y263">
            <v>5696.5299449999993</v>
          </cell>
          <cell r="Z263">
            <v>9599.2463100000004</v>
          </cell>
          <cell r="AA263">
            <v>3386.7702400000003</v>
          </cell>
          <cell r="AB263">
            <v>5771.3522699999994</v>
          </cell>
          <cell r="AC263">
            <v>4880.786505</v>
          </cell>
          <cell r="AD263">
            <v>10844.22768</v>
          </cell>
          <cell r="AE263">
            <v>4884.1380000000008</v>
          </cell>
          <cell r="AF263">
            <v>5319.043815</v>
          </cell>
          <cell r="AG263">
            <v>9164.8635300000005</v>
          </cell>
          <cell r="AH263">
            <v>3645.6583799999999</v>
          </cell>
          <cell r="AI263">
            <v>3942.9268000000002</v>
          </cell>
          <cell r="AJ263">
            <v>7255.5330800000011</v>
          </cell>
          <cell r="AK263">
            <v>6763.2850500000004</v>
          </cell>
          <cell r="AL263">
            <v>10953.10232</v>
          </cell>
          <cell r="AM263">
            <v>5191.4707600000002</v>
          </cell>
          <cell r="AN263">
            <v>25565.997760000002</v>
          </cell>
          <cell r="AO263">
            <v>5645.0804399999997</v>
          </cell>
          <cell r="AP263">
            <v>4414.8288400000001</v>
          </cell>
          <cell r="AQ263">
            <v>2850.309765</v>
          </cell>
          <cell r="AR263">
            <v>9230.3314800000007</v>
          </cell>
          <cell r="AS263">
            <v>4123.5715600000003</v>
          </cell>
          <cell r="AT263">
            <v>2877.3975200000004</v>
          </cell>
          <cell r="AU263">
            <v>3049.2507600000004</v>
          </cell>
          <cell r="AV263">
            <v>4745.5614800000003</v>
          </cell>
          <cell r="AW263">
            <v>0</v>
          </cell>
          <cell r="AX263">
            <v>44074.8632</v>
          </cell>
          <cell r="AY263">
            <v>6241.9929999999995</v>
          </cell>
          <cell r="AZ263">
            <v>4430.493195</v>
          </cell>
          <cell r="BA263">
            <v>12110.821120000001</v>
          </cell>
          <cell r="BB263">
            <v>3916.3378800000005</v>
          </cell>
          <cell r="BC263">
            <v>9607.8958000000002</v>
          </cell>
          <cell r="BD263">
            <v>0</v>
          </cell>
          <cell r="BE263">
            <v>2689.9999600000001</v>
          </cell>
          <cell r="BF263">
            <v>8653.2352950000004</v>
          </cell>
          <cell r="BG263">
            <v>5150.7309750000004</v>
          </cell>
          <cell r="BH263">
            <v>4310.3232800000005</v>
          </cell>
          <cell r="BI263">
            <v>12035.81769</v>
          </cell>
          <cell r="BJ263">
            <v>3761.6402849999999</v>
          </cell>
          <cell r="BK263">
            <v>3858.9938249999996</v>
          </cell>
          <cell r="BL263">
            <v>2862.8495600000001</v>
          </cell>
          <cell r="BM263">
            <v>3687.2413200000001</v>
          </cell>
          <cell r="BN263">
            <v>7619.880975</v>
          </cell>
          <cell r="BO263">
            <v>5268.9227250000004</v>
          </cell>
          <cell r="BP263">
            <v>6826.4351099999994</v>
          </cell>
          <cell r="BQ263">
            <v>9140.0150799999992</v>
          </cell>
          <cell r="BR263">
            <v>519801.98066</v>
          </cell>
          <cell r="BS263">
            <v>0.91155289398790718</v>
          </cell>
        </row>
        <row r="264">
          <cell r="B264">
            <v>2013</v>
          </cell>
          <cell r="D264">
            <v>18076.286960000001</v>
          </cell>
          <cell r="F264">
            <v>3407.2006800000004</v>
          </cell>
          <cell r="H264">
            <v>15904.763120000001</v>
          </cell>
          <cell r="J264">
            <v>1952.2924399999999</v>
          </cell>
          <cell r="L264">
            <v>5975.2086400000007</v>
          </cell>
          <cell r="N264">
            <v>57831.191719999995</v>
          </cell>
          <cell r="P264">
            <v>20197.897120000001</v>
          </cell>
          <cell r="R264">
            <v>11923.476920000001</v>
          </cell>
          <cell r="T264">
            <v>7095.3114000000005</v>
          </cell>
          <cell r="U264">
            <v>5727.4337674999997</v>
          </cell>
          <cell r="V264">
            <v>18350.21328</v>
          </cell>
          <cell r="W264">
            <v>22107.707640000001</v>
          </cell>
          <cell r="X264">
            <v>15314.30068</v>
          </cell>
          <cell r="Y264">
            <v>5809.1731924999995</v>
          </cell>
          <cell r="Z264">
            <v>9789.0619150000002</v>
          </cell>
          <cell r="AA264">
            <v>3386.7702400000003</v>
          </cell>
          <cell r="AB264">
            <v>5885.4750549999999</v>
          </cell>
          <cell r="AC264">
            <v>4977.2992324999996</v>
          </cell>
          <cell r="AD264">
            <v>10844.22768</v>
          </cell>
          <cell r="AE264">
            <v>4980.7170000000006</v>
          </cell>
          <cell r="AF264">
            <v>5424.2226474999998</v>
          </cell>
          <cell r="AG264">
            <v>9346.089645</v>
          </cell>
          <cell r="AH264">
            <v>3717.7476699999997</v>
          </cell>
          <cell r="AI264">
            <v>3942.9268000000002</v>
          </cell>
          <cell r="AJ264">
            <v>7255.5330800000011</v>
          </cell>
          <cell r="AK264">
            <v>6897.0223249999999</v>
          </cell>
          <cell r="AL264">
            <v>10953.10232</v>
          </cell>
          <cell r="AM264">
            <v>5191.4707600000002</v>
          </cell>
          <cell r="AN264">
            <v>25565.997760000002</v>
          </cell>
          <cell r="AO264">
            <v>5645.0804399999997</v>
          </cell>
          <cell r="AP264">
            <v>4414.8288400000001</v>
          </cell>
          <cell r="AQ264">
            <v>2906.6718225</v>
          </cell>
          <cell r="AR264">
            <v>9230.3314800000007</v>
          </cell>
          <cell r="AS264">
            <v>4123.5715600000003</v>
          </cell>
          <cell r="AT264">
            <v>2877.3975200000004</v>
          </cell>
          <cell r="AU264">
            <v>3049.2507600000004</v>
          </cell>
          <cell r="AV264">
            <v>4745.5614800000003</v>
          </cell>
          <cell r="AW264">
            <v>0</v>
          </cell>
          <cell r="AX264">
            <v>44074.8632</v>
          </cell>
          <cell r="AY264">
            <v>6241.9929999999995</v>
          </cell>
          <cell r="AZ264">
            <v>4518.1018174999999</v>
          </cell>
          <cell r="BA264">
            <v>12110.821120000001</v>
          </cell>
          <cell r="BB264">
            <v>3916.3378800000005</v>
          </cell>
          <cell r="BC264">
            <v>9607.8958000000002</v>
          </cell>
          <cell r="BD264">
            <v>0</v>
          </cell>
          <cell r="BE264">
            <v>2689.9999600000001</v>
          </cell>
          <cell r="BF264">
            <v>8824.3444674999992</v>
          </cell>
          <cell r="BG264">
            <v>5252.5815875000008</v>
          </cell>
          <cell r="BH264">
            <v>4310.3232800000005</v>
          </cell>
          <cell r="BI264">
            <v>12273.814085</v>
          </cell>
          <cell r="BJ264">
            <v>3836.0230024999996</v>
          </cell>
          <cell r="BK264">
            <v>3935.3016124999995</v>
          </cell>
          <cell r="BL264">
            <v>2862.8495600000001</v>
          </cell>
          <cell r="BM264">
            <v>3687.2413200000001</v>
          </cell>
          <cell r="BN264">
            <v>7770.5565874999993</v>
          </cell>
          <cell r="BO264">
            <v>5373.1104624999998</v>
          </cell>
          <cell r="BP264">
            <v>6961.4211149999992</v>
          </cell>
          <cell r="BQ264">
            <v>9140.0150799999992</v>
          </cell>
          <cell r="BR264">
            <v>522210.41053000005</v>
          </cell>
          <cell r="BS264">
            <v>0.91577644699395366</v>
          </cell>
        </row>
        <row r="265">
          <cell r="B265">
            <v>2014</v>
          </cell>
          <cell r="D265">
            <v>18076.286960000001</v>
          </cell>
          <cell r="F265">
            <v>3407.2006800000004</v>
          </cell>
          <cell r="H265">
            <v>15904.763120000001</v>
          </cell>
          <cell r="J265">
            <v>1952.2924399999999</v>
          </cell>
          <cell r="L265">
            <v>5975.2086400000007</v>
          </cell>
          <cell r="N265">
            <v>57831.191719999995</v>
          </cell>
          <cell r="P265">
            <v>20197.897120000001</v>
          </cell>
          <cell r="R265">
            <v>11923.476920000001</v>
          </cell>
          <cell r="T265">
            <v>7095.3114000000005</v>
          </cell>
          <cell r="U265">
            <v>5838.4920400000001</v>
          </cell>
          <cell r="V265">
            <v>18350.21328</v>
          </cell>
          <cell r="W265">
            <v>22107.707640000001</v>
          </cell>
          <cell r="X265">
            <v>15314.30068</v>
          </cell>
          <cell r="Y265">
            <v>5921.8164399999996</v>
          </cell>
          <cell r="Z265">
            <v>9978.87752</v>
          </cell>
          <cell r="AA265">
            <v>3386.7702400000003</v>
          </cell>
          <cell r="AB265">
            <v>5999.5978400000004</v>
          </cell>
          <cell r="AC265">
            <v>5073.81196</v>
          </cell>
          <cell r="AD265">
            <v>10844.22768</v>
          </cell>
          <cell r="AE265">
            <v>5077.2960000000012</v>
          </cell>
          <cell r="AF265">
            <v>5529.4014800000004</v>
          </cell>
          <cell r="AG265">
            <v>9527.3157600000013</v>
          </cell>
          <cell r="AH265">
            <v>3789.8369600000001</v>
          </cell>
          <cell r="AI265">
            <v>3942.9268000000002</v>
          </cell>
          <cell r="AJ265">
            <v>7255.5330800000011</v>
          </cell>
          <cell r="AK265">
            <v>7030.7596000000003</v>
          </cell>
          <cell r="AL265">
            <v>10953.10232</v>
          </cell>
          <cell r="AM265">
            <v>5191.4707600000002</v>
          </cell>
          <cell r="AN265">
            <v>25565.997760000002</v>
          </cell>
          <cell r="AO265">
            <v>5645.0804399999997</v>
          </cell>
          <cell r="AP265">
            <v>4414.8288400000001</v>
          </cell>
          <cell r="AQ265">
            <v>2963.03388</v>
          </cell>
          <cell r="AR265">
            <v>9230.3314800000007</v>
          </cell>
          <cell r="AS265">
            <v>4123.5715600000003</v>
          </cell>
          <cell r="AT265">
            <v>2877.3975200000004</v>
          </cell>
          <cell r="AU265">
            <v>3049.2507600000004</v>
          </cell>
          <cell r="AV265">
            <v>4745.5614800000003</v>
          </cell>
          <cell r="AW265">
            <v>0</v>
          </cell>
          <cell r="AX265">
            <v>44074.8632</v>
          </cell>
          <cell r="AY265">
            <v>6241.9929999999995</v>
          </cell>
          <cell r="AZ265">
            <v>4605.7104400000007</v>
          </cell>
          <cell r="BA265">
            <v>12110.821120000001</v>
          </cell>
          <cell r="BB265">
            <v>3916.3378800000005</v>
          </cell>
          <cell r="BC265">
            <v>9607.8958000000002</v>
          </cell>
          <cell r="BD265">
            <v>0</v>
          </cell>
          <cell r="BE265">
            <v>2689.9999600000001</v>
          </cell>
          <cell r="BF265">
            <v>8995.4536399999997</v>
          </cell>
          <cell r="BG265">
            <v>5354.4322000000011</v>
          </cell>
          <cell r="BH265">
            <v>4310.3232800000005</v>
          </cell>
          <cell r="BI265">
            <v>12511.81048</v>
          </cell>
          <cell r="BJ265">
            <v>3910.4057200000002</v>
          </cell>
          <cell r="BK265">
            <v>4011.6093999999998</v>
          </cell>
          <cell r="BL265">
            <v>2862.8495600000001</v>
          </cell>
          <cell r="BM265">
            <v>3687.2413200000001</v>
          </cell>
          <cell r="BN265">
            <v>7921.2322000000004</v>
          </cell>
          <cell r="BO265">
            <v>5477.2982000000002</v>
          </cell>
          <cell r="BP265">
            <v>7096.4071199999989</v>
          </cell>
          <cell r="BQ265">
            <v>9140.0150799999992</v>
          </cell>
          <cell r="BR265">
            <v>524618.8404000001</v>
          </cell>
          <cell r="BS265">
            <v>0.92000000000000015</v>
          </cell>
        </row>
        <row r="267">
          <cell r="B267" t="str">
            <v>ביוב ממוצע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אשכול חברתי לרשויות"/>
      <sheetName val="נתוני תאגידים"/>
      <sheetName val="התפלגות מים 2009"/>
      <sheetName val="התפלגות מים 2008"/>
      <sheetName val="נתוני מים 2008"/>
      <sheetName val="הנחות עבודה כלליות למקורות"/>
      <sheetName val="הנחות עבודה כלליות"/>
      <sheetName val="חישוב עלויות תפעול"/>
      <sheetName val="תאגידים ומט&quot;שים יוני 2010"/>
      <sheetName val="המדד המשוקלל"/>
      <sheetName val="מדדי חשמל"/>
      <sheetName val="מדד תפוקות התעשייה"/>
      <sheetName val="מדד המחירים לצרכן"/>
      <sheetName val="מדד שכר ציבורי"/>
      <sheetName val="גיליון חישוב לסובב שפרעם ופלג ה"/>
      <sheetName val="תאגידים ומט&quot;שים מעודכן"/>
      <sheetName val="גיליון11"/>
      <sheetName val="2013"/>
      <sheetName val="2012"/>
      <sheetName val="2011"/>
      <sheetName val="2010"/>
      <sheetName val="נתונים לפי חלוקה לתאגידים"/>
      <sheetName val="גיליון מרכז"/>
      <sheetName val="גיליון מרכז 2012"/>
      <sheetName val="גיליון מרכז 2013"/>
      <sheetName val="רשימת נכסים מהקובץ"/>
      <sheetName val="נתוני דיווח רשויות מקומיות 2010"/>
      <sheetName val="גיליון1"/>
      <sheetName val="גיליון2"/>
      <sheetName val="תעריף השלמה לרשויות מקומיות"/>
      <sheetName val="קובץ בדיקה"/>
      <sheetName val="בדיקה לפי מאקרו"/>
    </sheetNames>
    <sheetDataSet>
      <sheetData sheetId="0">
        <row r="1">
          <cell r="A1" t="str">
            <v xml:space="preserve">לוח 1.- המועצות המקומיות והעיריות לפי סדר א''ב - דירוג, שיוך לאשכול, אוכלוסייה, </v>
          </cell>
        </row>
      </sheetData>
      <sheetData sheetId="1">
        <row r="1">
          <cell r="A1" t="str">
            <v>.</v>
          </cell>
        </row>
        <row r="245">
          <cell r="B245" t="str">
            <v>עלויות לתאגיד ללא מקורות משוקלל</v>
          </cell>
          <cell r="D245">
            <v>19648.137999999999</v>
          </cell>
          <cell r="E245">
            <v>0</v>
          </cell>
          <cell r="F245">
            <v>3703.4790000000003</v>
          </cell>
          <cell r="G245">
            <v>0</v>
          </cell>
          <cell r="H245">
            <v>17287.786</v>
          </cell>
          <cell r="I245">
            <v>0</v>
          </cell>
          <cell r="J245">
            <v>2122.0569999999998</v>
          </cell>
          <cell r="K245">
            <v>0</v>
          </cell>
          <cell r="L245">
            <v>6494.7920000000004</v>
          </cell>
          <cell r="M245">
            <v>0</v>
          </cell>
          <cell r="N245">
            <v>62859.990999999995</v>
          </cell>
          <cell r="O245">
            <v>0</v>
          </cell>
          <cell r="P245">
            <v>21954.236000000001</v>
          </cell>
          <cell r="Q245">
            <v>0</v>
          </cell>
          <cell r="R245">
            <v>12960.301000000001</v>
          </cell>
          <cell r="S245">
            <v>0</v>
          </cell>
          <cell r="T245">
            <v>7712.2950000000001</v>
          </cell>
          <cell r="U245">
            <v>6346.1869999999999</v>
          </cell>
          <cell r="V245">
            <v>19945.883999999998</v>
          </cell>
          <cell r="W245">
            <v>24030.116999999998</v>
          </cell>
          <cell r="X245">
            <v>16645.978999999999</v>
          </cell>
          <cell r="Y245">
            <v>6679.9809999999998</v>
          </cell>
          <cell r="Z245">
            <v>10846.606</v>
          </cell>
          <cell r="AA245">
            <v>3681.2719999999999</v>
          </cell>
          <cell r="AB245">
            <v>6521.3019999999997</v>
          </cell>
          <cell r="AC245">
            <v>5515.0129999999999</v>
          </cell>
          <cell r="AD245">
            <v>11787.204</v>
          </cell>
          <cell r="AE245">
            <v>5518.8000000000011</v>
          </cell>
          <cell r="AF245">
            <v>6010.2190000000001</v>
          </cell>
          <cell r="AG245">
            <v>10355.778</v>
          </cell>
          <cell r="AH245">
            <v>4119.3879999999999</v>
          </cell>
          <cell r="AI245">
            <v>4285.79</v>
          </cell>
          <cell r="AJ245">
            <v>7886.4490000000005</v>
          </cell>
          <cell r="AK245">
            <v>7642.13</v>
          </cell>
          <cell r="AL245">
            <v>11905.545999999998</v>
          </cell>
          <cell r="AM245">
            <v>5642.9030000000002</v>
          </cell>
          <cell r="AN245">
            <v>27789.128000000001</v>
          </cell>
          <cell r="AO245">
            <v>6135.9569999999994</v>
          </cell>
          <cell r="AP245">
            <v>4798.7269999999999</v>
          </cell>
          <cell r="AQ245">
            <v>3220.6889999999999</v>
          </cell>
          <cell r="AR245">
            <v>10032.969000000001</v>
          </cell>
          <cell r="AS245">
            <v>4482.143</v>
          </cell>
          <cell r="AT245">
            <v>3127.6060000000002</v>
          </cell>
          <cell r="AU245">
            <v>3314.4030000000002</v>
          </cell>
          <cell r="AV245">
            <v>5158.2190000000001</v>
          </cell>
          <cell r="AW245">
            <v>0</v>
          </cell>
          <cell r="AX245">
            <v>47907.46</v>
          </cell>
          <cell r="AY245">
            <v>6784.7749999999996</v>
          </cell>
          <cell r="AZ245">
            <v>5006.2070000000003</v>
          </cell>
          <cell r="BA245">
            <v>13163.936</v>
          </cell>
          <cell r="BB245">
            <v>4256.8890000000001</v>
          </cell>
          <cell r="BC245">
            <v>10443.365</v>
          </cell>
          <cell r="BD245">
            <v>0</v>
          </cell>
          <cell r="BE245">
            <v>2923.913</v>
          </cell>
          <cell r="BF245">
            <v>9777.6669999999995</v>
          </cell>
          <cell r="BG245">
            <v>5820.0350000000008</v>
          </cell>
          <cell r="BH245">
            <v>4685.134</v>
          </cell>
          <cell r="BI245">
            <v>13599.794</v>
          </cell>
          <cell r="BJ245">
            <v>4250.4409999999998</v>
          </cell>
          <cell r="BK245">
            <v>4360.4449999999997</v>
          </cell>
          <cell r="BL245">
            <v>3111.7930000000001</v>
          </cell>
          <cell r="BM245">
            <v>4007.8710000000001</v>
          </cell>
          <cell r="BN245">
            <v>8610.0349999999999</v>
          </cell>
          <cell r="BO245">
            <v>5953.585</v>
          </cell>
          <cell r="BP245">
            <v>7713.485999999999</v>
          </cell>
          <cell r="BQ245">
            <v>9934.7989999999991</v>
          </cell>
          <cell r="BR245">
            <v>570481.09399999992</v>
          </cell>
        </row>
        <row r="246">
          <cell r="B246">
            <v>2010</v>
          </cell>
          <cell r="D246">
            <v>38922.798991729367</v>
          </cell>
          <cell r="F246">
            <v>7419.9700766800652</v>
          </cell>
          <cell r="H246">
            <v>33930.777347117219</v>
          </cell>
          <cell r="J246">
            <v>4605.1160389857896</v>
          </cell>
          <cell r="L246">
            <v>14974.199593644849</v>
          </cell>
          <cell r="N246">
            <v>135444.4702798716</v>
          </cell>
          <cell r="P246">
            <v>48094.883491584784</v>
          </cell>
          <cell r="R246">
            <v>20644.207811602715</v>
          </cell>
          <cell r="T246">
            <v>15660.99471746637</v>
          </cell>
          <cell r="U246">
            <v>14718.304178262044</v>
          </cell>
          <cell r="V246">
            <v>34161.261658219642</v>
          </cell>
          <cell r="W246">
            <v>43590.573414543425</v>
          </cell>
          <cell r="X246">
            <v>29977.667030388104</v>
          </cell>
          <cell r="Y246">
            <v>15422.535311733833</v>
          </cell>
          <cell r="Z246">
            <v>18682.582612077062</v>
          </cell>
          <cell r="AA246">
            <v>6784.4962734104374</v>
          </cell>
          <cell r="AB246">
            <v>10884.1149921014</v>
          </cell>
          <cell r="AC246">
            <v>10381.526846293649</v>
          </cell>
          <cell r="AD246">
            <v>22031.386429602713</v>
          </cell>
          <cell r="AE246">
            <v>11507.451658232891</v>
          </cell>
          <cell r="AF246">
            <v>12498.140349398009</v>
          </cell>
          <cell r="AG246">
            <v>19940.711664629467</v>
          </cell>
          <cell r="AH246">
            <v>9643.8250808718512</v>
          </cell>
          <cell r="AI246">
            <v>8454.2865307460324</v>
          </cell>
          <cell r="AJ246">
            <v>16129.36502572566</v>
          </cell>
          <cell r="AK246">
            <v>13541.653987248557</v>
          </cell>
          <cell r="AL246">
            <v>21064.750185368979</v>
          </cell>
          <cell r="AM246">
            <v>10851.205763868476</v>
          </cell>
          <cell r="AN246">
            <v>62159.792850030557</v>
          </cell>
          <cell r="AO246">
            <v>10443.900634951742</v>
          </cell>
          <cell r="AP246">
            <v>9680.1336072944414</v>
          </cell>
          <cell r="AQ246">
            <v>7407.3991510987707</v>
          </cell>
          <cell r="AR246">
            <v>16075.347848340494</v>
          </cell>
          <cell r="AS246">
            <v>8477.6494718288141</v>
          </cell>
          <cell r="AT246">
            <v>5229.1897417377213</v>
          </cell>
          <cell r="AU246">
            <v>5508.2095144319992</v>
          </cell>
          <cell r="AV246">
            <v>9706.7594827030316</v>
          </cell>
          <cell r="AW246">
            <v>0</v>
          </cell>
          <cell r="AX246">
            <v>92751.581814188699</v>
          </cell>
          <cell r="AY246">
            <v>13632.346715824195</v>
          </cell>
          <cell r="AZ246">
            <v>0</v>
          </cell>
          <cell r="BA246">
            <v>23995.321199386388</v>
          </cell>
          <cell r="BB246">
            <v>7930.6742482229083</v>
          </cell>
          <cell r="BC246">
            <v>15537.255766509727</v>
          </cell>
          <cell r="BD246">
            <v>0</v>
          </cell>
          <cell r="BE246">
            <v>5584.6609049956332</v>
          </cell>
          <cell r="BF246">
            <v>20016.972704062606</v>
          </cell>
          <cell r="BG246">
            <v>10833.32354967394</v>
          </cell>
          <cell r="BH246">
            <v>8905.2966768384176</v>
          </cell>
          <cell r="BI246">
            <v>27256.221204244917</v>
          </cell>
          <cell r="BJ246">
            <v>9888.5766642909784</v>
          </cell>
          <cell r="BK246">
            <v>7910.6691131359394</v>
          </cell>
          <cell r="BL246">
            <v>5287.4494235925667</v>
          </cell>
          <cell r="BM246">
            <v>8185.4986718941727</v>
          </cell>
          <cell r="BN246">
            <v>18227.073557853935</v>
          </cell>
          <cell r="BO246">
            <v>12727.398205639025</v>
          </cell>
          <cell r="BP246">
            <v>13939.561803738256</v>
          </cell>
          <cell r="BQ246">
            <v>0</v>
          </cell>
          <cell r="BR246">
            <v>1087261.5218679151</v>
          </cell>
          <cell r="BS246">
            <v>1.9058677549582654</v>
          </cell>
        </row>
        <row r="247">
          <cell r="B247">
            <v>2011</v>
          </cell>
          <cell r="D247">
            <v>37983.18333279818</v>
          </cell>
          <cell r="F247">
            <v>7251.6341382606233</v>
          </cell>
          <cell r="H247">
            <v>33108.753173833742</v>
          </cell>
          <cell r="J247">
            <v>4527.5763230354269</v>
          </cell>
          <cell r="L247">
            <v>14782.899009845882</v>
          </cell>
          <cell r="N247">
            <v>133092.32397696422</v>
          </cell>
          <cell r="P247">
            <v>47313.960030326074</v>
          </cell>
          <cell r="R247">
            <v>19772.486900342468</v>
          </cell>
          <cell r="T247">
            <v>15321.216275565252</v>
          </cell>
          <cell r="U247">
            <v>14501.328273036281</v>
          </cell>
          <cell r="V247">
            <v>32947.589804026124</v>
          </cell>
          <cell r="W247">
            <v>42257.744748814301</v>
          </cell>
          <cell r="X247">
            <v>29042.808838030116</v>
          </cell>
          <cell r="Y247">
            <v>15190.146868656031</v>
          </cell>
          <cell r="Z247">
            <v>17941.379849612938</v>
          </cell>
          <cell r="AA247">
            <v>6585.9838816357287</v>
          </cell>
          <cell r="AB247">
            <v>10418.548142401216</v>
          </cell>
          <cell r="AC247">
            <v>10055.136291932969</v>
          </cell>
          <cell r="AD247">
            <v>21412.121966118448</v>
          </cell>
          <cell r="AE247">
            <v>11244.847248096317</v>
          </cell>
          <cell r="AF247">
            <v>12210.20793282207</v>
          </cell>
          <cell r="AG247">
            <v>19353.401066827159</v>
          </cell>
          <cell r="AH247">
            <v>9508.1321639500056</v>
          </cell>
          <cell r="AI247">
            <v>8252.7054449461066</v>
          </cell>
          <cell r="AJ247">
            <v>15788.841231310313</v>
          </cell>
          <cell r="AK247">
            <v>13041.088718440495</v>
          </cell>
          <cell r="AL247">
            <v>20376.144667900662</v>
          </cell>
          <cell r="AM247">
            <v>10570.90462259645</v>
          </cell>
          <cell r="AN247">
            <v>61242.911103480707</v>
          </cell>
          <cell r="AO247">
            <v>10067.076992894697</v>
          </cell>
          <cell r="AP247">
            <v>9465.799659191398</v>
          </cell>
          <cell r="AQ247">
            <v>7293.7287689495652</v>
          </cell>
          <cell r="AR247">
            <v>15405.973081660642</v>
          </cell>
          <cell r="AS247">
            <v>8247.4908737862042</v>
          </cell>
          <cell r="AT247">
            <v>5032.1073330325135</v>
          </cell>
          <cell r="AU247">
            <v>5297.5869562547678</v>
          </cell>
          <cell r="AV247">
            <v>9439.2463838229651</v>
          </cell>
          <cell r="AW247">
            <v>0</v>
          </cell>
          <cell r="AX247">
            <v>90405.150140095939</v>
          </cell>
          <cell r="AY247">
            <v>13326.43136058163</v>
          </cell>
          <cell r="AZ247">
            <v>10300.824475937488</v>
          </cell>
          <cell r="BA247">
            <v>23271.347538881681</v>
          </cell>
          <cell r="BB247">
            <v>7705.6563369239921</v>
          </cell>
          <cell r="BC247">
            <v>14776.9610272554</v>
          </cell>
          <cell r="BD247">
            <v>0</v>
          </cell>
          <cell r="BE247">
            <v>5437.402740148892</v>
          </cell>
          <cell r="BF247">
            <v>19530.501366424567</v>
          </cell>
          <cell r="BG247">
            <v>10481.936849017457</v>
          </cell>
          <cell r="BH247">
            <v>8667.093568012886</v>
          </cell>
          <cell r="BI247">
            <v>26546.090048473758</v>
          </cell>
          <cell r="BJ247">
            <v>9745.0165113508301</v>
          </cell>
          <cell r="BK247">
            <v>7635.5882562195138</v>
          </cell>
          <cell r="BL247">
            <v>5095.8644923974844</v>
          </cell>
          <cell r="BM247">
            <v>8011.896781161844</v>
          </cell>
          <cell r="BN247">
            <v>17833.05209872255</v>
          </cell>
          <cell r="BO247">
            <v>12462.033612043917</v>
          </cell>
          <cell r="BP247">
            <v>13449.85423832758</v>
          </cell>
          <cell r="BQ247">
            <v>11258.873806186799</v>
          </cell>
          <cell r="BR247">
            <v>1081286.5913233634</v>
          </cell>
          <cell r="BS247">
            <v>1.8953942605560974</v>
          </cell>
        </row>
        <row r="248">
          <cell r="B248">
            <v>2012</v>
          </cell>
          <cell r="D248">
            <v>37485.996032379473</v>
          </cell>
          <cell r="F248">
            <v>7157.9192668480064</v>
          </cell>
          <cell r="H248">
            <v>32671.293519816838</v>
          </cell>
          <cell r="J248">
            <v>4473.8786244970406</v>
          </cell>
          <cell r="L248">
            <v>14618.551217639768</v>
          </cell>
          <cell r="N248">
            <v>131501.68015974169</v>
          </cell>
          <cell r="P248">
            <v>46758.417956588848</v>
          </cell>
          <cell r="R248">
            <v>19444.532309082781</v>
          </cell>
          <cell r="T248">
            <v>15126.060117201405</v>
          </cell>
          <cell r="U248">
            <v>13810.146355454075</v>
          </cell>
          <cell r="V248">
            <v>32442.868174911717</v>
          </cell>
          <cell r="W248">
            <v>41649.673439462968</v>
          </cell>
          <cell r="X248">
            <v>28621.589821661415</v>
          </cell>
          <cell r="Y248">
            <v>14465.266382234442</v>
          </cell>
          <cell r="Z248">
            <v>17005.94585982613</v>
          </cell>
          <cell r="AA248">
            <v>6492.8309483762523</v>
          </cell>
          <cell r="AB248">
            <v>9869.3725576581783</v>
          </cell>
          <cell r="AC248">
            <v>9545.994894984151</v>
          </cell>
          <cell r="AD248">
            <v>21113.852067146614</v>
          </cell>
          <cell r="AE248">
            <v>10692.856133224052</v>
          </cell>
          <cell r="AF248">
            <v>11610.356101263242</v>
          </cell>
          <cell r="AG248">
            <v>18380.388856373753</v>
          </cell>
          <cell r="AH248">
            <v>9056.0588919632301</v>
          </cell>
          <cell r="AI248">
            <v>8144.2554554223416</v>
          </cell>
          <cell r="AJ248">
            <v>15589.278184257211</v>
          </cell>
          <cell r="AK248">
            <v>12367.634356301029</v>
          </cell>
          <cell r="AL248">
            <v>20074.88017781256</v>
          </cell>
          <cell r="AM248">
            <v>10428.113498618459</v>
          </cell>
          <cell r="AN248">
            <v>60539.719710417914</v>
          </cell>
          <cell r="AO248">
            <v>9911.8093590702993</v>
          </cell>
          <cell r="AP248">
            <v>9344.3700294434639</v>
          </cell>
          <cell r="AQ248">
            <v>6945.314507129202</v>
          </cell>
          <cell r="AR248">
            <v>15152.093310850067</v>
          </cell>
          <cell r="AS248">
            <v>8134.0722598564453</v>
          </cell>
          <cell r="AT248">
            <v>4952.9646690348682</v>
          </cell>
          <cell r="AU248">
            <v>5213.717478135789</v>
          </cell>
          <cell r="AV248">
            <v>9308.7199706036336</v>
          </cell>
          <cell r="AW248">
            <v>0</v>
          </cell>
          <cell r="AX248">
            <v>89192.873398792653</v>
          </cell>
          <cell r="AY248">
            <v>13154.745678905414</v>
          </cell>
          <cell r="AZ248">
            <v>9796.4949975786622</v>
          </cell>
          <cell r="BA248">
            <v>22938.240055479197</v>
          </cell>
          <cell r="BB248">
            <v>7597.9376742144732</v>
          </cell>
          <cell r="BC248">
            <v>14512.696370134343</v>
          </cell>
          <cell r="BD248">
            <v>0</v>
          </cell>
          <cell r="BE248">
            <v>5363.4144359579732</v>
          </cell>
          <cell r="BF248">
            <v>18566.623448705835</v>
          </cell>
          <cell r="BG248">
            <v>9949.2829151874903</v>
          </cell>
          <cell r="BH248">
            <v>8548.5383580708585</v>
          </cell>
          <cell r="BI248">
            <v>25227.668754032875</v>
          </cell>
          <cell r="BJ248">
            <v>9280.9183893258196</v>
          </cell>
          <cell r="BK248">
            <v>7244.3362829424932</v>
          </cell>
          <cell r="BL248">
            <v>5017.1219692570312</v>
          </cell>
          <cell r="BM248">
            <v>7910.4794070108464</v>
          </cell>
          <cell r="BN248">
            <v>16961.467668090005</v>
          </cell>
          <cell r="BO248">
            <v>11854.651508719511</v>
          </cell>
          <cell r="BP248">
            <v>12759.799398802716</v>
          </cell>
          <cell r="BQ248">
            <v>11007.47818309964</v>
          </cell>
          <cell r="BR248">
            <v>1056987.2415495974</v>
          </cell>
          <cell r="BS248">
            <v>1.8527997731500589</v>
          </cell>
        </row>
        <row r="249">
          <cell r="B249">
            <v>2013</v>
          </cell>
          <cell r="D249">
            <v>37012.747685437775</v>
          </cell>
          <cell r="F249">
            <v>7068.7166505653167</v>
          </cell>
          <cell r="H249">
            <v>32254.897006987892</v>
          </cell>
          <cell r="J249">
            <v>4422.766403717339</v>
          </cell>
          <cell r="L249">
            <v>14462.116568324391</v>
          </cell>
          <cell r="N249">
            <v>129987.62387463624</v>
          </cell>
          <cell r="P249">
            <v>46229.624546477011</v>
          </cell>
          <cell r="R249">
            <v>19132.368325700907</v>
          </cell>
          <cell r="T249">
            <v>14940.300486447757</v>
          </cell>
          <cell r="U249">
            <v>13166.533940626641</v>
          </cell>
          <cell r="V249">
            <v>31962.448267880787</v>
          </cell>
          <cell r="W249">
            <v>41070.880011451336</v>
          </cell>
          <cell r="X249">
            <v>28220.651979868144</v>
          </cell>
          <cell r="Y249">
            <v>13790.316456010181</v>
          </cell>
          <cell r="Z249">
            <v>16138.762366713412</v>
          </cell>
          <cell r="AA249">
            <v>6404.1632136197695</v>
          </cell>
          <cell r="AB249">
            <v>9360.5286468411341</v>
          </cell>
          <cell r="AC249">
            <v>9073.3348825308876</v>
          </cell>
          <cell r="AD249">
            <v>20829.943494839936</v>
          </cell>
          <cell r="AE249">
            <v>10179.627463561163</v>
          </cell>
          <cell r="AF249">
            <v>11052.649765400192</v>
          </cell>
          <cell r="AG249">
            <v>17476.780414018431</v>
          </cell>
          <cell r="AH249">
            <v>8635.0450362876891</v>
          </cell>
          <cell r="AI249">
            <v>8041.0271987377</v>
          </cell>
          <cell r="AJ249">
            <v>15399.323851053219</v>
          </cell>
          <cell r="AK249">
            <v>11743.030232346557</v>
          </cell>
          <cell r="AL249">
            <v>19788.121200247442</v>
          </cell>
          <cell r="AM249">
            <v>10292.197590622376</v>
          </cell>
          <cell r="AN249">
            <v>59870.386113058645</v>
          </cell>
          <cell r="AO249">
            <v>9764.0176697430288</v>
          </cell>
          <cell r="AP249">
            <v>9228.7870861551746</v>
          </cell>
          <cell r="AQ249">
            <v>6620.9164620135616</v>
          </cell>
          <cell r="AR249">
            <v>14910.437536945825</v>
          </cell>
          <cell r="AS249">
            <v>8026.1146118845973</v>
          </cell>
          <cell r="AT249">
            <v>4877.6326264064555</v>
          </cell>
          <cell r="AU249">
            <v>5133.88621163875</v>
          </cell>
          <cell r="AV249">
            <v>9184.4782427150531</v>
          </cell>
          <cell r="AW249">
            <v>0</v>
          </cell>
          <cell r="AX249">
            <v>88038.966282954207</v>
          </cell>
          <cell r="AY249">
            <v>12991.326450420691</v>
          </cell>
          <cell r="AZ249">
            <v>9327.51918101714</v>
          </cell>
          <cell r="BA249">
            <v>22621.171285336888</v>
          </cell>
          <cell r="BB249">
            <v>7495.405531862647</v>
          </cell>
          <cell r="BC249">
            <v>14261.155729349004</v>
          </cell>
          <cell r="BD249">
            <v>0</v>
          </cell>
          <cell r="BE249">
            <v>5292.9885770877145</v>
          </cell>
          <cell r="BF249">
            <v>17670.673318033183</v>
          </cell>
          <cell r="BG249">
            <v>9454.881397133775</v>
          </cell>
          <cell r="BH249">
            <v>8435.6914348305836</v>
          </cell>
          <cell r="BI249">
            <v>24002.547913854094</v>
          </cell>
          <cell r="BJ249">
            <v>8848.7426687450297</v>
          </cell>
          <cell r="BK249">
            <v>6881.328448822871</v>
          </cell>
          <cell r="BL249">
            <v>4942.1708011985247</v>
          </cell>
          <cell r="BM249">
            <v>7813.945153968366</v>
          </cell>
          <cell r="BN249">
            <v>16150.91007751357</v>
          </cell>
          <cell r="BO249">
            <v>11289.717533395366</v>
          </cell>
          <cell r="BP249">
            <v>12119.598323925007</v>
          </cell>
          <cell r="BQ249">
            <v>10768.186948278913</v>
          </cell>
          <cell r="BR249">
            <v>1034160.1111792405</v>
          </cell>
          <cell r="BS249">
            <v>1.8127859486597475</v>
          </cell>
        </row>
        <row r="250">
          <cell r="B250">
            <v>2014</v>
          </cell>
          <cell r="D250">
            <v>35805.069392097437</v>
          </cell>
          <cell r="F250">
            <v>6839.9874595059746</v>
          </cell>
          <cell r="H250">
            <v>31196.899984236876</v>
          </cell>
          <cell r="J250">
            <v>4286.0844720288669</v>
          </cell>
          <cell r="L250">
            <v>14030.844279401319</v>
          </cell>
          <cell r="N250">
            <v>125957.61449294483</v>
          </cell>
          <cell r="P250">
            <v>44811.246645675987</v>
          </cell>
          <cell r="R250">
            <v>18414.466488147515</v>
          </cell>
          <cell r="T250">
            <v>14461.081871408429</v>
          </cell>
          <cell r="U250">
            <v>12479.281731760668</v>
          </cell>
          <cell r="V250">
            <v>30819.547773958941</v>
          </cell>
          <cell r="W250">
            <v>39656.115217592334</v>
          </cell>
          <cell r="X250">
            <v>27244.015808781092</v>
          </cell>
          <cell r="Y250">
            <v>13069.38979383838</v>
          </cell>
          <cell r="Z250">
            <v>15193.140659878503</v>
          </cell>
          <cell r="AA250">
            <v>6185.7714289925088</v>
          </cell>
          <cell r="AB250">
            <v>8804.3180716870629</v>
          </cell>
          <cell r="AC250">
            <v>8561.3174415332342</v>
          </cell>
          <cell r="AD250">
            <v>20125.881419771522</v>
          </cell>
          <cell r="AE250">
            <v>9627.6799426226862</v>
          </cell>
          <cell r="AF250">
            <v>10452.75665618229</v>
          </cell>
          <cell r="AG250">
            <v>16499.534684659015</v>
          </cell>
          <cell r="AH250">
            <v>8185.7575930786725</v>
          </cell>
          <cell r="AI250">
            <v>7778.1350116902822</v>
          </cell>
          <cell r="AJ250">
            <v>14906.669966868994</v>
          </cell>
          <cell r="AK250">
            <v>11063.386578244254</v>
          </cell>
          <cell r="AL250">
            <v>19095.453739362325</v>
          </cell>
          <cell r="AM250">
            <v>9950.4143319183422</v>
          </cell>
          <cell r="AN250">
            <v>58051.665873004662</v>
          </cell>
          <cell r="AO250">
            <v>9413.4393841184465</v>
          </cell>
          <cell r="AP250">
            <v>8931.1045897326712</v>
          </cell>
          <cell r="AQ250">
            <v>6274.3342599326661</v>
          </cell>
          <cell r="AR250">
            <v>14352.771626276341</v>
          </cell>
          <cell r="AS250">
            <v>7756.8354944210059</v>
          </cell>
          <cell r="AT250">
            <v>4700.4016834984495</v>
          </cell>
          <cell r="AU250">
            <v>4946.5876352853802</v>
          </cell>
          <cell r="AV250">
            <v>8875.3532650454272</v>
          </cell>
          <cell r="AW250">
            <v>0</v>
          </cell>
          <cell r="AX250">
            <v>85127.538113256858</v>
          </cell>
          <cell r="AY250">
            <v>12571.283109884413</v>
          </cell>
          <cell r="AZ250">
            <v>8823.477273564944</v>
          </cell>
          <cell r="BA250">
            <v>21844.346461467489</v>
          </cell>
          <cell r="BB250">
            <v>7241.5388763171832</v>
          </cell>
          <cell r="BC250">
            <v>13699.263520770777</v>
          </cell>
          <cell r="BD250">
            <v>0</v>
          </cell>
          <cell r="BE250">
            <v>5116.4812419820519</v>
          </cell>
          <cell r="BF250">
            <v>16705.904336958243</v>
          </cell>
          <cell r="BG250">
            <v>8918.8213250126901</v>
          </cell>
          <cell r="BH250">
            <v>8153.4810939328172</v>
          </cell>
          <cell r="BI250">
            <v>22681.358366953536</v>
          </cell>
          <cell r="BJ250">
            <v>8387.3569552329409</v>
          </cell>
          <cell r="BK250">
            <v>6487.0256819201195</v>
          </cell>
          <cell r="BL250">
            <v>4764.5194010023561</v>
          </cell>
          <cell r="BM250">
            <v>7563.6999345123468</v>
          </cell>
          <cell r="BN250">
            <v>15280.109113973736</v>
          </cell>
          <cell r="BO250">
            <v>10683.200764751353</v>
          </cell>
          <cell r="BP250">
            <v>11424.00530766209</v>
          </cell>
          <cell r="BQ250">
            <v>10258.820000697337</v>
          </cell>
          <cell r="BR250">
            <v>994536.58762903651</v>
          </cell>
          <cell r="BS250">
            <v>1.7433296179119946</v>
          </cell>
        </row>
        <row r="253">
          <cell r="B253">
            <v>2010</v>
          </cell>
          <cell r="D253">
            <v>16087.895394400002</v>
          </cell>
          <cell r="F253">
            <v>3032.4086052000002</v>
          </cell>
          <cell r="H253">
            <v>14155.239176800002</v>
          </cell>
          <cell r="J253">
            <v>1737.5402715999999</v>
          </cell>
          <cell r="L253">
            <v>5317.9356896000008</v>
          </cell>
          <cell r="N253">
            <v>51469.760630799996</v>
          </cell>
          <cell r="P253">
            <v>17976.128436800002</v>
          </cell>
          <cell r="R253">
            <v>10611.894458800001</v>
          </cell>
          <cell r="T253">
            <v>6314.8271460000005</v>
          </cell>
          <cell r="U253">
            <v>4746.9478759999993</v>
          </cell>
          <cell r="V253">
            <v>16331.689819200001</v>
          </cell>
          <cell r="W253">
            <v>19675.859799600003</v>
          </cell>
          <cell r="X253">
            <v>13629.7276052</v>
          </cell>
          <cell r="Y253">
            <v>4996.6257880000003</v>
          </cell>
          <cell r="Z253">
            <v>8113.2612879999988</v>
          </cell>
          <cell r="AA253">
            <v>3014.2255136000003</v>
          </cell>
          <cell r="AB253">
            <v>4877.9338959999995</v>
          </cell>
          <cell r="AC253">
            <v>4125.2297239999998</v>
          </cell>
          <cell r="AD253">
            <v>9651.3626351999992</v>
          </cell>
          <cell r="AE253">
            <v>4128.0624000000007</v>
          </cell>
          <cell r="AF253">
            <v>4495.6438120000003</v>
          </cell>
          <cell r="AG253">
            <v>7746.1219440000004</v>
          </cell>
          <cell r="AH253">
            <v>3081.302224</v>
          </cell>
          <cell r="AI253">
            <v>3509.2048520000003</v>
          </cell>
          <cell r="AJ253">
            <v>6457.4244412000007</v>
          </cell>
          <cell r="AK253">
            <v>5716.3132400000004</v>
          </cell>
          <cell r="AL253">
            <v>9748.2610648000009</v>
          </cell>
          <cell r="AM253">
            <v>4620.4089764</v>
          </cell>
          <cell r="AN253">
            <v>22753.738006400003</v>
          </cell>
          <cell r="AO253">
            <v>5024.1215916000001</v>
          </cell>
          <cell r="AP253">
            <v>3929.1976676000004</v>
          </cell>
          <cell r="AQ253">
            <v>2409.0753719999998</v>
          </cell>
          <cell r="AR253">
            <v>8214.9950172000008</v>
          </cell>
          <cell r="AS253">
            <v>3669.9786884000005</v>
          </cell>
          <cell r="AT253">
            <v>2560.8837928000003</v>
          </cell>
          <cell r="AU253">
            <v>2713.8331764000004</v>
          </cell>
          <cell r="AV253">
            <v>4223.5497172000005</v>
          </cell>
          <cell r="AW253">
            <v>0</v>
          </cell>
          <cell r="AX253">
            <v>39226.628248000001</v>
          </cell>
          <cell r="AY253">
            <v>5555.3737699999992</v>
          </cell>
          <cell r="AZ253">
            <v>3744.642836</v>
          </cell>
          <cell r="BA253">
            <v>10778.6307968</v>
          </cell>
          <cell r="BB253">
            <v>3485.5407132000005</v>
          </cell>
          <cell r="BC253">
            <v>8551.0272619999996</v>
          </cell>
          <cell r="BD253">
            <v>0</v>
          </cell>
          <cell r="BE253">
            <v>2394.0999644000003</v>
          </cell>
          <cell r="BF253">
            <v>7313.6949159999986</v>
          </cell>
          <cell r="BG253">
            <v>4353.3861800000004</v>
          </cell>
          <cell r="BH253">
            <v>3836.1877192000006</v>
          </cell>
          <cell r="BI253">
            <v>10172.645912</v>
          </cell>
          <cell r="BJ253">
            <v>3179.3298679999998</v>
          </cell>
          <cell r="BK253">
            <v>3261.6128599999997</v>
          </cell>
          <cell r="BL253">
            <v>2547.9361084000002</v>
          </cell>
          <cell r="BM253">
            <v>3281.6447748000001</v>
          </cell>
          <cell r="BN253">
            <v>6440.3061799999996</v>
          </cell>
          <cell r="BO253">
            <v>4453.2815799999998</v>
          </cell>
          <cell r="BP253">
            <v>5769.6875279999995</v>
          </cell>
          <cell r="BQ253">
            <v>8134.6134211999997</v>
          </cell>
          <cell r="BR253">
            <v>457348.88037680002</v>
          </cell>
          <cell r="BS253">
            <v>0.80168981091036839</v>
          </cell>
        </row>
        <row r="254">
          <cell r="B254">
            <v>2011</v>
          </cell>
          <cell r="D254">
            <v>16763.545739875</v>
          </cell>
          <cell r="F254">
            <v>3159.7619893125002</v>
          </cell>
          <cell r="H254">
            <v>14749.722917875</v>
          </cell>
          <cell r="J254">
            <v>1810.5125066874998</v>
          </cell>
          <cell r="L254">
            <v>5541.2753495000006</v>
          </cell>
          <cell r="N254">
            <v>53631.358571312492</v>
          </cell>
          <cell r="P254">
            <v>18731.079727249999</v>
          </cell>
          <cell r="R254">
            <v>11057.566809437501</v>
          </cell>
          <cell r="T254">
            <v>6580.0336903125008</v>
          </cell>
          <cell r="U254">
            <v>4927.2589141375001</v>
          </cell>
          <cell r="V254">
            <v>17017.57890525</v>
          </cell>
          <cell r="W254">
            <v>20502.195447937498</v>
          </cell>
          <cell r="X254">
            <v>14202.1412080625</v>
          </cell>
          <cell r="Y254">
            <v>5186.420748162499</v>
          </cell>
          <cell r="Z254">
            <v>8421.4404809749994</v>
          </cell>
          <cell r="AA254">
            <v>3140.8152545000003</v>
          </cell>
          <cell r="AB254">
            <v>5063.2203890749988</v>
          </cell>
          <cell r="AC254">
            <v>4281.9250308624996</v>
          </cell>
          <cell r="AD254">
            <v>10056.695112750001</v>
          </cell>
          <cell r="AE254">
            <v>4284.8653050000003</v>
          </cell>
          <cell r="AF254">
            <v>4666.4091593374997</v>
          </cell>
          <cell r="AG254">
            <v>8040.3554864249991</v>
          </cell>
          <cell r="AH254">
            <v>3198.3443355499999</v>
          </cell>
          <cell r="AI254">
            <v>3656.582455625</v>
          </cell>
          <cell r="AJ254">
            <v>6728.6197061875009</v>
          </cell>
          <cell r="AK254">
            <v>5933.445258625</v>
          </cell>
          <cell r="AL254">
            <v>10157.663027875</v>
          </cell>
          <cell r="AM254">
            <v>4814.454303312501</v>
          </cell>
          <cell r="AN254">
            <v>23709.336645500003</v>
          </cell>
          <cell r="AO254">
            <v>5235.1218129374993</v>
          </cell>
          <cell r="AP254">
            <v>4094.2138923125003</v>
          </cell>
          <cell r="AQ254">
            <v>2500.5831982124996</v>
          </cell>
          <cell r="AR254">
            <v>8560.003738687501</v>
          </cell>
          <cell r="AS254">
            <v>3824.1083808124999</v>
          </cell>
          <cell r="AT254">
            <v>2668.4343441250003</v>
          </cell>
          <cell r="AU254">
            <v>2827.8072095625002</v>
          </cell>
          <cell r="AV254">
            <v>4400.9279730625003</v>
          </cell>
          <cell r="AW254">
            <v>0</v>
          </cell>
          <cell r="AX254">
            <v>40874.046028750003</v>
          </cell>
          <cell r="AY254">
            <v>5788.6852203125</v>
          </cell>
          <cell r="AZ254">
            <v>3886.8816923874997</v>
          </cell>
          <cell r="BA254">
            <v>11231.305646000001</v>
          </cell>
          <cell r="BB254">
            <v>3631.9244836875</v>
          </cell>
          <cell r="BC254">
            <v>8910.1484759374998</v>
          </cell>
          <cell r="BD254">
            <v>0</v>
          </cell>
          <cell r="BE254">
            <v>2494.6460226875001</v>
          </cell>
          <cell r="BF254">
            <v>7591.5028796374991</v>
          </cell>
          <cell r="BG254">
            <v>4518.7479244374999</v>
          </cell>
          <cell r="BH254">
            <v>3997.2977646250001</v>
          </cell>
          <cell r="BI254">
            <v>10559.050059024999</v>
          </cell>
          <cell r="BJ254">
            <v>3300.0955229124997</v>
          </cell>
          <cell r="BK254">
            <v>3385.5040035624997</v>
          </cell>
          <cell r="BL254">
            <v>2654.9428901874999</v>
          </cell>
          <cell r="BM254">
            <v>3419.4654388125</v>
          </cell>
          <cell r="BN254">
            <v>6684.9387994374993</v>
          </cell>
          <cell r="BO254">
            <v>4622.4378138125003</v>
          </cell>
          <cell r="BP254">
            <v>5988.8469489749996</v>
          </cell>
          <cell r="BQ254">
            <v>8476.2463218124994</v>
          </cell>
          <cell r="BR254">
            <v>476142.53896342503</v>
          </cell>
          <cell r="BS254">
            <v>0.83463333661925898</v>
          </cell>
        </row>
        <row r="255">
          <cell r="B255">
            <v>2012</v>
          </cell>
          <cell r="D255">
            <v>16763.545739875</v>
          </cell>
          <cell r="F255">
            <v>3159.7619893125002</v>
          </cell>
          <cell r="H255">
            <v>14749.722917875</v>
          </cell>
          <cell r="J255">
            <v>1810.5125066874998</v>
          </cell>
          <cell r="L255">
            <v>5541.2753495000006</v>
          </cell>
          <cell r="N255">
            <v>53631.358571312492</v>
          </cell>
          <cell r="P255">
            <v>18731.079727249999</v>
          </cell>
          <cell r="R255">
            <v>11057.566809437501</v>
          </cell>
          <cell r="T255">
            <v>6580.0336903125008</v>
          </cell>
          <cell r="U255">
            <v>5110.9017004500001</v>
          </cell>
          <cell r="V255">
            <v>17017.57890525</v>
          </cell>
          <cell r="W255">
            <v>20502.195447937498</v>
          </cell>
          <cell r="X255">
            <v>14202.1412080625</v>
          </cell>
          <cell r="Y255">
            <v>5379.7226983500004</v>
          </cell>
          <cell r="Z255">
            <v>8735.3141421</v>
          </cell>
          <cell r="AA255">
            <v>3140.8152545000003</v>
          </cell>
          <cell r="AB255">
            <v>5251.9305657000004</v>
          </cell>
          <cell r="AC255">
            <v>4441.5157195499996</v>
          </cell>
          <cell r="AD255">
            <v>10056.695112750001</v>
          </cell>
          <cell r="AE255">
            <v>4444.5655800000013</v>
          </cell>
          <cell r="AF255">
            <v>4840.3298716500003</v>
          </cell>
          <cell r="AG255">
            <v>8340.0258123000003</v>
          </cell>
          <cell r="AH255">
            <v>3317.5491258000002</v>
          </cell>
          <cell r="AI255">
            <v>3656.582455625</v>
          </cell>
          <cell r="AJ255">
            <v>6728.6197061875009</v>
          </cell>
          <cell r="AK255">
            <v>6154.5893955000001</v>
          </cell>
          <cell r="AL255">
            <v>10157.663027875</v>
          </cell>
          <cell r="AM255">
            <v>4814.454303312501</v>
          </cell>
          <cell r="AN255">
            <v>23709.336645500003</v>
          </cell>
          <cell r="AO255">
            <v>5235.1218129374993</v>
          </cell>
          <cell r="AP255">
            <v>4094.2138923125003</v>
          </cell>
          <cell r="AQ255">
            <v>2593.78188615</v>
          </cell>
          <cell r="AR255">
            <v>8560.003738687501</v>
          </cell>
          <cell r="AS255">
            <v>3824.1083808124999</v>
          </cell>
          <cell r="AT255">
            <v>2668.4343441250003</v>
          </cell>
          <cell r="AU255">
            <v>2827.8072095625002</v>
          </cell>
          <cell r="AV255">
            <v>4400.9279730625003</v>
          </cell>
          <cell r="AW255">
            <v>0</v>
          </cell>
          <cell r="AX255">
            <v>40874.046028750003</v>
          </cell>
          <cell r="AY255">
            <v>5788.6852203125</v>
          </cell>
          <cell r="AZ255">
            <v>4031.7488074500006</v>
          </cell>
          <cell r="BA255">
            <v>11231.305646000001</v>
          </cell>
          <cell r="BB255">
            <v>3631.9244836875</v>
          </cell>
          <cell r="BC255">
            <v>8910.1484759374998</v>
          </cell>
          <cell r="BD255">
            <v>0</v>
          </cell>
          <cell r="BE255">
            <v>2494.6460226875001</v>
          </cell>
          <cell r="BF255">
            <v>7874.4441184500001</v>
          </cell>
          <cell r="BG255">
            <v>4687.1651872500006</v>
          </cell>
          <cell r="BH255">
            <v>3997.2977646250001</v>
          </cell>
          <cell r="BI255">
            <v>10952.594097900001</v>
          </cell>
          <cell r="BJ255">
            <v>3423.0926593499998</v>
          </cell>
          <cell r="BK255">
            <v>3511.6843807499999</v>
          </cell>
          <cell r="BL255">
            <v>2654.9428901874999</v>
          </cell>
          <cell r="BM255">
            <v>3419.4654388125</v>
          </cell>
          <cell r="BN255">
            <v>6934.0916872500002</v>
          </cell>
          <cell r="BO255">
            <v>4794.7196797500001</v>
          </cell>
          <cell r="BP255">
            <v>6212.0559500999998</v>
          </cell>
          <cell r="BQ255">
            <v>8476.2463218124994</v>
          </cell>
          <cell r="BR255">
            <v>480132.08807867498</v>
          </cell>
          <cell r="BS255">
            <v>0.84162664307097101</v>
          </cell>
        </row>
        <row r="256">
          <cell r="B256">
            <v>2013</v>
          </cell>
          <cell r="D256">
            <v>16763.545739875</v>
          </cell>
          <cell r="F256">
            <v>3159.7619893125002</v>
          </cell>
          <cell r="H256">
            <v>14749.722917875</v>
          </cell>
          <cell r="J256">
            <v>1810.5125066874998</v>
          </cell>
          <cell r="L256">
            <v>5541.2753495000006</v>
          </cell>
          <cell r="N256">
            <v>53631.358571312492</v>
          </cell>
          <cell r="P256">
            <v>18731.079727249999</v>
          </cell>
          <cell r="R256">
            <v>11057.566809437501</v>
          </cell>
          <cell r="T256">
            <v>6580.0336903125008</v>
          </cell>
          <cell r="U256">
            <v>5297.8762349375002</v>
          </cell>
          <cell r="V256">
            <v>17017.57890525</v>
          </cell>
          <cell r="W256">
            <v>20502.195447937498</v>
          </cell>
          <cell r="X256">
            <v>14202.1412080625</v>
          </cell>
          <cell r="Y256">
            <v>5576.5316385625001</v>
          </cell>
          <cell r="Z256">
            <v>9054.8822713749996</v>
          </cell>
          <cell r="AA256">
            <v>3140.8152545000003</v>
          </cell>
          <cell r="AB256">
            <v>5444.0644258749999</v>
          </cell>
          <cell r="AC256">
            <v>4604.0017900624998</v>
          </cell>
          <cell r="AD256">
            <v>10056.695112750001</v>
          </cell>
          <cell r="AE256">
            <v>4607.1632250000011</v>
          </cell>
          <cell r="AF256">
            <v>5017.4059489375004</v>
          </cell>
          <cell r="AG256">
            <v>8645.1329216249997</v>
          </cell>
          <cell r="AH256">
            <v>3438.9165947500001</v>
          </cell>
          <cell r="AI256">
            <v>3656.582455625</v>
          </cell>
          <cell r="AJ256">
            <v>6728.6197061875009</v>
          </cell>
          <cell r="AK256">
            <v>6379.7456506250001</v>
          </cell>
          <cell r="AL256">
            <v>10157.663027875</v>
          </cell>
          <cell r="AM256">
            <v>4814.454303312501</v>
          </cell>
          <cell r="AN256">
            <v>23709.336645500003</v>
          </cell>
          <cell r="AO256">
            <v>5235.1218129374993</v>
          </cell>
          <cell r="AP256">
            <v>4094.2138923125003</v>
          </cell>
          <cell r="AQ256">
            <v>2688.6714358125</v>
          </cell>
          <cell r="AR256">
            <v>8560.003738687501</v>
          </cell>
          <cell r="AS256">
            <v>3824.1083808124999</v>
          </cell>
          <cell r="AT256">
            <v>2668.4343441250003</v>
          </cell>
          <cell r="AU256">
            <v>2827.8072095625002</v>
          </cell>
          <cell r="AV256">
            <v>4400.9279730625003</v>
          </cell>
          <cell r="AW256">
            <v>0</v>
          </cell>
          <cell r="AX256">
            <v>40874.046028750003</v>
          </cell>
          <cell r="AY256">
            <v>5788.6852203125</v>
          </cell>
          <cell r="AZ256">
            <v>4179.2441811875005</v>
          </cell>
          <cell r="BA256">
            <v>11231.305646000001</v>
          </cell>
          <cell r="BB256">
            <v>3631.9244836875</v>
          </cell>
          <cell r="BC256">
            <v>8910.1484759374998</v>
          </cell>
          <cell r="BD256">
            <v>0</v>
          </cell>
          <cell r="BE256">
            <v>2494.6460226875001</v>
          </cell>
          <cell r="BF256">
            <v>8162.518632437499</v>
          </cell>
          <cell r="BG256">
            <v>4858.6379684375006</v>
          </cell>
          <cell r="BH256">
            <v>3997.2977646250001</v>
          </cell>
          <cell r="BI256">
            <v>11353.278028625</v>
          </cell>
          <cell r="BJ256">
            <v>3548.3212773124997</v>
          </cell>
          <cell r="BK256">
            <v>3640.1539915624994</v>
          </cell>
          <cell r="BL256">
            <v>2654.9428901874999</v>
          </cell>
          <cell r="BM256">
            <v>3419.4654388125</v>
          </cell>
          <cell r="BN256">
            <v>7187.7648434375005</v>
          </cell>
          <cell r="BO256">
            <v>4970.1271778125001</v>
          </cell>
          <cell r="BP256">
            <v>6439.3145313749992</v>
          </cell>
          <cell r="BQ256">
            <v>8476.2463218124994</v>
          </cell>
          <cell r="BR256">
            <v>484194.01778262499</v>
          </cell>
          <cell r="BS256">
            <v>0.84874682592483086</v>
          </cell>
        </row>
        <row r="257">
          <cell r="B257">
            <v>2014</v>
          </cell>
          <cell r="D257">
            <v>16991.709742400002</v>
          </cell>
          <cell r="F257">
            <v>3202.7686392000005</v>
          </cell>
          <cell r="H257">
            <v>14950.477332799999</v>
          </cell>
          <cell r="J257">
            <v>1835.1548935999997</v>
          </cell>
          <cell r="L257">
            <v>5616.6961216</v>
          </cell>
          <cell r="N257">
            <v>54361.320216799992</v>
          </cell>
          <cell r="P257">
            <v>18986.0232928</v>
          </cell>
          <cell r="R257">
            <v>11208.068304800001</v>
          </cell>
          <cell r="T257">
            <v>6669.5927160000001</v>
          </cell>
          <cell r="U257">
            <v>5488.1825175999993</v>
          </cell>
          <cell r="V257">
            <v>17249.200483199998</v>
          </cell>
          <cell r="W257">
            <v>20781.245181599999</v>
          </cell>
          <cell r="X257">
            <v>14395.442639199999</v>
          </cell>
          <cell r="Y257">
            <v>5776.847568799999</v>
          </cell>
          <cell r="Z257">
            <v>9380.1448688</v>
          </cell>
          <cell r="AA257">
            <v>3183.5640255999997</v>
          </cell>
          <cell r="AB257">
            <v>5639.6219695999998</v>
          </cell>
          <cell r="AC257">
            <v>4769.3832424000002</v>
          </cell>
          <cell r="AD257">
            <v>10193.574019199999</v>
          </cell>
          <cell r="AE257">
            <v>4772.6582400000007</v>
          </cell>
          <cell r="AF257">
            <v>5197.6373911999999</v>
          </cell>
          <cell r="AG257">
            <v>8955.6768143999998</v>
          </cell>
          <cell r="AH257">
            <v>3562.4467423999999</v>
          </cell>
          <cell r="AI257">
            <v>3706.3511920000001</v>
          </cell>
          <cell r="AJ257">
            <v>6820.2010952000001</v>
          </cell>
          <cell r="AK257">
            <v>6608.9140239999997</v>
          </cell>
          <cell r="AL257">
            <v>10295.916180799997</v>
          </cell>
          <cell r="AM257">
            <v>4879.9825143999997</v>
          </cell>
          <cell r="AN257">
            <v>24032.0378944</v>
          </cell>
          <cell r="AO257">
            <v>5306.3756135999993</v>
          </cell>
          <cell r="AP257">
            <v>4149.9391095999999</v>
          </cell>
          <cell r="AQ257">
            <v>2785.2518472000002</v>
          </cell>
          <cell r="AR257">
            <v>8676.5115912000001</v>
          </cell>
          <cell r="AS257">
            <v>3876.1572663999996</v>
          </cell>
          <cell r="AT257">
            <v>2704.7536688</v>
          </cell>
          <cell r="AU257">
            <v>2866.2957144000002</v>
          </cell>
          <cell r="AV257">
            <v>4460.8277911999994</v>
          </cell>
          <cell r="AW257">
            <v>0</v>
          </cell>
          <cell r="AX257">
            <v>41430.371407999999</v>
          </cell>
          <cell r="AY257">
            <v>5867.4734199999994</v>
          </cell>
          <cell r="AZ257">
            <v>4329.3678135999999</v>
          </cell>
          <cell r="BA257">
            <v>11384.1718528</v>
          </cell>
          <cell r="BB257">
            <v>3681.3576072000001</v>
          </cell>
          <cell r="BC257">
            <v>9031.4220519999999</v>
          </cell>
          <cell r="BD257">
            <v>0</v>
          </cell>
          <cell r="BE257">
            <v>2528.5999624000001</v>
          </cell>
          <cell r="BF257">
            <v>8455.7264215999985</v>
          </cell>
          <cell r="BG257">
            <v>5033.1662680000009</v>
          </cell>
          <cell r="BH257">
            <v>4051.7038832000003</v>
          </cell>
          <cell r="BI257">
            <v>11761.101851199999</v>
          </cell>
          <cell r="BJ257">
            <v>3675.7813768000001</v>
          </cell>
          <cell r="BK257">
            <v>3770.912836</v>
          </cell>
          <cell r="BL257">
            <v>2691.0785863999999</v>
          </cell>
          <cell r="BM257">
            <v>3466.0068408000002</v>
          </cell>
          <cell r="BN257">
            <v>7445.9582680000003</v>
          </cell>
          <cell r="BO257">
            <v>5148.6603079999995</v>
          </cell>
          <cell r="BP257">
            <v>6670.6226927999987</v>
          </cell>
          <cell r="BQ257">
            <v>8591.6141751999985</v>
          </cell>
          <cell r="BR257">
            <v>493352.05009119998</v>
          </cell>
          <cell r="BS257">
            <v>0.86480000000000012</v>
          </cell>
        </row>
        <row r="261">
          <cell r="B261">
            <v>2010</v>
          </cell>
          <cell r="D261">
            <v>17486.842819999998</v>
          </cell>
          <cell r="F261">
            <v>3296.0963100000004</v>
          </cell>
          <cell r="H261">
            <v>15386.12954</v>
          </cell>
          <cell r="J261">
            <v>1888.6307299999999</v>
          </cell>
          <cell r="L261">
            <v>5780.3648800000001</v>
          </cell>
          <cell r="N261">
            <v>55945.391989999996</v>
          </cell>
          <cell r="P261">
            <v>19539.270039999999</v>
          </cell>
          <cell r="R261">
            <v>11534.667890000001</v>
          </cell>
          <cell r="T261">
            <v>6863.9425499999998</v>
          </cell>
          <cell r="U261">
            <v>5394.2589499999995</v>
          </cell>
          <cell r="V261">
            <v>17751.836759999998</v>
          </cell>
          <cell r="W261">
            <v>21386.80413</v>
          </cell>
          <cell r="X261">
            <v>14814.92131</v>
          </cell>
          <cell r="Y261">
            <v>5677.9838499999996</v>
          </cell>
          <cell r="Z261">
            <v>9219.6150999999991</v>
          </cell>
          <cell r="AA261">
            <v>3276.3320800000001</v>
          </cell>
          <cell r="AB261">
            <v>5543.1066999999994</v>
          </cell>
          <cell r="AC261">
            <v>4687.7610500000001</v>
          </cell>
          <cell r="AD261">
            <v>10490.611559999999</v>
          </cell>
          <cell r="AE261">
            <v>4690.9800000000005</v>
          </cell>
          <cell r="AF261">
            <v>5108.6861499999995</v>
          </cell>
          <cell r="AG261">
            <v>8802.4112999999998</v>
          </cell>
          <cell r="AH261">
            <v>3501.4797999999996</v>
          </cell>
          <cell r="AI261">
            <v>3814.3530999999998</v>
          </cell>
          <cell r="AJ261">
            <v>7018.9396100000004</v>
          </cell>
          <cell r="AK261">
            <v>6495.8104999999996</v>
          </cell>
          <cell r="AL261">
            <v>10595.935939999999</v>
          </cell>
          <cell r="AM261">
            <v>5022.1836700000003</v>
          </cell>
          <cell r="AN261">
            <v>24732.323920000003</v>
          </cell>
          <cell r="AO261">
            <v>5461.00173</v>
          </cell>
          <cell r="AP261">
            <v>4270.8670300000003</v>
          </cell>
          <cell r="AQ261">
            <v>2737.58565</v>
          </cell>
          <cell r="AR261">
            <v>8929.3424100000011</v>
          </cell>
          <cell r="AS261">
            <v>3989.10727</v>
          </cell>
          <cell r="AT261">
            <v>2783.5693400000005</v>
          </cell>
          <cell r="AU261">
            <v>2949.8186700000001</v>
          </cell>
          <cell r="AV261">
            <v>4590.8149100000001</v>
          </cell>
          <cell r="AW261">
            <v>0</v>
          </cell>
          <cell r="AX261">
            <v>42637.6394</v>
          </cell>
          <cell r="AY261">
            <v>6038.4497499999998</v>
          </cell>
          <cell r="AZ261">
            <v>4255.2759500000002</v>
          </cell>
          <cell r="BA261">
            <v>11715.903039999999</v>
          </cell>
          <cell r="BB261">
            <v>3788.63121</v>
          </cell>
          <cell r="BC261">
            <v>9294.5948499999995</v>
          </cell>
          <cell r="BD261">
            <v>0</v>
          </cell>
          <cell r="BE261">
            <v>2602.2825699999999</v>
          </cell>
          <cell r="BF261">
            <v>8311.0169499999993</v>
          </cell>
          <cell r="BG261">
            <v>4947.0297500000006</v>
          </cell>
          <cell r="BH261">
            <v>4169.76926</v>
          </cell>
          <cell r="BI261">
            <v>11559.8249</v>
          </cell>
          <cell r="BJ261">
            <v>3612.8748499999997</v>
          </cell>
          <cell r="BK261">
            <v>3706.3782499999998</v>
          </cell>
          <cell r="BL261">
            <v>2769.49577</v>
          </cell>
          <cell r="BM261">
            <v>3567.0051900000003</v>
          </cell>
          <cell r="BN261">
            <v>7318.5297499999997</v>
          </cell>
          <cell r="BO261">
            <v>5060.5472499999996</v>
          </cell>
          <cell r="BP261">
            <v>6556.463099999999</v>
          </cell>
          <cell r="BQ261">
            <v>8841.9711099999986</v>
          </cell>
          <cell r="BR261">
            <v>502213.4621399999</v>
          </cell>
          <cell r="BS261">
            <v>0.88033322650303281</v>
          </cell>
        </row>
        <row r="262">
          <cell r="B262">
            <v>2011</v>
          </cell>
          <cell r="D262">
            <v>17928.925925</v>
          </cell>
          <cell r="F262">
            <v>3379.4245875000001</v>
          </cell>
          <cell r="H262">
            <v>15775.104724999999</v>
          </cell>
          <cell r="J262">
            <v>1936.3770124999999</v>
          </cell>
          <cell r="L262">
            <v>5926.4976999999999</v>
          </cell>
          <cell r="N262">
            <v>57359.741787499996</v>
          </cell>
          <cell r="P262">
            <v>20033.24035</v>
          </cell>
          <cell r="R262">
            <v>11826.274662500002</v>
          </cell>
          <cell r="T262">
            <v>7037.4691874999999</v>
          </cell>
          <cell r="U262">
            <v>5505.3172224999998</v>
          </cell>
          <cell r="V262">
            <v>18200.619149999999</v>
          </cell>
          <cell r="W262">
            <v>21927.4817625</v>
          </cell>
          <cell r="X262">
            <v>15189.4558375</v>
          </cell>
          <cell r="Y262">
            <v>5794.8835174999995</v>
          </cell>
          <cell r="Z262">
            <v>9409.4307049999989</v>
          </cell>
          <cell r="AA262">
            <v>3359.1606999999999</v>
          </cell>
          <cell r="AB262">
            <v>5657.2294849999989</v>
          </cell>
          <cell r="AC262">
            <v>4784.2737774999996</v>
          </cell>
          <cell r="AD262">
            <v>10755.82365</v>
          </cell>
          <cell r="AE262">
            <v>4787.5590000000002</v>
          </cell>
          <cell r="AF262">
            <v>5213.8649824999993</v>
          </cell>
          <cell r="AG262">
            <v>8983.6374149999992</v>
          </cell>
          <cell r="AH262">
            <v>3573.5690899999995</v>
          </cell>
          <cell r="AI262">
            <v>3910.783375</v>
          </cell>
          <cell r="AJ262">
            <v>7196.3847125000002</v>
          </cell>
          <cell r="AK262">
            <v>6629.547775</v>
          </cell>
          <cell r="AL262">
            <v>10863.810724999998</v>
          </cell>
          <cell r="AM262">
            <v>5149.1489874999997</v>
          </cell>
          <cell r="AN262">
            <v>25357.579300000001</v>
          </cell>
          <cell r="AO262">
            <v>5599.0607624999993</v>
          </cell>
          <cell r="AP262">
            <v>4378.8383875</v>
          </cell>
          <cell r="AQ262">
            <v>2793.9477074999995</v>
          </cell>
          <cell r="AR262">
            <v>9155.0842124999999</v>
          </cell>
          <cell r="AS262">
            <v>4089.9554874999999</v>
          </cell>
          <cell r="AT262">
            <v>2853.9404750000003</v>
          </cell>
          <cell r="AU262">
            <v>3024.3927375000003</v>
          </cell>
          <cell r="AV262">
            <v>4706.8748374999996</v>
          </cell>
          <cell r="AW262">
            <v>0</v>
          </cell>
          <cell r="AX262">
            <v>43715.557249999998</v>
          </cell>
          <cell r="AY262">
            <v>6191.1071874999998</v>
          </cell>
          <cell r="AZ262">
            <v>4342.8845725000001</v>
          </cell>
          <cell r="BA262">
            <v>12012.0916</v>
          </cell>
          <cell r="BB262">
            <v>3884.4112125000001</v>
          </cell>
          <cell r="BC262">
            <v>9529.5705624999991</v>
          </cell>
          <cell r="BD262">
            <v>0</v>
          </cell>
          <cell r="BE262">
            <v>2668.0706125000002</v>
          </cell>
          <cell r="BF262">
            <v>8482.126122499998</v>
          </cell>
          <cell r="BG262">
            <v>5048.8803625</v>
          </cell>
          <cell r="BH262">
            <v>4275.1847749999997</v>
          </cell>
          <cell r="BI262">
            <v>11797.821295</v>
          </cell>
          <cell r="BJ262">
            <v>3687.2575674999994</v>
          </cell>
          <cell r="BK262">
            <v>3782.6860374999997</v>
          </cell>
          <cell r="BL262">
            <v>2839.5111124999999</v>
          </cell>
          <cell r="BM262">
            <v>3657.1822874999998</v>
          </cell>
          <cell r="BN262">
            <v>7469.205362499999</v>
          </cell>
          <cell r="BO262">
            <v>5164.7349875</v>
          </cell>
          <cell r="BP262">
            <v>6691.4491049999988</v>
          </cell>
          <cell r="BQ262">
            <v>9065.5040874999995</v>
          </cell>
          <cell r="BR262">
            <v>514359.94781499985</v>
          </cell>
          <cell r="BS262">
            <v>0.90162487981591188</v>
          </cell>
        </row>
        <row r="263">
          <cell r="B263">
            <v>2012</v>
          </cell>
          <cell r="D263">
            <v>17928.925925</v>
          </cell>
          <cell r="F263">
            <v>3379.4245875000001</v>
          </cell>
          <cell r="H263">
            <v>15775.104724999999</v>
          </cell>
          <cell r="J263">
            <v>1936.3770124999999</v>
          </cell>
          <cell r="L263">
            <v>5926.4976999999999</v>
          </cell>
          <cell r="N263">
            <v>57359.741787499996</v>
          </cell>
          <cell r="P263">
            <v>20033.24035</v>
          </cell>
          <cell r="R263">
            <v>11826.274662500002</v>
          </cell>
          <cell r="T263">
            <v>7037.4691874999999</v>
          </cell>
          <cell r="U263">
            <v>5616.3754950000002</v>
          </cell>
          <cell r="V263">
            <v>18200.619149999999</v>
          </cell>
          <cell r="W263">
            <v>21927.4817625</v>
          </cell>
          <cell r="X263">
            <v>15189.4558375</v>
          </cell>
          <cell r="Y263">
            <v>5911.7831850000002</v>
          </cell>
          <cell r="Z263">
            <v>9599.2463100000004</v>
          </cell>
          <cell r="AA263">
            <v>3359.1606999999999</v>
          </cell>
          <cell r="AB263">
            <v>5771.3522699999994</v>
          </cell>
          <cell r="AC263">
            <v>4880.786505</v>
          </cell>
          <cell r="AD263">
            <v>10755.82365</v>
          </cell>
          <cell r="AE263">
            <v>4884.1380000000008</v>
          </cell>
          <cell r="AF263">
            <v>5319.043815</v>
          </cell>
          <cell r="AG263">
            <v>9164.8635300000005</v>
          </cell>
          <cell r="AH263">
            <v>3645.6583799999999</v>
          </cell>
          <cell r="AI263">
            <v>3910.783375</v>
          </cell>
          <cell r="AJ263">
            <v>7196.3847125000002</v>
          </cell>
          <cell r="AK263">
            <v>6763.2850500000004</v>
          </cell>
          <cell r="AL263">
            <v>10863.810724999998</v>
          </cell>
          <cell r="AM263">
            <v>5149.1489874999997</v>
          </cell>
          <cell r="AN263">
            <v>25357.579300000001</v>
          </cell>
          <cell r="AO263">
            <v>5599.0607624999993</v>
          </cell>
          <cell r="AP263">
            <v>4378.8383875</v>
          </cell>
          <cell r="AQ263">
            <v>2850.309765</v>
          </cell>
          <cell r="AR263">
            <v>9155.0842124999999</v>
          </cell>
          <cell r="AS263">
            <v>4089.9554874999999</v>
          </cell>
          <cell r="AT263">
            <v>2853.9404750000003</v>
          </cell>
          <cell r="AU263">
            <v>3024.3927375000003</v>
          </cell>
          <cell r="AV263">
            <v>4706.8748374999996</v>
          </cell>
          <cell r="AW263">
            <v>0</v>
          </cell>
          <cell r="AX263">
            <v>43715.557249999998</v>
          </cell>
          <cell r="AY263">
            <v>6191.1071874999998</v>
          </cell>
          <cell r="AZ263">
            <v>4430.493195</v>
          </cell>
          <cell r="BA263">
            <v>12012.0916</v>
          </cell>
          <cell r="BB263">
            <v>3884.4112125000001</v>
          </cell>
          <cell r="BC263">
            <v>9529.5705624999991</v>
          </cell>
          <cell r="BD263">
            <v>0</v>
          </cell>
          <cell r="BE263">
            <v>2668.0706125000002</v>
          </cell>
          <cell r="BF263">
            <v>8653.2352950000004</v>
          </cell>
          <cell r="BG263">
            <v>5150.7309750000004</v>
          </cell>
          <cell r="BH263">
            <v>4275.1847749999997</v>
          </cell>
          <cell r="BI263">
            <v>12035.81769</v>
          </cell>
          <cell r="BJ263">
            <v>3761.6402849999999</v>
          </cell>
          <cell r="BK263">
            <v>3858.9938249999996</v>
          </cell>
          <cell r="BL263">
            <v>2839.5111124999999</v>
          </cell>
          <cell r="BM263">
            <v>3657.1822874999998</v>
          </cell>
          <cell r="BN263">
            <v>7619.880975</v>
          </cell>
          <cell r="BO263">
            <v>5268.9227250000004</v>
          </cell>
          <cell r="BP263">
            <v>6826.4351099999994</v>
          </cell>
          <cell r="BQ263">
            <v>9065.5040874999995</v>
          </cell>
          <cell r="BR263">
            <v>516772.634105</v>
          </cell>
          <cell r="BS263">
            <v>0.90585409322083521</v>
          </cell>
        </row>
        <row r="264">
          <cell r="B264">
            <v>2013</v>
          </cell>
          <cell r="D264">
            <v>17928.925925</v>
          </cell>
          <cell r="F264">
            <v>3379.4245875000001</v>
          </cell>
          <cell r="H264">
            <v>15775.104724999999</v>
          </cell>
          <cell r="J264">
            <v>1936.3770124999999</v>
          </cell>
          <cell r="L264">
            <v>5926.4976999999999</v>
          </cell>
          <cell r="N264">
            <v>57359.741787499996</v>
          </cell>
          <cell r="P264">
            <v>20033.24035</v>
          </cell>
          <cell r="R264">
            <v>11826.274662500002</v>
          </cell>
          <cell r="T264">
            <v>7037.4691874999999</v>
          </cell>
          <cell r="U264">
            <v>5727.4337674999997</v>
          </cell>
          <cell r="V264">
            <v>18200.619149999999</v>
          </cell>
          <cell r="W264">
            <v>21927.4817625</v>
          </cell>
          <cell r="X264">
            <v>15189.4558375</v>
          </cell>
          <cell r="Y264">
            <v>6028.6828524999992</v>
          </cell>
          <cell r="Z264">
            <v>9789.0619150000002</v>
          </cell>
          <cell r="AA264">
            <v>3359.1606999999999</v>
          </cell>
          <cell r="AB264">
            <v>5885.4750549999999</v>
          </cell>
          <cell r="AC264">
            <v>4977.2992324999996</v>
          </cell>
          <cell r="AD264">
            <v>10755.82365</v>
          </cell>
          <cell r="AE264">
            <v>4980.7170000000006</v>
          </cell>
          <cell r="AF264">
            <v>5424.2226474999998</v>
          </cell>
          <cell r="AG264">
            <v>9346.089645</v>
          </cell>
          <cell r="AH264">
            <v>3717.7476699999997</v>
          </cell>
          <cell r="AI264">
            <v>3910.783375</v>
          </cell>
          <cell r="AJ264">
            <v>7196.3847125000002</v>
          </cell>
          <cell r="AK264">
            <v>6897.0223249999999</v>
          </cell>
          <cell r="AL264">
            <v>10863.810724999998</v>
          </cell>
          <cell r="AM264">
            <v>5149.1489874999997</v>
          </cell>
          <cell r="AN264">
            <v>25357.579300000001</v>
          </cell>
          <cell r="AO264">
            <v>5599.0607624999993</v>
          </cell>
          <cell r="AP264">
            <v>4378.8383875</v>
          </cell>
          <cell r="AQ264">
            <v>2906.6718225</v>
          </cell>
          <cell r="AR264">
            <v>9155.0842124999999</v>
          </cell>
          <cell r="AS264">
            <v>4089.9554874999999</v>
          </cell>
          <cell r="AT264">
            <v>2853.9404750000003</v>
          </cell>
          <cell r="AU264">
            <v>3024.3927375000003</v>
          </cell>
          <cell r="AV264">
            <v>4706.8748374999996</v>
          </cell>
          <cell r="AW264">
            <v>0</v>
          </cell>
          <cell r="AX264">
            <v>43715.557249999998</v>
          </cell>
          <cell r="AY264">
            <v>6191.1071874999998</v>
          </cell>
          <cell r="AZ264">
            <v>4518.1018174999999</v>
          </cell>
          <cell r="BA264">
            <v>12012.0916</v>
          </cell>
          <cell r="BB264">
            <v>3884.4112125000001</v>
          </cell>
          <cell r="BC264">
            <v>9529.5705624999991</v>
          </cell>
          <cell r="BD264">
            <v>0</v>
          </cell>
          <cell r="BE264">
            <v>2668.0706125000002</v>
          </cell>
          <cell r="BF264">
            <v>8824.3444674999992</v>
          </cell>
          <cell r="BG264">
            <v>5252.5815875000008</v>
          </cell>
          <cell r="BH264">
            <v>4275.1847749999997</v>
          </cell>
          <cell r="BI264">
            <v>12273.814085</v>
          </cell>
          <cell r="BJ264">
            <v>3836.0230024999996</v>
          </cell>
          <cell r="BK264">
            <v>3935.3016124999995</v>
          </cell>
          <cell r="BL264">
            <v>2839.5111124999999</v>
          </cell>
          <cell r="BM264">
            <v>3657.1822874999998</v>
          </cell>
          <cell r="BN264">
            <v>7770.5565874999993</v>
          </cell>
          <cell r="BO264">
            <v>5373.1104624999998</v>
          </cell>
          <cell r="BP264">
            <v>6961.4211149999992</v>
          </cell>
          <cell r="BQ264">
            <v>9065.5040874999995</v>
          </cell>
          <cell r="BR264">
            <v>519185.32039499993</v>
          </cell>
          <cell r="BS264">
            <v>0.9100833066257582</v>
          </cell>
        </row>
        <row r="265">
          <cell r="B265">
            <v>2014</v>
          </cell>
          <cell r="D265">
            <v>18076.286960000001</v>
          </cell>
          <cell r="F265">
            <v>3407.2006800000004</v>
          </cell>
          <cell r="H265">
            <v>15904.763120000001</v>
          </cell>
          <cell r="J265">
            <v>1952.2924399999999</v>
          </cell>
          <cell r="L265">
            <v>5975.2086400000007</v>
          </cell>
          <cell r="N265">
            <v>57831.191719999995</v>
          </cell>
          <cell r="P265">
            <v>20197.897120000001</v>
          </cell>
          <cell r="R265">
            <v>11923.476920000001</v>
          </cell>
          <cell r="T265">
            <v>7095.3114000000005</v>
          </cell>
          <cell r="U265">
            <v>5838.4920400000001</v>
          </cell>
          <cell r="V265">
            <v>18350.21328</v>
          </cell>
          <cell r="W265">
            <v>22107.707640000001</v>
          </cell>
          <cell r="X265">
            <v>15314.30068</v>
          </cell>
          <cell r="Y265">
            <v>6145.5825199999999</v>
          </cell>
          <cell r="Z265">
            <v>9978.87752</v>
          </cell>
          <cell r="AA265">
            <v>3386.7702400000003</v>
          </cell>
          <cell r="AB265">
            <v>5999.5978400000004</v>
          </cell>
          <cell r="AC265">
            <v>5073.81196</v>
          </cell>
          <cell r="AD265">
            <v>10844.22768</v>
          </cell>
          <cell r="AE265">
            <v>5077.2960000000012</v>
          </cell>
          <cell r="AF265">
            <v>5529.4014800000004</v>
          </cell>
          <cell r="AG265">
            <v>9527.3157600000013</v>
          </cell>
          <cell r="AH265">
            <v>3789.8369600000001</v>
          </cell>
          <cell r="AI265">
            <v>3942.9268000000002</v>
          </cell>
          <cell r="AJ265">
            <v>7255.5330800000011</v>
          </cell>
          <cell r="AK265">
            <v>7030.7596000000003</v>
          </cell>
          <cell r="AL265">
            <v>10953.10232</v>
          </cell>
          <cell r="AM265">
            <v>5191.4707600000002</v>
          </cell>
          <cell r="AN265">
            <v>25565.997760000002</v>
          </cell>
          <cell r="AO265">
            <v>5645.0804399999997</v>
          </cell>
          <cell r="AP265">
            <v>4414.8288400000001</v>
          </cell>
          <cell r="AQ265">
            <v>2963.03388</v>
          </cell>
          <cell r="AR265">
            <v>9230.3314800000007</v>
          </cell>
          <cell r="AS265">
            <v>4123.5715600000003</v>
          </cell>
          <cell r="AT265">
            <v>2877.3975200000004</v>
          </cell>
          <cell r="AU265">
            <v>3049.2507600000004</v>
          </cell>
          <cell r="AV265">
            <v>4745.5614800000003</v>
          </cell>
          <cell r="AW265">
            <v>0</v>
          </cell>
          <cell r="AX265">
            <v>44074.8632</v>
          </cell>
          <cell r="AY265">
            <v>6241.9929999999995</v>
          </cell>
          <cell r="AZ265">
            <v>4605.7104400000007</v>
          </cell>
          <cell r="BA265">
            <v>12110.821120000001</v>
          </cell>
          <cell r="BB265">
            <v>3916.3378800000005</v>
          </cell>
          <cell r="BC265">
            <v>9607.8958000000002</v>
          </cell>
          <cell r="BD265">
            <v>0</v>
          </cell>
          <cell r="BE265">
            <v>2689.9999600000001</v>
          </cell>
          <cell r="BF265">
            <v>8995.4536399999997</v>
          </cell>
          <cell r="BG265">
            <v>5354.4322000000011</v>
          </cell>
          <cell r="BH265">
            <v>4310.3232800000005</v>
          </cell>
          <cell r="BI265">
            <v>12511.81048</v>
          </cell>
          <cell r="BJ265">
            <v>3910.4057200000002</v>
          </cell>
          <cell r="BK265">
            <v>4011.6093999999998</v>
          </cell>
          <cell r="BL265">
            <v>2862.8495600000001</v>
          </cell>
          <cell r="BM265">
            <v>3687.2413200000001</v>
          </cell>
          <cell r="BN265">
            <v>7921.2322000000004</v>
          </cell>
          <cell r="BO265">
            <v>5477.2982000000002</v>
          </cell>
          <cell r="BP265">
            <v>7096.4071199999989</v>
          </cell>
          <cell r="BQ265">
            <v>9140.0150799999992</v>
          </cell>
          <cell r="BR265">
            <v>524842.60648000007</v>
          </cell>
          <cell r="BS265">
            <v>0.92000000000000026</v>
          </cell>
        </row>
      </sheetData>
      <sheetData sheetId="2"/>
      <sheetData sheetId="3"/>
      <sheetData sheetId="4">
        <row r="1">
          <cell r="C1" t="str">
            <v>מספר</v>
          </cell>
        </row>
      </sheetData>
      <sheetData sheetId="5"/>
      <sheetData sheetId="6"/>
      <sheetData sheetId="7"/>
      <sheetData sheetId="8"/>
      <sheetData sheetId="9">
        <row r="27">
          <cell r="D27">
            <v>2.5170921489298337E-2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79">
          <cell r="D79">
            <v>6.0000000000000005E-2</v>
          </cell>
        </row>
      </sheetData>
      <sheetData sheetId="20"/>
      <sheetData sheetId="21"/>
      <sheetData sheetId="22"/>
      <sheetData sheetId="23"/>
      <sheetData sheetId="24"/>
      <sheetData sheetId="25">
        <row r="2">
          <cell r="B2" t="str">
            <v>טורעאן</v>
          </cell>
        </row>
      </sheetData>
      <sheetData sheetId="26"/>
      <sheetData sheetId="27"/>
      <sheetData sheetId="28"/>
      <sheetData sheetId="29">
        <row r="5">
          <cell r="I5">
            <v>10.364889525480447</v>
          </cell>
        </row>
      </sheetData>
      <sheetData sheetId="30"/>
      <sheetData sheetId="3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התפלגות מים 2009"/>
      <sheetName val="התפלגות מים 2008"/>
      <sheetName val="נתוני מים 2008"/>
      <sheetName val="תאגידים ומט&quot;שים יוני 2010"/>
      <sheetName val="המדד המשוקלל"/>
      <sheetName val="מדדי חשמל"/>
      <sheetName val="מדד תפוקות התעשייה"/>
      <sheetName val="מדד המחירים לצרכן"/>
      <sheetName val="מדד שכר ציבורי"/>
      <sheetName val="תעריפי שפדן עם הסכמים"/>
      <sheetName val="תאגידים ומט&quot;שים מעודכן"/>
      <sheetName val="עלויות תפעול לשנת 2012 חלש מתקד"/>
      <sheetName val="עלויות תפעול לשנת 2012"/>
      <sheetName val="נתוני מים 2010"/>
      <sheetName val="התפלגות מים 2010"/>
      <sheetName val="נתוני תאגידים לשנת 2012"/>
      <sheetName val="אשכול חברתי לרשויות"/>
      <sheetName val="הנחות עבודה כלליות"/>
      <sheetName val="התפלגות מים 2011"/>
      <sheetName val="נתוני מים 2011"/>
      <sheetName val="נתוני תאגידים"/>
      <sheetName val="תחשיב להיטל מופחת"/>
      <sheetName val="גיליון סימולציות"/>
      <sheetName val="מטשים 2013"/>
      <sheetName val="ריכוז נתוני תאגידים"/>
      <sheetName val="תעריף מוצע"/>
      <sheetName val="עלויות ממוצעות לקוב"/>
      <sheetName val="ביוביות"/>
      <sheetName val="הוצאות תפעול"/>
      <sheetName val="פחת מים וגביה"/>
      <sheetName val="ריכוז נתונים"/>
      <sheetName val="תעריפי 2013"/>
      <sheetName val="רשימת נכסים מהקובץ"/>
      <sheetName val="נתוני דיווח רשויות מקומיות 2010"/>
      <sheetName val="תעריף השלמה לרשויות מקומיות"/>
      <sheetName val="יחס רכוש בדוחות לסקר נכסי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16">
          <cell r="H16">
            <v>4.5640000000000001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13"/>
  <sheetViews>
    <sheetView rightToLeft="1" workbookViewId="0">
      <selection activeCell="D13" sqref="D13"/>
    </sheetView>
  </sheetViews>
  <sheetFormatPr defaultRowHeight="12.75" x14ac:dyDescent="0.2"/>
  <cols>
    <col min="1" max="1" width="12.42578125" bestFit="1" customWidth="1"/>
    <col min="2" max="2" width="13.7109375" style="14" customWidth="1"/>
    <col min="3" max="3" width="11.28515625" customWidth="1"/>
    <col min="8" max="8" width="12.42578125" bestFit="1" customWidth="1"/>
    <col min="12" max="12" width="9.28515625" bestFit="1" customWidth="1"/>
    <col min="14" max="14" width="8.140625" customWidth="1"/>
  </cols>
  <sheetData>
    <row r="2" spans="1:15" x14ac:dyDescent="0.2">
      <c r="B2" s="16" t="s">
        <v>72</v>
      </c>
      <c r="D2" s="12">
        <v>2009</v>
      </c>
      <c r="E2" s="12">
        <v>2010</v>
      </c>
      <c r="F2" s="12">
        <v>2011</v>
      </c>
      <c r="G2" s="12">
        <v>2012</v>
      </c>
      <c r="H2" s="12">
        <v>2013</v>
      </c>
      <c r="I2" s="12">
        <v>2014</v>
      </c>
      <c r="J2" s="12">
        <v>2015</v>
      </c>
      <c r="K2" s="12"/>
      <c r="L2" s="12"/>
      <c r="M2" s="12"/>
      <c r="N2" s="12"/>
      <c r="O2" s="12"/>
    </row>
    <row r="3" spans="1:15" x14ac:dyDescent="0.2">
      <c r="A3" t="s">
        <v>44</v>
      </c>
      <c r="B3" s="20">
        <f>+'הנחות בסיס'!B5</f>
        <v>1.7999999999999999E-2</v>
      </c>
      <c r="C3" s="2"/>
      <c r="D3" s="11">
        <v>-0.1</v>
      </c>
      <c r="E3" s="11">
        <v>0</v>
      </c>
      <c r="F3" s="11">
        <v>-3.1E-2</v>
      </c>
      <c r="G3" s="11">
        <v>0.01</v>
      </c>
      <c r="H3" s="11">
        <v>0.06</v>
      </c>
      <c r="I3" s="11">
        <f>+$B3</f>
        <v>1.7999999999999999E-2</v>
      </c>
      <c r="J3" s="11">
        <f>+$B3</f>
        <v>1.7999999999999999E-2</v>
      </c>
      <c r="K3" s="11"/>
      <c r="L3" s="11"/>
      <c r="M3" s="11"/>
      <c r="N3" s="11"/>
      <c r="O3" s="11"/>
    </row>
    <row r="4" spans="1:15" x14ac:dyDescent="0.2">
      <c r="A4" t="s">
        <v>1</v>
      </c>
      <c r="B4" s="20">
        <f>+'הנחות בסיס'!B6</f>
        <v>0</v>
      </c>
      <c r="D4" s="11">
        <v>-0.02</v>
      </c>
      <c r="E4" s="11">
        <f t="shared" ref="D4:J11" si="0">+$B4</f>
        <v>0</v>
      </c>
      <c r="F4" s="11">
        <v>0</v>
      </c>
      <c r="G4" s="11">
        <f t="shared" si="0"/>
        <v>0</v>
      </c>
      <c r="H4" s="11">
        <f t="shared" si="0"/>
        <v>0</v>
      </c>
      <c r="I4" s="11">
        <f t="shared" si="0"/>
        <v>0</v>
      </c>
      <c r="J4" s="11">
        <f t="shared" si="0"/>
        <v>0</v>
      </c>
      <c r="K4" s="11"/>
      <c r="L4" s="11"/>
      <c r="M4" s="11"/>
      <c r="N4" s="11"/>
      <c r="O4" s="11"/>
    </row>
    <row r="5" spans="1:15" x14ac:dyDescent="0.2">
      <c r="A5" t="s">
        <v>2</v>
      </c>
      <c r="B5" s="20">
        <f>+'הנחות בסיס'!B7</f>
        <v>0</v>
      </c>
      <c r="D5" s="11">
        <v>-0.03</v>
      </c>
      <c r="E5" s="11">
        <v>0.15</v>
      </c>
      <c r="F5" s="11">
        <v>0</v>
      </c>
      <c r="G5" s="11">
        <v>0</v>
      </c>
      <c r="H5" s="11">
        <f t="shared" si="0"/>
        <v>0</v>
      </c>
      <c r="I5" s="11">
        <v>0</v>
      </c>
      <c r="J5" s="11">
        <v>0</v>
      </c>
      <c r="K5" s="11"/>
      <c r="L5" s="11"/>
      <c r="M5" s="11"/>
      <c r="N5" s="11"/>
      <c r="O5" s="11"/>
    </row>
    <row r="6" spans="1:15" x14ac:dyDescent="0.2">
      <c r="A6" t="s">
        <v>45</v>
      </c>
      <c r="B6" s="20">
        <f>+'הנחות בסיס'!B8</f>
        <v>0.04</v>
      </c>
      <c r="D6" s="11">
        <v>0</v>
      </c>
      <c r="E6" s="11">
        <f t="shared" si="0"/>
        <v>0.04</v>
      </c>
      <c r="F6" s="11">
        <f t="shared" si="0"/>
        <v>0.04</v>
      </c>
      <c r="G6" s="11">
        <v>0.02</v>
      </c>
      <c r="H6" s="11">
        <v>0.02</v>
      </c>
      <c r="I6" s="11">
        <f t="shared" si="0"/>
        <v>0.04</v>
      </c>
      <c r="J6" s="11">
        <f t="shared" si="0"/>
        <v>0.04</v>
      </c>
      <c r="K6" s="11"/>
      <c r="L6" s="11"/>
      <c r="M6" s="11"/>
      <c r="N6" s="11"/>
      <c r="O6" s="11"/>
    </row>
    <row r="7" spans="1:15" x14ac:dyDescent="0.2">
      <c r="A7" t="s">
        <v>19</v>
      </c>
      <c r="B7" s="20">
        <v>0.01</v>
      </c>
      <c r="D7" s="11">
        <v>0</v>
      </c>
      <c r="E7" s="11">
        <v>0</v>
      </c>
      <c r="F7" s="11">
        <f t="shared" si="0"/>
        <v>0.01</v>
      </c>
      <c r="G7" s="11">
        <v>-0.01</v>
      </c>
      <c r="H7" s="11">
        <v>0.04</v>
      </c>
      <c r="I7" s="11">
        <f t="shared" si="0"/>
        <v>0.01</v>
      </c>
      <c r="J7" s="11">
        <f t="shared" si="0"/>
        <v>0.01</v>
      </c>
      <c r="K7" s="11"/>
      <c r="L7" s="11"/>
      <c r="M7" s="11"/>
      <c r="N7" s="11"/>
      <c r="O7" s="11"/>
    </row>
    <row r="8" spans="1:15" x14ac:dyDescent="0.2">
      <c r="A8" t="s">
        <v>49</v>
      </c>
      <c r="B8" s="20">
        <v>0.01</v>
      </c>
      <c r="D8" s="11">
        <v>0</v>
      </c>
      <c r="E8" s="11">
        <f t="shared" si="0"/>
        <v>0.01</v>
      </c>
      <c r="F8" s="11">
        <f t="shared" si="0"/>
        <v>0.01</v>
      </c>
      <c r="G8" s="11">
        <f t="shared" si="0"/>
        <v>0.01</v>
      </c>
      <c r="H8" s="11">
        <f t="shared" si="0"/>
        <v>0.01</v>
      </c>
      <c r="I8" s="11">
        <f t="shared" si="0"/>
        <v>0.01</v>
      </c>
      <c r="J8" s="11">
        <f t="shared" si="0"/>
        <v>0.01</v>
      </c>
      <c r="K8" s="11"/>
      <c r="L8" s="11"/>
      <c r="M8" s="11"/>
      <c r="N8" s="11"/>
      <c r="O8" s="11"/>
    </row>
    <row r="9" spans="1:15" x14ac:dyDescent="0.2">
      <c r="A9" t="s">
        <v>27</v>
      </c>
      <c r="B9" s="20">
        <f>+'הנחות בסיס'!B11</f>
        <v>0</v>
      </c>
      <c r="D9" s="11">
        <f t="shared" si="0"/>
        <v>0</v>
      </c>
      <c r="E9" s="11">
        <v>0.1</v>
      </c>
      <c r="F9" s="11">
        <f t="shared" si="0"/>
        <v>0</v>
      </c>
      <c r="G9" s="11">
        <f t="shared" si="0"/>
        <v>0</v>
      </c>
      <c r="H9" s="11">
        <f t="shared" si="0"/>
        <v>0</v>
      </c>
      <c r="I9" s="11">
        <f t="shared" si="0"/>
        <v>0</v>
      </c>
      <c r="J9" s="11">
        <f t="shared" si="0"/>
        <v>0</v>
      </c>
      <c r="K9" s="11"/>
      <c r="L9" s="11"/>
      <c r="M9" s="11"/>
      <c r="N9" s="11"/>
      <c r="O9" s="11"/>
    </row>
    <row r="10" spans="1:15" x14ac:dyDescent="0.2">
      <c r="A10" t="s">
        <v>50</v>
      </c>
      <c r="B10" s="20">
        <f>+'הנחות בסיס'!B12</f>
        <v>0.03</v>
      </c>
      <c r="D10" s="11">
        <f t="shared" si="0"/>
        <v>0.03</v>
      </c>
      <c r="E10" s="11">
        <f t="shared" si="0"/>
        <v>0.03</v>
      </c>
      <c r="F10" s="11">
        <f t="shared" si="0"/>
        <v>0.03</v>
      </c>
      <c r="G10" s="11">
        <f t="shared" si="0"/>
        <v>0.03</v>
      </c>
      <c r="H10" s="11">
        <f t="shared" si="0"/>
        <v>0.03</v>
      </c>
      <c r="I10" s="11">
        <f t="shared" si="0"/>
        <v>0.03</v>
      </c>
      <c r="J10" s="11">
        <f t="shared" si="0"/>
        <v>0.03</v>
      </c>
      <c r="K10" s="11"/>
    </row>
    <row r="11" spans="1:15" x14ac:dyDescent="0.2">
      <c r="A11" t="s">
        <v>22</v>
      </c>
      <c r="B11" s="20">
        <f>+'הנחות בסיס'!B13</f>
        <v>0.08</v>
      </c>
      <c r="D11" s="11">
        <f t="shared" si="0"/>
        <v>0.08</v>
      </c>
      <c r="E11" s="11">
        <f t="shared" si="0"/>
        <v>0.08</v>
      </c>
      <c r="F11" s="11">
        <f t="shared" si="0"/>
        <v>0.08</v>
      </c>
      <c r="G11" s="11">
        <f t="shared" si="0"/>
        <v>0.08</v>
      </c>
      <c r="H11" s="11">
        <f t="shared" si="0"/>
        <v>0.08</v>
      </c>
      <c r="I11" s="11">
        <f t="shared" si="0"/>
        <v>0.08</v>
      </c>
      <c r="J11" s="11">
        <f t="shared" si="0"/>
        <v>0.08</v>
      </c>
      <c r="K11" s="11"/>
      <c r="L11" s="11"/>
      <c r="M11" s="11"/>
      <c r="N11" s="11"/>
      <c r="O11" s="11"/>
    </row>
    <row r="12" spans="1:15" x14ac:dyDescent="0.2">
      <c r="A12" t="s">
        <v>93</v>
      </c>
      <c r="B12" s="14">
        <v>0.01</v>
      </c>
      <c r="G12" s="14">
        <f>+$B$12</f>
        <v>0.01</v>
      </c>
      <c r="H12" s="14">
        <f>+$B$12</f>
        <v>0.01</v>
      </c>
      <c r="I12" s="14">
        <f>+$B$12</f>
        <v>0.01</v>
      </c>
      <c r="J12" s="14">
        <f>+$B$12</f>
        <v>0.01</v>
      </c>
      <c r="K12" s="14"/>
      <c r="L12" s="14"/>
      <c r="M12" s="14"/>
      <c r="N12" s="14"/>
      <c r="O12" s="14"/>
    </row>
    <row r="13" spans="1:15" x14ac:dyDescent="0.2">
      <c r="N13" s="36"/>
    </row>
  </sheetData>
  <phoneticPr fontId="2" type="noConversion"/>
  <pageMargins left="0.75" right="0.75" top="1" bottom="1" header="0.5" footer="0.5"/>
  <pageSetup paperSize="9" scale="62" orientation="portrait" r:id="rId1"/>
  <headerFooter alignWithMargins="0">
    <oddFooter>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35"/>
  <sheetViews>
    <sheetView rightToLeft="1" workbookViewId="0">
      <selection activeCell="A38" sqref="A38"/>
    </sheetView>
  </sheetViews>
  <sheetFormatPr defaultRowHeight="12.75" x14ac:dyDescent="0.2"/>
  <cols>
    <col min="1" max="1" width="27.7109375" bestFit="1" customWidth="1"/>
    <col min="2" max="2" width="11.28515625" style="2" hidden="1" customWidth="1"/>
    <col min="3" max="7" width="11.28515625" style="2" bestFit="1" customWidth="1"/>
    <col min="8" max="9" width="10.28515625" bestFit="1" customWidth="1"/>
  </cols>
  <sheetData>
    <row r="1" spans="1:10" x14ac:dyDescent="0.2">
      <c r="A1" s="155"/>
      <c r="B1" s="169">
        <v>2008</v>
      </c>
      <c r="C1" s="169">
        <v>2009</v>
      </c>
      <c r="D1" s="169">
        <v>2010</v>
      </c>
      <c r="E1" s="169">
        <v>2011</v>
      </c>
      <c r="F1" s="169">
        <v>2012</v>
      </c>
      <c r="G1" s="169">
        <v>2013</v>
      </c>
      <c r="H1" s="169">
        <v>2014</v>
      </c>
      <c r="I1" s="170">
        <v>2015</v>
      </c>
    </row>
    <row r="2" spans="1:10" x14ac:dyDescent="0.2">
      <c r="A2" s="158" t="s">
        <v>3</v>
      </c>
      <c r="B2" s="168" t="e">
        <f>VLOOKUP(A2,#REF!,4,0)</f>
        <v>#REF!</v>
      </c>
      <c r="C2" s="168">
        <v>563100</v>
      </c>
      <c r="D2" s="168">
        <f>+C2*(1+'שינוי בצריכה לשנה'!E$3)+4700</f>
        <v>567800</v>
      </c>
      <c r="E2" s="168">
        <f>+D2*(1+'שינוי בצריכה לשנה'!F$3)</f>
        <v>550198.19999999995</v>
      </c>
      <c r="F2" s="168">
        <f>+E2*(1+'שינוי בצריכה לשנה'!G$3)</f>
        <v>555700.18199999991</v>
      </c>
      <c r="G2" s="168">
        <f>+F2*(1+'שינוי בצריכה לשנה'!H$3)</f>
        <v>589042.19291999994</v>
      </c>
      <c r="H2" s="168">
        <f>+G2*(1+'שינוי בצריכה לשנה'!I$3)</f>
        <v>599644.95239255996</v>
      </c>
      <c r="I2" s="171">
        <f>+H2*(1+'שינוי בצריכה לשנה'!J$3)</f>
        <v>610438.56153562607</v>
      </c>
      <c r="J2" s="15"/>
    </row>
    <row r="3" spans="1:10" x14ac:dyDescent="0.2">
      <c r="A3" s="158" t="s">
        <v>60</v>
      </c>
      <c r="B3" s="168"/>
      <c r="C3" s="168"/>
      <c r="D3" s="168"/>
      <c r="E3" s="168"/>
      <c r="F3" s="168"/>
      <c r="G3" s="168"/>
      <c r="H3" s="168"/>
      <c r="I3" s="171"/>
      <c r="J3" s="15"/>
    </row>
    <row r="4" spans="1:10" x14ac:dyDescent="0.2">
      <c r="A4" s="158" t="s">
        <v>59</v>
      </c>
      <c r="B4" s="168">
        <f>+'[2]התפלגות 2007'!$P$199/1000</f>
        <v>11121.539000000001</v>
      </c>
      <c r="C4" s="168">
        <f>+'[2]התפלגות 2007'!$P$199/1000</f>
        <v>11121.539000000001</v>
      </c>
      <c r="D4" s="168">
        <f>(+C4*'שינוי בצריכה לשנה'!E$3+'כמויות על פני השנים'!C4)*0.7</f>
        <v>7785.0772999999999</v>
      </c>
      <c r="E4" s="168">
        <f>+D4*'שינוי בצריכה לשנה'!F$3+'כמויות על פני השנים'!D4+6000</f>
        <v>13543.7399037</v>
      </c>
      <c r="F4" s="168">
        <f>+E4*'שינוי בצריכה לשנה'!G$3+'כמויות על פני השנים'!E4</f>
        <v>13679.177302737</v>
      </c>
      <c r="G4" s="168">
        <f>+F4*'שינוי בצריכה לשנה'!H$3+'כמויות על פני השנים'!F4</f>
        <v>14499.92794090122</v>
      </c>
      <c r="H4" s="168">
        <f>+G4*'שינוי בצריכה לשנה'!I$3+'כמויות על פני השנים'!G4</f>
        <v>14760.926643837442</v>
      </c>
      <c r="I4" s="171">
        <f>+H4*'שינוי בצריכה לשנה'!J$3+'כמויות על פני השנים'!H4</f>
        <v>15026.623323426516</v>
      </c>
      <c r="J4" s="15"/>
    </row>
    <row r="5" spans="1:10" x14ac:dyDescent="0.2">
      <c r="A5" s="158" t="s">
        <v>4</v>
      </c>
      <c r="B5" s="168" t="e">
        <f>VLOOKUP(A5,#REF!,4,0)</f>
        <v>#REF!</v>
      </c>
      <c r="C5" s="168">
        <v>72300</v>
      </c>
      <c r="D5" s="168">
        <f>+C5*(1+'שינוי בצריכה לשנה'!E$4)</f>
        <v>72300</v>
      </c>
      <c r="E5" s="168">
        <f>+D5*(1+'שינוי בצריכה לשנה'!F$4)</f>
        <v>72300</v>
      </c>
      <c r="F5" s="168">
        <f>+E5*(1+'שינוי בצריכה לשנה'!G$4)</f>
        <v>72300</v>
      </c>
      <c r="G5" s="168">
        <f>+F5*(1+'שינוי בצריכה לשנה'!H$4)</f>
        <v>72300</v>
      </c>
      <c r="H5" s="168">
        <f>+G5*(1+'שינוי בצריכה לשנה'!I$4)</f>
        <v>72300</v>
      </c>
      <c r="I5" s="171">
        <f>+H5*(1+'שינוי בצריכה לשנה'!J$4)</f>
        <v>72300</v>
      </c>
      <c r="J5" s="15"/>
    </row>
    <row r="6" spans="1:10" x14ac:dyDescent="0.2">
      <c r="A6" s="158" t="s">
        <v>5</v>
      </c>
      <c r="B6" s="168" t="e">
        <f>VLOOKUP(A6,#REF!,4,0)</f>
        <v>#REF!</v>
      </c>
      <c r="C6" s="168">
        <v>1917.809</v>
      </c>
      <c r="D6" s="168">
        <f>+C6*(1+'שינוי בצריכה לשנה'!E$4)</f>
        <v>1917.809</v>
      </c>
      <c r="E6" s="168">
        <f>+D6*(1+'שינוי בצריכה לשנה'!F$4)</f>
        <v>1917.809</v>
      </c>
      <c r="F6" s="168">
        <f>+E6*(1+'שינוי בצריכה לשנה'!G$4)</f>
        <v>1917.809</v>
      </c>
      <c r="G6" s="168">
        <f>+F6*(1+'שינוי בצריכה לשנה'!H$4)</f>
        <v>1917.809</v>
      </c>
      <c r="H6" s="168">
        <f>+G6*(1+'שינוי בצריכה לשנה'!I$4)</f>
        <v>1917.809</v>
      </c>
      <c r="I6" s="171">
        <f>+H6*(1+'שינוי בצריכה לשנה'!J$4)</f>
        <v>1917.809</v>
      </c>
      <c r="J6" s="15"/>
    </row>
    <row r="7" spans="1:10" x14ac:dyDescent="0.2">
      <c r="A7" s="158" t="s">
        <v>94</v>
      </c>
      <c r="B7" s="168"/>
      <c r="C7" s="168"/>
      <c r="D7" s="168"/>
      <c r="E7" s="168">
        <v>41000</v>
      </c>
      <c r="F7" s="168">
        <f>+E7*(1+'שינוי בצריכה לשנה'!G$12)</f>
        <v>41410</v>
      </c>
      <c r="G7" s="168">
        <f>+F7*(1+'שינוי בצריכה לשנה'!H$12)</f>
        <v>41824.1</v>
      </c>
      <c r="H7" s="168">
        <f>+G7*(1+'שינוי בצריכה לשנה'!I$12)</f>
        <v>42242.341</v>
      </c>
      <c r="I7" s="171">
        <f>+H7*(1+'שינוי בצריכה לשנה'!J$12)</f>
        <v>42664.764410000003</v>
      </c>
      <c r="J7" s="15"/>
    </row>
    <row r="8" spans="1:10" x14ac:dyDescent="0.2">
      <c r="A8" s="158" t="s">
        <v>6</v>
      </c>
      <c r="B8" s="168" t="e">
        <f>VLOOKUP(A8,#REF!,4,0)</f>
        <v>#REF!</v>
      </c>
      <c r="C8" s="168">
        <v>0</v>
      </c>
      <c r="D8" s="168">
        <f t="shared" ref="D8:H9" si="0">+C8</f>
        <v>0</v>
      </c>
      <c r="E8" s="168">
        <f t="shared" si="0"/>
        <v>0</v>
      </c>
      <c r="F8" s="168">
        <f t="shared" si="0"/>
        <v>0</v>
      </c>
      <c r="G8" s="168">
        <f t="shared" si="0"/>
        <v>0</v>
      </c>
      <c r="H8" s="168">
        <f t="shared" si="0"/>
        <v>0</v>
      </c>
      <c r="I8" s="171">
        <f t="shared" ref="I8:I9" si="1">+H8</f>
        <v>0</v>
      </c>
      <c r="J8" s="15"/>
    </row>
    <row r="9" spans="1:10" x14ac:dyDescent="0.2">
      <c r="A9" s="158" t="s">
        <v>7</v>
      </c>
      <c r="B9" s="168" t="e">
        <f>VLOOKUP(A9,#REF!,4,0)</f>
        <v>#REF!</v>
      </c>
      <c r="C9" s="168"/>
      <c r="D9" s="168">
        <f t="shared" si="0"/>
        <v>0</v>
      </c>
      <c r="E9" s="168">
        <f t="shared" si="0"/>
        <v>0</v>
      </c>
      <c r="F9" s="168">
        <f t="shared" si="0"/>
        <v>0</v>
      </c>
      <c r="G9" s="168">
        <f t="shared" si="0"/>
        <v>0</v>
      </c>
      <c r="H9" s="168">
        <f t="shared" si="0"/>
        <v>0</v>
      </c>
      <c r="I9" s="171">
        <f t="shared" si="1"/>
        <v>0</v>
      </c>
      <c r="J9" s="15"/>
    </row>
    <row r="10" spans="1:10" x14ac:dyDescent="0.2">
      <c r="A10" s="158" t="s">
        <v>8</v>
      </c>
      <c r="B10" s="168" t="e">
        <f>VLOOKUP(A10,#REF!,4,0)</f>
        <v>#REF!</v>
      </c>
      <c r="C10" s="168">
        <v>175732.02900000001</v>
      </c>
      <c r="D10" s="168">
        <f>+C10*('שינוי בצריכה לשנה'!E$5+1)</f>
        <v>202091.83335</v>
      </c>
      <c r="E10" s="168">
        <f>+D10*('שינוי בצריכה לשנה'!F$5+1)</f>
        <v>202091.83335</v>
      </c>
      <c r="F10" s="168">
        <f>+'[3]תחזית 2012'!B10*1000</f>
        <v>196859.55399999997</v>
      </c>
      <c r="G10" s="168">
        <f>+F10*('שינוי בצריכה לשנה'!H$5+1)</f>
        <v>196859.55399999997</v>
      </c>
      <c r="H10" s="168">
        <f>+G10*('שינוי בצריכה לשנה'!I$5+1)</f>
        <v>196859.55399999997</v>
      </c>
      <c r="I10" s="171">
        <f>+H10*('שינוי בצריכה לשנה'!J$5+1)</f>
        <v>196859.55399999997</v>
      </c>
      <c r="J10" s="15"/>
    </row>
    <row r="11" spans="1:10" x14ac:dyDescent="0.2">
      <c r="A11" s="158" t="s">
        <v>9</v>
      </c>
      <c r="B11" s="168" t="e">
        <f>VLOOKUP(A11,#REF!,4,0)</f>
        <v>#REF!</v>
      </c>
      <c r="C11" s="168">
        <v>32538.901000000005</v>
      </c>
      <c r="D11" s="168">
        <f>+C11*('שינוי בצריכה לשנה'!E$5+1)</f>
        <v>37419.736150000004</v>
      </c>
      <c r="E11" s="168">
        <f>+D11*('שינוי בצריכה לשנה'!F$5+1)</f>
        <v>37419.736150000004</v>
      </c>
      <c r="F11" s="168">
        <f>+'[3]תחזית 2012'!B11*1000</f>
        <v>53067.508999999991</v>
      </c>
      <c r="G11" s="168">
        <f>+F11*('שינוי בצריכה לשנה'!H$5+1)</f>
        <v>53067.508999999991</v>
      </c>
      <c r="H11" s="168">
        <f>+G11*('שינוי בצריכה לשנה'!I$5+1)</f>
        <v>53067.508999999991</v>
      </c>
      <c r="I11" s="171">
        <f>+H11*('שינוי בצריכה לשנה'!J$5+1)</f>
        <v>53067.508999999991</v>
      </c>
      <c r="J11" s="15"/>
    </row>
    <row r="12" spans="1:10" x14ac:dyDescent="0.2">
      <c r="A12" s="161" t="s">
        <v>10</v>
      </c>
      <c r="B12" s="168" t="e">
        <f>VLOOKUP(A12,#REF!,4,0)</f>
        <v>#REF!</v>
      </c>
      <c r="C12" s="168">
        <v>24166.222999999998</v>
      </c>
      <c r="D12" s="168">
        <f>+C12*('שינוי בצריכה לשנה'!E$5+1)</f>
        <v>27791.156449999995</v>
      </c>
      <c r="E12" s="168">
        <f>+D12*('שינוי בצריכה לשנה'!F$5+1)</f>
        <v>27791.156449999995</v>
      </c>
      <c r="F12" s="168">
        <f>+'[3]תחזית 2012'!B12*1000</f>
        <v>18203.699999999997</v>
      </c>
      <c r="G12" s="168">
        <f>+F12*('שינוי בצריכה לשנה'!H$5+1)</f>
        <v>18203.699999999997</v>
      </c>
      <c r="H12" s="168">
        <f>+G12*('שינוי בצריכה לשנה'!I$5+1)</f>
        <v>18203.699999999997</v>
      </c>
      <c r="I12" s="171">
        <f>+H12*('שינוי בצריכה לשנה'!J$5+1)</f>
        <v>18203.699999999997</v>
      </c>
      <c r="J12" s="15"/>
    </row>
    <row r="13" spans="1:10" x14ac:dyDescent="0.2">
      <c r="A13" s="161" t="s">
        <v>11</v>
      </c>
      <c r="B13" s="168" t="e">
        <f>VLOOKUP(A13,#REF!,4,0)</f>
        <v>#REF!</v>
      </c>
      <c r="C13" s="168">
        <v>0</v>
      </c>
      <c r="D13" s="168">
        <f>+C13*('שינוי בצריכה לשנה'!E$5+1)</f>
        <v>0</v>
      </c>
      <c r="E13" s="168">
        <f>+D13*('שינוי בצריכה לשנה'!F$5+1)</f>
        <v>0</v>
      </c>
      <c r="F13" s="168">
        <f>+E13*('שינוי בצריכה לשנה'!G$5+1)</f>
        <v>0</v>
      </c>
      <c r="G13" s="168">
        <f>+F13*('שינוי בצריכה לשנה'!H$5+1)</f>
        <v>0</v>
      </c>
      <c r="H13" s="168">
        <f>+G13*('שינוי בצריכה לשנה'!I$5+1)</f>
        <v>0</v>
      </c>
      <c r="I13" s="171">
        <f>+H13*('שינוי בצריכה לשנה'!J$5+1)</f>
        <v>0</v>
      </c>
      <c r="J13" s="15"/>
    </row>
    <row r="14" spans="1:10" x14ac:dyDescent="0.2">
      <c r="A14" s="161" t="s">
        <v>12</v>
      </c>
      <c r="B14" s="168" t="e">
        <f>VLOOKUP(A14,#REF!,4,0)</f>
        <v>#REF!</v>
      </c>
      <c r="C14" s="168">
        <v>0.85799999999999998</v>
      </c>
      <c r="D14" s="168">
        <f>+C14</f>
        <v>0.85799999999999998</v>
      </c>
      <c r="E14" s="168">
        <f>+D14*('שינוי בצריכה לשנה'!F$5+1)</f>
        <v>0.85799999999999998</v>
      </c>
      <c r="F14" s="168">
        <f>+E14*('שינוי בצריכה לשנה'!G$5+1)</f>
        <v>0.85799999999999998</v>
      </c>
      <c r="G14" s="168">
        <f>+F14*('שינוי בצריכה לשנה'!H$5+1)</f>
        <v>0.85799999999999998</v>
      </c>
      <c r="H14" s="168">
        <f>+G14*('שינוי בצריכה לשנה'!I$5+1)</f>
        <v>0.85799999999999998</v>
      </c>
      <c r="I14" s="171">
        <f>+H14*('שינוי בצריכה לשנה'!J$5+1)</f>
        <v>0.85799999999999998</v>
      </c>
      <c r="J14" s="15"/>
    </row>
    <row r="15" spans="1:10" x14ac:dyDescent="0.2">
      <c r="A15" s="161" t="s">
        <v>13</v>
      </c>
      <c r="B15" s="168" t="e">
        <f>VLOOKUP(A15,#REF!,4,0)</f>
        <v>#REF!</v>
      </c>
      <c r="C15" s="168">
        <v>3137.27</v>
      </c>
      <c r="D15" s="168">
        <f>+C15</f>
        <v>3137.27</v>
      </c>
      <c r="E15" s="168">
        <f>+D15*('שינוי בצריכה לשנה'!F$5+1)</f>
        <v>3137.27</v>
      </c>
      <c r="F15" s="168">
        <f>+E15*('שינוי בצריכה לשנה'!G$5+1)</f>
        <v>3137.27</v>
      </c>
      <c r="G15" s="168">
        <f>+F15*('שינוי בצריכה לשנה'!H$5+1)</f>
        <v>3137.27</v>
      </c>
      <c r="H15" s="168">
        <f>+G15*('שינוי בצריכה לשנה'!I$5+1)</f>
        <v>3137.27</v>
      </c>
      <c r="I15" s="171">
        <f>+H15*('שינוי בצריכה לשנה'!J$5+1)</f>
        <v>3137.27</v>
      </c>
      <c r="J15" s="15"/>
    </row>
    <row r="16" spans="1:10" x14ac:dyDescent="0.2">
      <c r="A16" s="161" t="s">
        <v>14</v>
      </c>
      <c r="B16" s="168" t="e">
        <f>VLOOKUP(A16,#REF!,4,0)</f>
        <v>#REF!</v>
      </c>
      <c r="C16" s="168">
        <v>247.739</v>
      </c>
      <c r="D16" s="168">
        <f>+C16</f>
        <v>247.739</v>
      </c>
      <c r="E16" s="168">
        <f>+D16*('שינוי בצריכה לשנה'!F$5+1)</f>
        <v>247.739</v>
      </c>
      <c r="F16" s="168">
        <f>+E16*('שינוי בצריכה לשנה'!G$5+1)</f>
        <v>247.739</v>
      </c>
      <c r="G16" s="168">
        <f>+F16*('שינוי בצריכה לשנה'!H$5+1)</f>
        <v>247.739</v>
      </c>
      <c r="H16" s="168">
        <f>+G16*('שינוי בצריכה לשנה'!I$5+1)</f>
        <v>247.739</v>
      </c>
      <c r="I16" s="171">
        <f>+H16*('שינוי בצריכה לשנה'!J$5+1)</f>
        <v>247.739</v>
      </c>
      <c r="J16" s="15"/>
    </row>
    <row r="17" spans="1:10" x14ac:dyDescent="0.2">
      <c r="A17" s="161" t="s">
        <v>15</v>
      </c>
      <c r="B17" s="168" t="e">
        <f>VLOOKUP(A17,#REF!,4,0)</f>
        <v>#REF!</v>
      </c>
      <c r="C17" s="168">
        <v>309.262</v>
      </c>
      <c r="D17" s="168">
        <f>+C17</f>
        <v>309.262</v>
      </c>
      <c r="E17" s="168">
        <f>+D17*('שינוי בצריכה לשנה'!F$5+1)</f>
        <v>309.262</v>
      </c>
      <c r="F17" s="168">
        <f>+E17*('שינוי בצריכה לשנה'!G$5+1)</f>
        <v>309.262</v>
      </c>
      <c r="G17" s="168">
        <f>+F17*('שינוי בצריכה לשנה'!H$5+1)</f>
        <v>309.262</v>
      </c>
      <c r="H17" s="168">
        <f>+G17*('שינוי בצריכה לשנה'!I$5+1)</f>
        <v>309.262</v>
      </c>
      <c r="I17" s="171">
        <f>+H17*('שינוי בצריכה לשנה'!J$5+1)</f>
        <v>309.262</v>
      </c>
      <c r="J17" s="15"/>
    </row>
    <row r="18" spans="1:10" x14ac:dyDescent="0.2">
      <c r="A18" s="161" t="s">
        <v>16</v>
      </c>
      <c r="B18" s="168" t="e">
        <f>VLOOKUP(A18,#REF!,4,0)</f>
        <v>#REF!</v>
      </c>
      <c r="C18" s="168">
        <v>18.5</v>
      </c>
      <c r="D18" s="168">
        <f>+C18</f>
        <v>18.5</v>
      </c>
      <c r="E18" s="168">
        <f>+D18*('שינוי בצריכה לשנה'!F$5+1)</f>
        <v>18.5</v>
      </c>
      <c r="F18" s="168">
        <f>+E18*('שינוי בצריכה לשנה'!G$5+1)</f>
        <v>18.5</v>
      </c>
      <c r="G18" s="168">
        <f>+F18*('שינוי בצריכה לשנה'!H$5+1)</f>
        <v>18.5</v>
      </c>
      <c r="H18" s="168">
        <f>+G18*('שינוי בצריכה לשנה'!I$5+1)</f>
        <v>18.5</v>
      </c>
      <c r="I18" s="171">
        <f>+H18*('שינוי בצריכה לשנה'!J$5+1)</f>
        <v>18.5</v>
      </c>
      <c r="J18" s="15"/>
    </row>
    <row r="19" spans="1:10" x14ac:dyDescent="0.2">
      <c r="A19" s="161" t="s">
        <v>7</v>
      </c>
      <c r="B19" s="168" t="e">
        <f>VLOOKUP(A19,#REF!,4,0)</f>
        <v>#REF!</v>
      </c>
      <c r="C19" s="168"/>
      <c r="D19" s="168">
        <f>+C19*('שינוי בצריכה לשנה'!E$5+1)</f>
        <v>0</v>
      </c>
      <c r="E19" s="168">
        <f>+D19*('שינוי בצריכה לשנה'!F$5+1)</f>
        <v>0</v>
      </c>
      <c r="F19" s="168">
        <f>+E19*('שינוי בצריכה לשנה'!G$5+1)</f>
        <v>0</v>
      </c>
      <c r="G19" s="168">
        <f>+F19*('שינוי בצריכה לשנה'!H$5+1)</f>
        <v>0</v>
      </c>
      <c r="H19" s="168">
        <f>+G19*('שינוי בצריכה לשנה'!I$5+1)</f>
        <v>0</v>
      </c>
      <c r="I19" s="171">
        <f>+H19*('שינוי בצריכה לשנה'!J$5+1)</f>
        <v>0</v>
      </c>
      <c r="J19" s="15"/>
    </row>
    <row r="20" spans="1:10" x14ac:dyDescent="0.2">
      <c r="A20" s="161" t="s">
        <v>68</v>
      </c>
      <c r="B20" s="168" t="e">
        <f>VLOOKUP(A20,#REF!,4,0)</f>
        <v>#REF!</v>
      </c>
      <c r="C20" s="168">
        <v>62467.065999999999</v>
      </c>
      <c r="D20" s="168">
        <f>+C20</f>
        <v>62467.065999999999</v>
      </c>
      <c r="E20" s="168">
        <f>+D20*('שינוי בצריכה לשנה'!F$5+1)</f>
        <v>62467.065999999999</v>
      </c>
      <c r="F20" s="168">
        <f>+E20*('שינוי בצריכה לשנה'!G$5+1)</f>
        <v>62467.065999999999</v>
      </c>
      <c r="G20" s="168">
        <f>+F20*('שינוי בצריכה לשנה'!H$5+1)</f>
        <v>62467.065999999999</v>
      </c>
      <c r="H20" s="168">
        <f>+G20*('שינוי בצריכה לשנה'!I$5+1)</f>
        <v>62467.065999999999</v>
      </c>
      <c r="I20" s="171">
        <f>+H20*('שינוי בצריכה לשנה'!J$5+1)</f>
        <v>62467.065999999999</v>
      </c>
      <c r="J20" s="15"/>
    </row>
    <row r="21" spans="1:10" x14ac:dyDescent="0.2">
      <c r="A21" s="161" t="s">
        <v>17</v>
      </c>
      <c r="B21" s="168" t="e">
        <f>VLOOKUP(A21,#REF!,4,0)</f>
        <v>#REF!</v>
      </c>
      <c r="C21" s="168">
        <v>5603.0069999999996</v>
      </c>
      <c r="D21" s="168">
        <f>+C21*('שינוי בצריכה לשנה'!E$5+1)</f>
        <v>6443.4580499999993</v>
      </c>
      <c r="E21" s="168">
        <f>+D21*('שינוי בצריכה לשנה'!F$5+1)</f>
        <v>6443.4580499999993</v>
      </c>
      <c r="F21" s="168">
        <f>+E21*('שינוי בצריכה לשנה'!G$5+1)</f>
        <v>6443.4580499999993</v>
      </c>
      <c r="G21" s="168">
        <f>+F21*('שינוי בצריכה לשנה'!H$5+1)</f>
        <v>6443.4580499999993</v>
      </c>
      <c r="H21" s="168">
        <f>+G21*('שינוי בצריכה לשנה'!I$5+1)</f>
        <v>6443.4580499999993</v>
      </c>
      <c r="I21" s="171">
        <f>+H21*('שינוי בצריכה לשנה'!J$5+1)</f>
        <v>6443.4580499999993</v>
      </c>
      <c r="J21" s="15"/>
    </row>
    <row r="22" spans="1:10" x14ac:dyDescent="0.2">
      <c r="A22" s="161" t="s">
        <v>18</v>
      </c>
      <c r="B22" s="168" t="e">
        <f>VLOOKUP(A22,#REF!,4,0)</f>
        <v>#REF!</v>
      </c>
      <c r="C22" s="168">
        <v>0</v>
      </c>
      <c r="D22" s="168">
        <f>+C22</f>
        <v>0</v>
      </c>
      <c r="E22" s="168">
        <f>+D22*('שינוי בצריכה לשנה'!F$5+1)</f>
        <v>0</v>
      </c>
      <c r="F22" s="168">
        <f>+E22*('שינוי בצריכה לשנה'!G$5+1)</f>
        <v>0</v>
      </c>
      <c r="G22" s="168">
        <f>+F22*('שינוי בצריכה לשנה'!H$5+1)</f>
        <v>0</v>
      </c>
      <c r="H22" s="168">
        <f>+G22*('שינוי בצריכה לשנה'!I$5+1)</f>
        <v>0</v>
      </c>
      <c r="I22" s="171">
        <f>+H22*('שינוי בצריכה לשנה'!J$5+1)</f>
        <v>0</v>
      </c>
      <c r="J22" s="15"/>
    </row>
    <row r="23" spans="1:10" x14ac:dyDescent="0.2">
      <c r="A23" s="161" t="s">
        <v>69</v>
      </c>
      <c r="B23" s="168" t="e">
        <f>VLOOKUP(A23,#REF!,4,0)</f>
        <v>#REF!</v>
      </c>
      <c r="C23" s="168">
        <v>17444.851000000002</v>
      </c>
      <c r="D23" s="168">
        <f>+C23*('שינוי בצריכה לשנה'!E$5+1)</f>
        <v>20061.578649999999</v>
      </c>
      <c r="E23" s="168">
        <f>+D23*('שינוי בצריכה לשנה'!F$5+1)</f>
        <v>20061.578649999999</v>
      </c>
      <c r="F23" s="168">
        <f>+E23*('שינוי בצריכה לשנה'!G$5+1)</f>
        <v>20061.578649999999</v>
      </c>
      <c r="G23" s="168">
        <f>+F23*('שינוי בצריכה לשנה'!H$5+1)</f>
        <v>20061.578649999999</v>
      </c>
      <c r="H23" s="168">
        <f>+G23*('שינוי בצריכה לשנה'!I$5+1)</f>
        <v>20061.578649999999</v>
      </c>
      <c r="I23" s="171">
        <f>+H23*('שינוי בצריכה לשנה'!J$5+1)</f>
        <v>20061.578649999999</v>
      </c>
      <c r="J23" s="15"/>
    </row>
    <row r="24" spans="1:10" x14ac:dyDescent="0.2">
      <c r="A24" s="158" t="s">
        <v>19</v>
      </c>
      <c r="B24" s="168" t="e">
        <f>VLOOKUP(A24,#REF!,4,0)</f>
        <v>#REF!</v>
      </c>
      <c r="C24" s="168">
        <v>131893.01300000001</v>
      </c>
      <c r="D24" s="168">
        <f>+C24*(1+'שינוי בצריכה לשנה'!E$7)</f>
        <v>131893.01300000001</v>
      </c>
      <c r="E24" s="168">
        <f>+D24*(1+'שינוי בצריכה לשנה'!F$7)</f>
        <v>133211.94313</v>
      </c>
      <c r="F24" s="168">
        <f>+E24*(1+'שינוי בצריכה לשנה'!G$7)</f>
        <v>131879.8236987</v>
      </c>
      <c r="G24" s="168">
        <f>+F24*(1+'שינוי בצריכה לשנה'!H$7)</f>
        <v>137155.016646648</v>
      </c>
      <c r="H24" s="168">
        <f>+G24*(1+'שינוי בצריכה לשנה'!I$7)</f>
        <v>138526.56681311448</v>
      </c>
      <c r="I24" s="171">
        <f>+H24*(1+'שינוי בצריכה לשנה'!J$7)</f>
        <v>139911.83248124563</v>
      </c>
      <c r="J24" s="15"/>
    </row>
    <row r="25" spans="1:10" x14ac:dyDescent="0.2">
      <c r="A25" s="158" t="s">
        <v>20</v>
      </c>
      <c r="B25" s="168" t="e">
        <f>VLOOKUP(A25,#REF!,4,0)</f>
        <v>#REF!</v>
      </c>
      <c r="C25" s="168">
        <v>8009.9870000000001</v>
      </c>
      <c r="D25" s="168">
        <f t="shared" ref="D25:I25" si="2">+C25</f>
        <v>8009.9870000000001</v>
      </c>
      <c r="E25" s="168">
        <f t="shared" si="2"/>
        <v>8009.9870000000001</v>
      </c>
      <c r="F25" s="168">
        <f t="shared" si="2"/>
        <v>8009.9870000000001</v>
      </c>
      <c r="G25" s="168"/>
      <c r="H25" s="168">
        <f t="shared" si="2"/>
        <v>0</v>
      </c>
      <c r="I25" s="171">
        <f t="shared" si="2"/>
        <v>0</v>
      </c>
      <c r="J25" s="15"/>
    </row>
    <row r="26" spans="1:10" x14ac:dyDescent="0.2">
      <c r="A26" s="158" t="s">
        <v>21</v>
      </c>
      <c r="B26" s="168" t="e">
        <f>VLOOKUP(A26,#REF!,4,0)</f>
        <v>#REF!</v>
      </c>
      <c r="C26" s="168">
        <v>58791.919000000002</v>
      </c>
      <c r="D26" s="168">
        <f>+C26*(1+'שינוי בצריכה לשנה'!E$6)</f>
        <v>61143.595760000004</v>
      </c>
      <c r="E26" s="168">
        <f>+D26*(1+'שינוי בצריכה לשנה'!F$6)</f>
        <v>63589.339590400006</v>
      </c>
      <c r="F26" s="168">
        <f>+E26*(1+'שינוי בצריכה לשנה'!G$6)</f>
        <v>64861.126382208007</v>
      </c>
      <c r="G26" s="168">
        <f>+F26*(1+'שינוי בצריכה לשנה'!H$6)</f>
        <v>66158.348909852168</v>
      </c>
      <c r="H26" s="168">
        <f>+G26*(1+'שינוי בצריכה לשנה'!I$6)</f>
        <v>68804.68286624625</v>
      </c>
      <c r="I26" s="171">
        <f>+H26*(1+'שינוי בצריכה לשנה'!J$6)</f>
        <v>71556.870180896105</v>
      </c>
      <c r="J26" s="15"/>
    </row>
    <row r="27" spans="1:10" x14ac:dyDescent="0.2">
      <c r="A27" s="158" t="s">
        <v>70</v>
      </c>
      <c r="B27" s="168" t="e">
        <f>VLOOKUP(A27,#REF!,4,0)</f>
        <v>#REF!</v>
      </c>
      <c r="C27" s="168">
        <v>63550.508999999998</v>
      </c>
      <c r="D27" s="168">
        <f>+C27*(1+'שינוי בצריכה לשנה'!E$8)</f>
        <v>64186.014089999997</v>
      </c>
      <c r="E27" s="168">
        <f>+D27*(1+'שינוי בצריכה לשנה'!F$8)</f>
        <v>64827.874230900001</v>
      </c>
      <c r="F27" s="168">
        <f>+E27*(1+'שינוי בצריכה לשנה'!G$8)</f>
        <v>65476.152973208998</v>
      </c>
      <c r="G27" s="168">
        <f>+F27*(1+'שינוי בצריכה לשנה'!H$8)</f>
        <v>66130.914502941087</v>
      </c>
      <c r="H27" s="168">
        <f>+G27*(1+'שינוי בצריכה לשנה'!I$8)</f>
        <v>66792.223647970502</v>
      </c>
      <c r="I27" s="171">
        <f>+H27*(1+'שינוי בצריכה לשנה'!J$8)</f>
        <v>67460.145884450205</v>
      </c>
      <c r="J27" s="15"/>
    </row>
    <row r="28" spans="1:10" x14ac:dyDescent="0.2">
      <c r="A28" s="161" t="s">
        <v>71</v>
      </c>
      <c r="B28" s="168" t="e">
        <f>VLOOKUP(A28,#REF!,4,0)</f>
        <v>#REF!</v>
      </c>
      <c r="C28" s="168">
        <v>11111.659</v>
      </c>
      <c r="D28" s="168">
        <f>+C28*(1+'שינוי בצריכה לשנה'!E$11)</f>
        <v>12000.59172</v>
      </c>
      <c r="E28" s="168">
        <f>+D28*(1+'שינוי בצריכה לשנה'!F$11)</f>
        <v>12960.639057600001</v>
      </c>
      <c r="F28" s="168">
        <f>+E28*(1+'שינוי בצריכה לשנה'!G$11)</f>
        <v>13997.490182208003</v>
      </c>
      <c r="G28" s="168">
        <f>+F28*(1+'שינוי בצריכה לשנה'!H$11)</f>
        <v>15117.289396784645</v>
      </c>
      <c r="H28" s="168">
        <f>+G28*(1+'שינוי בצריכה לשנה'!I$11)</f>
        <v>16326.672548527418</v>
      </c>
      <c r="I28" s="171">
        <f>+H28*(1+'שינוי בצריכה לשנה'!J$11)</f>
        <v>17632.806352409614</v>
      </c>
      <c r="J28" s="15"/>
    </row>
    <row r="29" spans="1:10" x14ac:dyDescent="0.2">
      <c r="A29" s="158" t="s">
        <v>23</v>
      </c>
      <c r="B29" s="168" t="e">
        <f>+#REF!</f>
        <v>#REF!</v>
      </c>
      <c r="C29" s="168">
        <v>45976.2</v>
      </c>
      <c r="D29" s="168">
        <f>+C29*(1+'שינוי בצריכה לשנה'!E$9)</f>
        <v>50573.82</v>
      </c>
      <c r="E29" s="168">
        <f>+D29*(1+'שינוי בצריכה לשנה'!F$9)</f>
        <v>50573.82</v>
      </c>
      <c r="F29" s="168">
        <v>40000</v>
      </c>
      <c r="G29" s="168">
        <f>+F29*(1+'שינוי בצריכה לשנה'!H$9)+5000</f>
        <v>45000</v>
      </c>
      <c r="H29" s="168">
        <f>+G29*(1+'שינוי בצריכה לשנה'!I$9)</f>
        <v>45000</v>
      </c>
      <c r="I29" s="171">
        <f>+H29*(1+'שינוי בצריכה לשנה'!J$9)</f>
        <v>45000</v>
      </c>
      <c r="J29" s="15"/>
    </row>
    <row r="30" spans="1:10" x14ac:dyDescent="0.2">
      <c r="A30" s="158" t="s">
        <v>97</v>
      </c>
      <c r="B30" s="168"/>
      <c r="C30" s="168"/>
      <c r="D30" s="168"/>
      <c r="E30" s="168"/>
      <c r="F30" s="168">
        <v>10000</v>
      </c>
      <c r="G30" s="168">
        <v>10000</v>
      </c>
      <c r="H30" s="168">
        <v>10000</v>
      </c>
      <c r="I30" s="171">
        <v>10000</v>
      </c>
      <c r="J30" s="15"/>
    </row>
    <row r="31" spans="1:10" x14ac:dyDescent="0.2">
      <c r="A31" s="158" t="s">
        <v>24</v>
      </c>
      <c r="B31" s="168" t="e">
        <f>VLOOKUP(A31,#REF!,4,0)</f>
        <v>#REF!</v>
      </c>
      <c r="C31" s="168">
        <v>53835.9</v>
      </c>
      <c r="D31" s="168">
        <f>+C31*(1+'שינוי בצריכה לשנה'!E$10)</f>
        <v>55450.977000000006</v>
      </c>
      <c r="E31" s="168">
        <f>+D31*(1+'שינוי בצריכה לשנה'!F$10)</f>
        <v>57114.506310000004</v>
      </c>
      <c r="F31" s="168">
        <f>+E31*(1+'שינוי בצריכה לשנה'!G$10)</f>
        <v>58827.941499300003</v>
      </c>
      <c r="G31" s="168">
        <f>+F31*(1+'שינוי בצריכה לשנה'!H$10)</f>
        <v>60592.779744279003</v>
      </c>
      <c r="H31" s="168">
        <f>+G31*(1+'שינוי בצריכה לשנה'!I$10)</f>
        <v>62410.563136607372</v>
      </c>
      <c r="I31" s="171">
        <f>+H31*(1+'שינוי בצריכה לשנה'!J$10)</f>
        <v>64282.880030705594</v>
      </c>
      <c r="J31" s="15"/>
    </row>
    <row r="32" spans="1:10" ht="13.5" thickBot="1" x14ac:dyDescent="0.25">
      <c r="A32" s="163" t="s">
        <v>25</v>
      </c>
      <c r="B32" s="172" t="e">
        <f>VLOOKUP(A32,#REF!,4,0)</f>
        <v>#REF!</v>
      </c>
      <c r="C32" s="172">
        <v>16276.121999999999</v>
      </c>
      <c r="D32" s="172">
        <f>+C32*(1+'שינוי בצריכה לשנה'!E$5)</f>
        <v>18717.540299999997</v>
      </c>
      <c r="E32" s="172">
        <f>+D32*(1+'שינוי בצריכה לשנה'!F$5)</f>
        <v>18717.540299999997</v>
      </c>
      <c r="F32" s="172">
        <f>+E32*(1+'שינוי בצריכה לשנה'!G$5)</f>
        <v>18717.540299999997</v>
      </c>
      <c r="G32" s="172">
        <f>+F32*(1+'שינוי בצריכה לשנה'!H$5)</f>
        <v>18717.540299999997</v>
      </c>
      <c r="H32" s="172">
        <f>+G32*(1+'שינוי בצריכה לשנה'!I$5)</f>
        <v>18717.540299999997</v>
      </c>
      <c r="I32" s="173">
        <f>+H32*(1+'שינוי בצריכה לשנה'!J$5)</f>
        <v>18717.540299999997</v>
      </c>
      <c r="J32" s="15"/>
    </row>
    <row r="33" spans="1:9" x14ac:dyDescent="0.2">
      <c r="A33" s="174"/>
      <c r="B33" s="22"/>
      <c r="C33" s="22"/>
      <c r="D33" s="185"/>
      <c r="E33" s="22"/>
      <c r="F33" s="185"/>
      <c r="G33" s="22"/>
      <c r="H33" s="181"/>
      <c r="I33" s="175"/>
    </row>
    <row r="34" spans="1:9" x14ac:dyDescent="0.2">
      <c r="A34" s="174"/>
      <c r="B34" s="22"/>
      <c r="C34" s="22"/>
      <c r="D34" s="186"/>
      <c r="E34" s="22"/>
      <c r="F34" s="186"/>
      <c r="G34" s="176"/>
      <c r="H34" s="182"/>
      <c r="I34" s="175"/>
    </row>
    <row r="35" spans="1:9" ht="13.5" thickBot="1" x14ac:dyDescent="0.25">
      <c r="A35" s="177"/>
      <c r="B35" s="178" t="e">
        <f>SUM(B2:B34)</f>
        <v>#REF!</v>
      </c>
      <c r="C35" s="179">
        <f t="shared" ref="C35:H35" si="3">SUM(C2:C34)-C4</f>
        <v>1348428.8239999996</v>
      </c>
      <c r="D35" s="183">
        <f t="shared" si="3"/>
        <v>1403981.8055199997</v>
      </c>
      <c r="E35" s="184">
        <f t="shared" si="3"/>
        <v>1434410.1162689</v>
      </c>
      <c r="F35" s="183">
        <f t="shared" si="3"/>
        <v>1443914.5477356247</v>
      </c>
      <c r="G35" s="184">
        <f t="shared" si="3"/>
        <v>1484772.486120505</v>
      </c>
      <c r="H35" s="183">
        <f t="shared" si="3"/>
        <v>1503499.846405026</v>
      </c>
      <c r="I35" s="180">
        <f>SUM(I2:I34)-I4</f>
        <v>1522699.704875333</v>
      </c>
    </row>
  </sheetData>
  <phoneticPr fontId="2" type="noConversion"/>
  <pageMargins left="0.74803149606299213" right="0.74803149606299213" top="0.98425196850393704" bottom="0.98425196850393704" header="0.51181102362204722" footer="0.51181102362204722"/>
  <pageSetup paperSize="9" scale="67" orientation="landscape" r:id="rId1"/>
  <headerFooter alignWithMargins="0">
    <oddFooter>&amp;R&amp;A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1"/>
  <sheetViews>
    <sheetView rightToLeft="1" workbookViewId="0">
      <selection activeCell="L37" sqref="L37"/>
    </sheetView>
  </sheetViews>
  <sheetFormatPr defaultRowHeight="12.75" x14ac:dyDescent="0.2"/>
  <cols>
    <col min="1" max="1" width="27.7109375" bestFit="1" customWidth="1"/>
    <col min="2" max="4" width="0" hidden="1" customWidth="1"/>
  </cols>
  <sheetData>
    <row r="1" spans="1:18" x14ac:dyDescent="0.2">
      <c r="A1" s="155"/>
      <c r="B1" s="156">
        <v>2008</v>
      </c>
      <c r="C1" s="156">
        <v>2009</v>
      </c>
      <c r="D1" s="156">
        <v>2010</v>
      </c>
      <c r="E1" s="156">
        <v>2011</v>
      </c>
      <c r="F1" s="156">
        <v>2012</v>
      </c>
      <c r="G1" s="156">
        <v>2013</v>
      </c>
      <c r="H1" s="156">
        <v>2014</v>
      </c>
      <c r="I1" s="157">
        <v>2015</v>
      </c>
      <c r="J1" s="12"/>
      <c r="K1" s="12"/>
      <c r="L1" s="12"/>
      <c r="M1" s="12"/>
      <c r="N1" s="12"/>
      <c r="P1" s="12">
        <v>1.03</v>
      </c>
    </row>
    <row r="2" spans="1:18" x14ac:dyDescent="0.2">
      <c r="A2" s="158" t="s">
        <v>3</v>
      </c>
      <c r="B2" s="152" t="e">
        <f>VLOOKUP(A2,#REF!,3,0)</f>
        <v>#REF!</v>
      </c>
      <c r="C2" s="152"/>
      <c r="D2" s="152"/>
      <c r="E2" s="152"/>
      <c r="F2" s="152"/>
      <c r="G2" s="152"/>
      <c r="H2" s="150"/>
      <c r="I2" s="159"/>
      <c r="J2" s="39"/>
    </row>
    <row r="3" spans="1:18" x14ac:dyDescent="0.2">
      <c r="A3" s="158" t="s">
        <v>63</v>
      </c>
      <c r="B3" s="152" t="e">
        <f>VLOOKUP(A3,#REF!,3,0)</f>
        <v>#REF!</v>
      </c>
      <c r="C3" s="152"/>
      <c r="D3" s="152">
        <v>0.53</v>
      </c>
      <c r="E3" s="152">
        <v>0.6</v>
      </c>
      <c r="F3" s="152">
        <v>0.76</v>
      </c>
      <c r="G3" s="152">
        <v>0.87</v>
      </c>
      <c r="H3" s="152">
        <v>1</v>
      </c>
      <c r="I3" s="160"/>
      <c r="J3" s="27"/>
      <c r="K3" s="27"/>
      <c r="L3" s="27"/>
      <c r="M3" s="27"/>
      <c r="N3" s="27"/>
      <c r="O3" s="27"/>
      <c r="P3" s="27">
        <f>0.857/7*6</f>
        <v>0.73457142857142854</v>
      </c>
      <c r="Q3" s="27"/>
      <c r="R3" s="27"/>
    </row>
    <row r="4" spans="1:18" x14ac:dyDescent="0.2">
      <c r="A4" s="158" t="s">
        <v>64</v>
      </c>
      <c r="B4" s="152"/>
      <c r="C4" s="152"/>
      <c r="D4" s="152"/>
      <c r="E4" s="152"/>
      <c r="F4" s="152"/>
      <c r="G4" s="152"/>
      <c r="H4" s="152"/>
      <c r="I4" s="160"/>
      <c r="J4" s="27"/>
      <c r="K4" s="24"/>
      <c r="N4" s="27"/>
      <c r="O4" s="27"/>
      <c r="P4" s="27"/>
      <c r="Q4" s="27"/>
      <c r="R4" s="27"/>
    </row>
    <row r="5" spans="1:18" x14ac:dyDescent="0.2">
      <c r="A5" s="158" t="s">
        <v>5</v>
      </c>
      <c r="B5" s="152" t="e">
        <f>VLOOKUP(A5,#REF!,3,0)</f>
        <v>#REF!</v>
      </c>
      <c r="C5" s="152"/>
      <c r="D5" s="152"/>
      <c r="E5" s="152"/>
      <c r="F5" s="152"/>
      <c r="G5" s="152"/>
      <c r="H5" s="150"/>
      <c r="I5" s="159"/>
      <c r="J5" s="39"/>
    </row>
    <row r="6" spans="1:18" x14ac:dyDescent="0.2">
      <c r="A6" s="158" t="s">
        <v>6</v>
      </c>
      <c r="B6" s="152">
        <f>+B30</f>
        <v>0.1</v>
      </c>
      <c r="C6" s="152">
        <f>+B6</f>
        <v>0.1</v>
      </c>
      <c r="D6" s="152">
        <f t="shared" ref="D6:H7" si="0">+C6</f>
        <v>0.1</v>
      </c>
      <c r="E6" s="152">
        <f>+D6</f>
        <v>0.1</v>
      </c>
      <c r="F6" s="152">
        <f t="shared" si="0"/>
        <v>0.1</v>
      </c>
      <c r="G6" s="152">
        <f t="shared" si="0"/>
        <v>0.1</v>
      </c>
      <c r="H6" s="150">
        <f>+G6</f>
        <v>0.1</v>
      </c>
      <c r="I6" s="159">
        <f>+H6</f>
        <v>0.1</v>
      </c>
      <c r="J6" s="39"/>
      <c r="K6" s="39"/>
      <c r="L6" s="39"/>
      <c r="M6" s="39"/>
      <c r="N6" s="39"/>
    </row>
    <row r="7" spans="1:18" x14ac:dyDescent="0.2">
      <c r="A7" s="158" t="s">
        <v>7</v>
      </c>
      <c r="B7" s="152">
        <f>+B30</f>
        <v>0.1</v>
      </c>
      <c r="C7" s="152">
        <f>+B7</f>
        <v>0.1</v>
      </c>
      <c r="D7" s="152">
        <f t="shared" si="0"/>
        <v>0.1</v>
      </c>
      <c r="E7" s="152">
        <f>+D7</f>
        <v>0.1</v>
      </c>
      <c r="F7" s="152">
        <f t="shared" si="0"/>
        <v>0.1</v>
      </c>
      <c r="G7" s="152">
        <f t="shared" si="0"/>
        <v>0.1</v>
      </c>
      <c r="H7" s="150">
        <f t="shared" si="0"/>
        <v>0.1</v>
      </c>
      <c r="I7" s="159">
        <f>+H7</f>
        <v>0.1</v>
      </c>
      <c r="J7" s="39"/>
      <c r="K7" s="39"/>
      <c r="L7" s="39"/>
      <c r="M7" s="39"/>
      <c r="N7" s="39"/>
    </row>
    <row r="8" spans="1:18" x14ac:dyDescent="0.2">
      <c r="A8" s="158" t="s">
        <v>8</v>
      </c>
      <c r="B8" s="152" t="e">
        <f>VLOOKUP(A8,#REF!,3,0)</f>
        <v>#REF!</v>
      </c>
      <c r="C8" s="152">
        <v>1.337</v>
      </c>
      <c r="D8" s="152" t="e">
        <f>+($B8*3+$G8*1)/4</f>
        <v>#REF!</v>
      </c>
      <c r="E8" s="152">
        <f>+'[4]1.7.2010'!$E$10*1.011</f>
        <v>1.6281507959999999</v>
      </c>
      <c r="F8" s="152">
        <f>0.368+1.429</f>
        <v>1.7970000000000002</v>
      </c>
      <c r="G8" s="152">
        <f>(1.449+0.498)*1.015</f>
        <v>1.9762049999999998</v>
      </c>
      <c r="H8" s="150">
        <f>+G8+0.12</f>
        <v>2.0962049999999999</v>
      </c>
      <c r="I8" s="159">
        <f>(1.425+0.735)*$P$1</f>
        <v>2.2248000000000001</v>
      </c>
      <c r="J8" s="39"/>
      <c r="K8" s="39"/>
      <c r="L8" s="39"/>
      <c r="M8" s="39"/>
      <c r="N8" s="39"/>
    </row>
    <row r="9" spans="1:18" x14ac:dyDescent="0.2">
      <c r="A9" s="158" t="s">
        <v>9</v>
      </c>
      <c r="B9" s="152" t="e">
        <f>VLOOKUP(A9,#REF!,3,0)</f>
        <v>#REF!</v>
      </c>
      <c r="C9" s="152">
        <v>1.575</v>
      </c>
      <c r="D9" s="152" t="e">
        <f>+($B9*3+$G9*1)/4</f>
        <v>#REF!</v>
      </c>
      <c r="E9" s="152">
        <f>+'[4]1.7.2010'!$E$17*1.011</f>
        <v>1.8755060999999995</v>
      </c>
      <c r="F9" s="152">
        <f>0.368+1.685</f>
        <v>2.0529999999999999</v>
      </c>
      <c r="G9" s="152">
        <f>(1.709+0.498)*1.015</f>
        <v>2.2401049999999998</v>
      </c>
      <c r="H9" s="150">
        <f>+G9+0.12</f>
        <v>2.3601049999999999</v>
      </c>
      <c r="I9" s="159">
        <f>(1.68+0.735)*$P$1</f>
        <v>2.4874499999999999</v>
      </c>
      <c r="J9" s="39"/>
      <c r="K9" s="39"/>
      <c r="L9" s="39"/>
      <c r="M9" s="39"/>
      <c r="N9" s="39"/>
    </row>
    <row r="10" spans="1:18" x14ac:dyDescent="0.2">
      <c r="A10" s="161" t="s">
        <v>10</v>
      </c>
      <c r="B10" s="152" t="e">
        <f>VLOOKUP(A10,#REF!,3,0)</f>
        <v>#REF!</v>
      </c>
      <c r="C10" s="152">
        <v>2.0579999999999998</v>
      </c>
      <c r="D10" s="152" t="e">
        <f>+($B10*3+$G10*1)/4</f>
        <v>#REF!</v>
      </c>
      <c r="E10" s="152">
        <f>+'[4]1.7.2010'!$E$24*1.011</f>
        <v>2.3774918639999996</v>
      </c>
      <c r="F10" s="152">
        <f>0.368+2.202</f>
        <v>2.57</v>
      </c>
      <c r="G10" s="152">
        <f>(2.232+0.498)*1.015</f>
        <v>2.77095</v>
      </c>
      <c r="H10" s="150">
        <f>+G10+0.12</f>
        <v>2.8909500000000001</v>
      </c>
      <c r="I10" s="159">
        <f>(2.195+0.735)*P1</f>
        <v>3.0178999999999996</v>
      </c>
      <c r="J10" s="39"/>
      <c r="K10" s="39"/>
      <c r="L10" s="39"/>
      <c r="M10" s="39"/>
      <c r="N10" s="39"/>
    </row>
    <row r="11" spans="1:18" x14ac:dyDescent="0.2">
      <c r="A11" s="161" t="s">
        <v>11</v>
      </c>
      <c r="B11" s="152" t="e">
        <f>VLOOKUP(A11,#REF!,3,0)</f>
        <v>#REF!</v>
      </c>
      <c r="C11" s="152">
        <v>2.0579999999999998</v>
      </c>
      <c r="D11" s="152" t="e">
        <f>+($B11*3+$G11*1)/4</f>
        <v>#REF!</v>
      </c>
      <c r="E11" s="152">
        <f t="shared" ref="E11:I11" si="1">+E10</f>
        <v>2.3774918639999996</v>
      </c>
      <c r="F11" s="152">
        <f t="shared" si="1"/>
        <v>2.57</v>
      </c>
      <c r="G11" s="152">
        <f t="shared" si="1"/>
        <v>2.77095</v>
      </c>
      <c r="H11" s="152">
        <f t="shared" si="1"/>
        <v>2.8909500000000001</v>
      </c>
      <c r="I11" s="160">
        <f t="shared" si="1"/>
        <v>3.0178999999999996</v>
      </c>
      <c r="J11" s="27"/>
      <c r="K11" s="27"/>
      <c r="L11" s="39"/>
      <c r="M11" s="39"/>
      <c r="N11" s="39"/>
    </row>
    <row r="12" spans="1:18" x14ac:dyDescent="0.2">
      <c r="A12" s="161" t="s">
        <v>12</v>
      </c>
      <c r="B12" s="152" t="e">
        <f>VLOOKUP(A12,#REF!,3,0)</f>
        <v>#REF!</v>
      </c>
      <c r="C12" s="152">
        <v>1.1719999999999999</v>
      </c>
      <c r="D12" s="152" t="e">
        <f>+D8</f>
        <v>#REF!</v>
      </c>
      <c r="E12" s="152">
        <f>+E8*0.8</f>
        <v>1.3025206368</v>
      </c>
      <c r="F12" s="152">
        <f>+F8</f>
        <v>1.7970000000000002</v>
      </c>
      <c r="G12" s="152">
        <f>+G8</f>
        <v>1.9762049999999998</v>
      </c>
      <c r="H12" s="152">
        <f>+H8</f>
        <v>2.0962049999999999</v>
      </c>
      <c r="I12" s="160">
        <f>+I8</f>
        <v>2.2248000000000001</v>
      </c>
      <c r="J12" s="27"/>
      <c r="K12" s="27"/>
      <c r="L12" s="39"/>
      <c r="M12" s="39"/>
      <c r="N12" s="39"/>
    </row>
    <row r="13" spans="1:18" x14ac:dyDescent="0.2">
      <c r="A13" s="161" t="s">
        <v>13</v>
      </c>
      <c r="B13" s="152" t="e">
        <f>VLOOKUP(A13,#REF!,3,0)</f>
        <v>#REF!</v>
      </c>
      <c r="C13" s="152">
        <v>0.97599999999999998</v>
      </c>
      <c r="D13" s="152" t="e">
        <f>+D12</f>
        <v>#REF!</v>
      </c>
      <c r="E13" s="152">
        <f>+E12</f>
        <v>1.3025206368</v>
      </c>
      <c r="F13" s="152">
        <f>+F12</f>
        <v>1.7970000000000002</v>
      </c>
      <c r="G13" s="152">
        <f>+G12</f>
        <v>1.9762049999999998</v>
      </c>
      <c r="H13" s="152">
        <f>+H12</f>
        <v>2.0962049999999999</v>
      </c>
      <c r="I13" s="160">
        <f>+I8</f>
        <v>2.2248000000000001</v>
      </c>
      <c r="J13" s="27"/>
      <c r="K13" s="27"/>
      <c r="L13" s="39"/>
      <c r="M13" s="39"/>
      <c r="N13" s="39"/>
    </row>
    <row r="14" spans="1:18" x14ac:dyDescent="0.2">
      <c r="A14" s="161" t="s">
        <v>14</v>
      </c>
      <c r="B14" s="152" t="e">
        <f>VLOOKUP(A14,#REF!,3,0)</f>
        <v>#REF!</v>
      </c>
      <c r="C14" s="152">
        <v>0.82899999999999996</v>
      </c>
      <c r="D14" s="152" t="e">
        <f>+D13</f>
        <v>#REF!</v>
      </c>
      <c r="E14" s="152">
        <f t="shared" ref="E14:I14" si="2">+E8</f>
        <v>1.6281507959999999</v>
      </c>
      <c r="F14" s="152">
        <f t="shared" si="2"/>
        <v>1.7970000000000002</v>
      </c>
      <c r="G14" s="152">
        <f t="shared" si="2"/>
        <v>1.9762049999999998</v>
      </c>
      <c r="H14" s="152">
        <f t="shared" si="2"/>
        <v>2.0962049999999999</v>
      </c>
      <c r="I14" s="160">
        <f t="shared" si="2"/>
        <v>2.2248000000000001</v>
      </c>
      <c r="J14" s="27"/>
      <c r="K14" s="27"/>
      <c r="L14" s="39"/>
      <c r="M14" s="39"/>
      <c r="N14" s="39"/>
    </row>
    <row r="15" spans="1:18" x14ac:dyDescent="0.2">
      <c r="A15" s="161" t="s">
        <v>15</v>
      </c>
      <c r="B15" s="152" t="e">
        <f>VLOOKUP(A15,#REF!,3,0)</f>
        <v>#REF!</v>
      </c>
      <c r="C15" s="152">
        <v>0.64700000000000002</v>
      </c>
      <c r="D15" s="152" t="e">
        <f>+D14</f>
        <v>#REF!</v>
      </c>
      <c r="E15" s="152">
        <f>+E8*0.9</f>
        <v>1.4653357164</v>
      </c>
      <c r="F15" s="152">
        <f t="shared" ref="F15:I15" si="3">+F8</f>
        <v>1.7970000000000002</v>
      </c>
      <c r="G15" s="152">
        <f t="shared" si="3"/>
        <v>1.9762049999999998</v>
      </c>
      <c r="H15" s="152">
        <f t="shared" si="3"/>
        <v>2.0962049999999999</v>
      </c>
      <c r="I15" s="160">
        <f t="shared" si="3"/>
        <v>2.2248000000000001</v>
      </c>
      <c r="J15" s="27"/>
      <c r="K15" s="27"/>
      <c r="L15" s="39"/>
      <c r="M15" s="39"/>
      <c r="N15" s="39"/>
    </row>
    <row r="16" spans="1:18" x14ac:dyDescent="0.2">
      <c r="A16" s="161" t="s">
        <v>16</v>
      </c>
      <c r="B16" s="152" t="e">
        <f>VLOOKUP(A16,#REF!,3,0)</f>
        <v>#REF!</v>
      </c>
      <c r="C16" s="152">
        <v>0.36499999999999999</v>
      </c>
      <c r="D16" s="152" t="e">
        <f>+D15</f>
        <v>#REF!</v>
      </c>
      <c r="E16" s="152">
        <f>+E8*0.8</f>
        <v>1.3025206368</v>
      </c>
      <c r="F16" s="152">
        <f t="shared" ref="F16:I16" si="4">+F8</f>
        <v>1.7970000000000002</v>
      </c>
      <c r="G16" s="152">
        <f t="shared" si="4"/>
        <v>1.9762049999999998</v>
      </c>
      <c r="H16" s="152">
        <f t="shared" si="4"/>
        <v>2.0962049999999999</v>
      </c>
      <c r="I16" s="160">
        <f t="shared" si="4"/>
        <v>2.2248000000000001</v>
      </c>
      <c r="J16" s="27"/>
      <c r="K16" s="27"/>
      <c r="L16" s="39"/>
      <c r="M16" s="39"/>
      <c r="N16" s="39"/>
    </row>
    <row r="17" spans="1:19" x14ac:dyDescent="0.2">
      <c r="A17" s="161" t="s">
        <v>7</v>
      </c>
      <c r="B17" s="152">
        <f>+B18</f>
        <v>0.1</v>
      </c>
      <c r="C17" s="152">
        <f>+B17</f>
        <v>0.1</v>
      </c>
      <c r="D17" s="152">
        <f>+($B17*3+$G17*1)/4</f>
        <v>0.1</v>
      </c>
      <c r="E17" s="152">
        <f>+($B17*2+$G17*2)/4</f>
        <v>0.1</v>
      </c>
      <c r="F17" s="152">
        <f>+($B17+3*$G17)/4</f>
        <v>0.1</v>
      </c>
      <c r="G17" s="152">
        <f>+G18</f>
        <v>0.1</v>
      </c>
      <c r="H17" s="150">
        <f>+G17</f>
        <v>0.1</v>
      </c>
      <c r="I17" s="159">
        <f>+G17</f>
        <v>0.1</v>
      </c>
      <c r="J17" s="39"/>
      <c r="K17" s="39"/>
      <c r="L17" s="39"/>
      <c r="M17" s="39"/>
      <c r="N17" s="39"/>
    </row>
    <row r="18" spans="1:19" x14ac:dyDescent="0.2">
      <c r="A18" s="161" t="s">
        <v>68</v>
      </c>
      <c r="B18" s="152">
        <f>+B30</f>
        <v>0.1</v>
      </c>
      <c r="C18" s="152">
        <f>+B18</f>
        <v>0.1</v>
      </c>
      <c r="D18" s="152">
        <f>+($B18*3+$G18*1)/4</f>
        <v>0.1</v>
      </c>
      <c r="E18" s="152">
        <f>+($B18*2+$G18*2)/4</f>
        <v>0.1</v>
      </c>
      <c r="F18" s="152">
        <f>+($B18+3*$G18)/4</f>
        <v>0.1</v>
      </c>
      <c r="G18" s="152">
        <f>+G30</f>
        <v>0.1</v>
      </c>
      <c r="H18" s="150">
        <f>+G18</f>
        <v>0.1</v>
      </c>
      <c r="I18" s="159">
        <f>+G18</f>
        <v>0.1</v>
      </c>
      <c r="J18" s="39"/>
      <c r="K18" s="39"/>
      <c r="L18" s="39"/>
      <c r="M18" s="39"/>
      <c r="N18" s="39"/>
    </row>
    <row r="19" spans="1:19" x14ac:dyDescent="0.2">
      <c r="A19" s="161" t="s">
        <v>17</v>
      </c>
      <c r="B19" s="152" t="e">
        <f>VLOOKUP(A19,#REF!,3,0)</f>
        <v>#REF!</v>
      </c>
      <c r="C19" s="152">
        <v>0.51200000000000001</v>
      </c>
      <c r="D19" s="152" t="e">
        <f>+($B19*3+$G19*1)/4</f>
        <v>#REF!</v>
      </c>
      <c r="E19" s="153">
        <f>(0.526+0.118*2)*1.011</f>
        <v>0.7703819999999999</v>
      </c>
      <c r="F19" s="153">
        <f>0.547+0.368</f>
        <v>0.91500000000000004</v>
      </c>
      <c r="G19" s="153">
        <f>0.526+0.118*4</f>
        <v>0.998</v>
      </c>
      <c r="H19" s="153">
        <f>0.526+0.118*5</f>
        <v>1.1160000000000001</v>
      </c>
      <c r="I19" s="162">
        <f>(0.545+0.735)*P1</f>
        <v>1.3184</v>
      </c>
      <c r="J19" s="49"/>
      <c r="K19" s="41"/>
      <c r="L19" s="39"/>
      <c r="M19" s="39"/>
      <c r="N19" s="39"/>
    </row>
    <row r="20" spans="1:19" x14ac:dyDescent="0.2">
      <c r="A20" s="161" t="s">
        <v>18</v>
      </c>
      <c r="B20" s="152" t="e">
        <f>VLOOKUP(A20,#REF!,3,0)</f>
        <v>#REF!</v>
      </c>
      <c r="C20" s="152">
        <v>0.434</v>
      </c>
      <c r="D20" s="152" t="e">
        <f>+($B20*3+$G20*1)/4</f>
        <v>#REF!</v>
      </c>
      <c r="E20" s="153">
        <f>(0.446+0.118*2)*1.011</f>
        <v>0.68950199999999984</v>
      </c>
      <c r="F20" s="154">
        <f>0.464+0.368</f>
        <v>0.83200000000000007</v>
      </c>
      <c r="G20" s="154">
        <f>0.446+0.118*4</f>
        <v>0.91799999999999993</v>
      </c>
      <c r="H20" s="153">
        <f>0.446+0.118*5</f>
        <v>1.036</v>
      </c>
      <c r="I20" s="162">
        <f>(0.462+0.735)*P1</f>
        <v>1.2329100000000002</v>
      </c>
      <c r="K20" s="41"/>
      <c r="L20" s="39"/>
      <c r="M20" s="39"/>
      <c r="N20" s="39"/>
    </row>
    <row r="21" spans="1:19" x14ac:dyDescent="0.2">
      <c r="A21" s="161" t="s">
        <v>69</v>
      </c>
      <c r="B21" s="152" t="e">
        <f>VLOOKUP(A21,#REF!,3,0)</f>
        <v>#REF!</v>
      </c>
      <c r="C21" s="152" t="e">
        <f>+B21</f>
        <v>#REF!</v>
      </c>
      <c r="D21" s="152" t="e">
        <f>+D8-0.2</f>
        <v>#REF!</v>
      </c>
      <c r="E21" s="152">
        <f>+E8</f>
        <v>1.6281507959999999</v>
      </c>
      <c r="F21" s="152">
        <f>+F8-0.2</f>
        <v>1.5970000000000002</v>
      </c>
      <c r="G21" s="152">
        <f>+G8</f>
        <v>1.9762049999999998</v>
      </c>
      <c r="H21" s="152">
        <f>+H8</f>
        <v>2.0962049999999999</v>
      </c>
      <c r="I21" s="162">
        <f>+I8</f>
        <v>2.2248000000000001</v>
      </c>
      <c r="J21" s="27"/>
      <c r="K21" s="27"/>
      <c r="L21" s="39"/>
      <c r="M21" s="39"/>
      <c r="N21" s="39"/>
    </row>
    <row r="22" spans="1:19" x14ac:dyDescent="0.2">
      <c r="A22" s="158" t="s">
        <v>19</v>
      </c>
      <c r="B22" s="152" t="e">
        <f>VLOOKUP(A22,#REF!,3,0)</f>
        <v>#REF!</v>
      </c>
      <c r="C22" s="152" t="e">
        <f>+B22</f>
        <v>#REF!</v>
      </c>
      <c r="D22" s="152">
        <v>0.92300000000000004</v>
      </c>
      <c r="E22" s="152">
        <f>+'[4]1.7.2010'!$E$198*1.011</f>
        <v>0.92104692307692315</v>
      </c>
      <c r="F22" s="152">
        <v>0.97599999999999998</v>
      </c>
      <c r="G22" s="152">
        <f>1.023*1.015</f>
        <v>1.0383449999999999</v>
      </c>
      <c r="H22" s="152">
        <f>1.034*1.03</f>
        <v>1.0650200000000001</v>
      </c>
      <c r="I22" s="160">
        <v>1.052</v>
      </c>
      <c r="J22" s="27"/>
      <c r="K22" s="39"/>
      <c r="L22" s="39"/>
      <c r="M22" s="39"/>
      <c r="N22" s="39"/>
      <c r="P22" s="1">
        <v>1.073</v>
      </c>
    </row>
    <row r="23" spans="1:19" x14ac:dyDescent="0.2">
      <c r="A23" s="158" t="s">
        <v>20</v>
      </c>
      <c r="B23" s="152" t="e">
        <f>VLOOKUP(A23,#REF!,3,0)</f>
        <v>#REF!</v>
      </c>
      <c r="C23" s="152" t="e">
        <f>+B23</f>
        <v>#REF!</v>
      </c>
      <c r="D23" s="150">
        <f>(E22+0.36)*2/3+(E22+0.96)*1/3</f>
        <v>1.4810469230769232</v>
      </c>
      <c r="E23" s="150">
        <f>(F22+0.36)*2/3+(F22+0.96)*1/3</f>
        <v>1.536</v>
      </c>
      <c r="F23" s="150">
        <f>(G22+0.36)*2/3+(G22+0.96)*1/3</f>
        <v>1.5983449999999999</v>
      </c>
      <c r="G23" s="150">
        <f>(H22+0.36)*2/3+(H22+0.96)*1/3</f>
        <v>1.6250199999999999</v>
      </c>
      <c r="H23" s="150">
        <f>(P22+0.36)*2/3+(P22+0.96)*1/3</f>
        <v>1.633</v>
      </c>
      <c r="I23" s="159">
        <f>(I22+0.36)*2/3+(I22+0.96)*1/3</f>
        <v>1.6119999999999999</v>
      </c>
      <c r="J23" s="151"/>
      <c r="K23" s="39"/>
      <c r="L23" s="39"/>
      <c r="M23" s="39"/>
      <c r="N23" s="39"/>
      <c r="P23" s="8">
        <f>(L22+0.36)*2/3+(L22+0.96)*1/3</f>
        <v>0.56000000000000005</v>
      </c>
    </row>
    <row r="24" spans="1:19" ht="13.5" thickBot="1" x14ac:dyDescent="0.25">
      <c r="A24" s="158" t="s">
        <v>21</v>
      </c>
      <c r="B24" s="152" t="e">
        <f>VLOOKUP(A24,#REF!,3,0)</f>
        <v>#REF!</v>
      </c>
      <c r="C24" s="152">
        <v>0.627</v>
      </c>
      <c r="D24" s="152" t="e">
        <f>+($B24*3+$G24*1)/4</f>
        <v>#REF!</v>
      </c>
      <c r="E24" s="152">
        <f>+'[4]1.7.2010'!$E$207*1.011</f>
        <v>0.79200184615384617</v>
      </c>
      <c r="F24" s="152">
        <v>0.84699999999999998</v>
      </c>
      <c r="G24" s="152">
        <f>0.877*1.015</f>
        <v>0.89015499999999992</v>
      </c>
      <c r="H24" s="152">
        <f>0.882*1.03</f>
        <v>0.90846000000000005</v>
      </c>
      <c r="I24" s="160">
        <v>0.89200000000000002</v>
      </c>
      <c r="J24" s="27"/>
      <c r="K24" s="39"/>
      <c r="L24" s="39"/>
      <c r="M24" s="39"/>
      <c r="N24" s="39"/>
    </row>
    <row r="25" spans="1:19" ht="13.5" thickBot="1" x14ac:dyDescent="0.25">
      <c r="A25" s="158" t="s">
        <v>70</v>
      </c>
      <c r="B25" s="152" t="e">
        <f>VLOOKUP(A25,#REF!,3,0)</f>
        <v>#REF!</v>
      </c>
      <c r="C25" s="152">
        <f>+'[5]הכנסות רשות שחון 09'!$C$29</f>
        <v>0.81182411215393036</v>
      </c>
      <c r="D25" s="152">
        <f>+'[6]חישוב הכנסות 2009'!$E$30/'[6]חישוב הכנסות 2009'!$D$30*1.04</f>
        <v>0.84429707664008768</v>
      </c>
      <c r="E25" s="152">
        <f>+D25*(1+$S$25)</f>
        <v>0.87806895970569121</v>
      </c>
      <c r="F25" s="152">
        <f>+E25*(1+$S$25)</f>
        <v>0.91319171809391886</v>
      </c>
      <c r="G25" s="152">
        <f>+F25*(1+$S$25+3%)</f>
        <v>0.97711513836049324</v>
      </c>
      <c r="H25" s="152">
        <f>+G25*(1+$S$25)</f>
        <v>1.0161997438949131</v>
      </c>
      <c r="I25" s="160">
        <f>+G25*P1</f>
        <v>1.0064285925113081</v>
      </c>
      <c r="J25" s="27"/>
      <c r="K25" s="39"/>
      <c r="L25" s="39"/>
      <c r="M25" s="39"/>
      <c r="N25" s="39"/>
      <c r="P25" s="44" t="s">
        <v>90</v>
      </c>
      <c r="Q25" s="45"/>
      <c r="R25" s="45"/>
      <c r="S25" s="46">
        <v>0.04</v>
      </c>
    </row>
    <row r="26" spans="1:19" x14ac:dyDescent="0.2">
      <c r="A26" s="161" t="s">
        <v>71</v>
      </c>
      <c r="B26" s="152" t="e">
        <f>VLOOKUP(A26,#REF!,3,0)</f>
        <v>#REF!</v>
      </c>
      <c r="C26" s="152" t="e">
        <f>+B26</f>
        <v>#REF!</v>
      </c>
      <c r="D26" s="152" t="e">
        <f>+($B26*3+$G26*1)/4</f>
        <v>#REF!</v>
      </c>
      <c r="E26" s="152">
        <f>+'[7]מחירים על פני השנים'!$E$26</f>
        <v>0.53834470840305904</v>
      </c>
      <c r="F26" s="152">
        <f>+'[7]מחירים על פני השנים'!$F$27</f>
        <v>0.13125000000000001</v>
      </c>
      <c r="G26" s="152">
        <v>1</v>
      </c>
      <c r="H26" s="150">
        <f>+G26</f>
        <v>1</v>
      </c>
      <c r="I26" s="159">
        <f>+G26</f>
        <v>1</v>
      </c>
      <c r="J26" s="39"/>
      <c r="K26" s="39"/>
      <c r="L26" s="39"/>
      <c r="M26" s="39"/>
      <c r="N26" s="39"/>
    </row>
    <row r="27" spans="1:19" x14ac:dyDescent="0.2">
      <c r="A27" s="158" t="s">
        <v>23</v>
      </c>
      <c r="B27" s="152" t="e">
        <f>VLOOKUP(A27,#REF!,3,0)</f>
        <v>#REF!</v>
      </c>
      <c r="C27" s="152" t="e">
        <f>+B27</f>
        <v>#REF!</v>
      </c>
      <c r="D27" s="152" t="e">
        <f>+($B27*3+$G27*1)/4</f>
        <v>#REF!</v>
      </c>
      <c r="E27" s="152">
        <f>+'[7]מחירים על פני השנים'!$E$27</f>
        <v>0.14573999999999998</v>
      </c>
      <c r="F27" s="152">
        <f>0.035*3.75</f>
        <v>0.13125000000000001</v>
      </c>
      <c r="G27" s="152">
        <f>0.04*4</f>
        <v>0.16</v>
      </c>
      <c r="H27" s="150">
        <f>+G27</f>
        <v>0.16</v>
      </c>
      <c r="I27" s="159">
        <f>+G27*P1</f>
        <v>0.1648</v>
      </c>
      <c r="J27" s="39"/>
      <c r="K27" s="39"/>
      <c r="L27" s="39"/>
      <c r="M27" s="39"/>
      <c r="N27" s="39"/>
    </row>
    <row r="28" spans="1:19" x14ac:dyDescent="0.2">
      <c r="A28" s="158" t="s">
        <v>97</v>
      </c>
      <c r="B28" s="152"/>
      <c r="C28" s="152"/>
      <c r="D28" s="152"/>
      <c r="E28" s="152"/>
      <c r="F28" s="152">
        <f>0.375*3.75</f>
        <v>1.40625</v>
      </c>
      <c r="G28" s="152">
        <f>0.4*4</f>
        <v>1.6</v>
      </c>
      <c r="H28" s="152">
        <f>0.375*3.8</f>
        <v>1.4249999999999998</v>
      </c>
      <c r="I28" s="159">
        <f>+G28*P1</f>
        <v>1.6480000000000001</v>
      </c>
      <c r="J28" s="39"/>
      <c r="K28" s="39"/>
      <c r="L28" s="39"/>
      <c r="M28" s="39"/>
      <c r="N28" s="39"/>
    </row>
    <row r="29" spans="1:19" x14ac:dyDescent="0.2">
      <c r="A29" s="158" t="s">
        <v>24</v>
      </c>
      <c r="B29" s="152" t="e">
        <f>VLOOKUP(A29,#REF!,3,0)</f>
        <v>#REF!</v>
      </c>
      <c r="C29" s="152" t="e">
        <f>+B29</f>
        <v>#REF!</v>
      </c>
      <c r="D29" s="152" t="e">
        <f>+C29</f>
        <v>#REF!</v>
      </c>
      <c r="E29" s="152">
        <f>+'[7]מחירים על פני השנים'!$E$29</f>
        <v>2.3730000000000002</v>
      </c>
      <c r="F29" s="152">
        <v>2.35</v>
      </c>
      <c r="G29" s="152">
        <v>2.5</v>
      </c>
      <c r="H29" s="152">
        <f>+G29</f>
        <v>2.5</v>
      </c>
      <c r="I29" s="159">
        <f>+G29*P1</f>
        <v>2.5750000000000002</v>
      </c>
      <c r="J29" s="39"/>
      <c r="K29" s="39"/>
      <c r="L29" s="39"/>
      <c r="M29" s="39"/>
      <c r="N29" s="39"/>
    </row>
    <row r="30" spans="1:19" ht="13.5" thickBot="1" x14ac:dyDescent="0.25">
      <c r="A30" s="163" t="s">
        <v>25</v>
      </c>
      <c r="B30" s="164">
        <v>0.1</v>
      </c>
      <c r="C30" s="164">
        <f>+B30</f>
        <v>0.1</v>
      </c>
      <c r="D30" s="164">
        <f>+($B30*3+$G30*1)/4</f>
        <v>0.1</v>
      </c>
      <c r="E30" s="164">
        <v>0.1</v>
      </c>
      <c r="F30" s="164">
        <f>+($B30+3*$G30)/4</f>
        <v>0.1</v>
      </c>
      <c r="G30" s="164">
        <f>+E30</f>
        <v>0.1</v>
      </c>
      <c r="H30" s="165">
        <f>+G30</f>
        <v>0.1</v>
      </c>
      <c r="I30" s="166">
        <f>+F30</f>
        <v>0.1</v>
      </c>
      <c r="J30" s="39"/>
      <c r="K30" s="39"/>
      <c r="L30" s="39"/>
      <c r="M30" s="39"/>
      <c r="N30" s="39"/>
    </row>
    <row r="31" spans="1:19" x14ac:dyDescent="0.2">
      <c r="A31" s="4"/>
      <c r="B31" s="27"/>
      <c r="C31" s="27"/>
      <c r="D31" s="27"/>
      <c r="E31" s="27"/>
      <c r="H31" s="39"/>
      <c r="I31" s="39"/>
      <c r="J31" s="39"/>
      <c r="K31" s="39"/>
      <c r="L31" s="39"/>
      <c r="M31" s="39"/>
      <c r="N31" s="39"/>
    </row>
  </sheetData>
  <phoneticPr fontId="2" type="noConversion"/>
  <pageMargins left="0.75" right="0.75" top="1" bottom="1" header="0.5" footer="0.5"/>
  <pageSetup paperSize="9" scale="48" orientation="portrait" r:id="rId1"/>
  <headerFooter alignWithMargins="0">
    <oddFooter>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48"/>
  <sheetViews>
    <sheetView rightToLeft="1" zoomScaleNormal="100" workbookViewId="0">
      <pane xSplit="3" ySplit="7" topLeftCell="M35" activePane="bottomRight" state="frozen"/>
      <selection pane="topRight" activeCell="D1" sqref="D1"/>
      <selection pane="bottomLeft" activeCell="A8" sqref="A8"/>
      <selection pane="bottomRight" activeCell="S42" sqref="S42"/>
    </sheetView>
  </sheetViews>
  <sheetFormatPr defaultColWidth="16.42578125" defaultRowHeight="16.5" x14ac:dyDescent="0.25"/>
  <cols>
    <col min="1" max="1" width="9.7109375" style="55" customWidth="1"/>
    <col min="2" max="2" width="52.42578125" style="55" customWidth="1"/>
    <col min="3" max="3" width="7.85546875" style="55" customWidth="1"/>
    <col min="4" max="4" width="11.85546875" style="55" customWidth="1"/>
    <col min="5" max="6" width="10" style="55" customWidth="1"/>
    <col min="7" max="7" width="12.140625" style="55" customWidth="1"/>
    <col min="8" max="8" width="11.5703125" style="55" customWidth="1"/>
    <col min="9" max="9" width="8.85546875" style="55" customWidth="1"/>
    <col min="10" max="15" width="10.5703125" style="55" customWidth="1"/>
    <col min="16" max="16" width="10.7109375" style="55" bestFit="1" customWidth="1"/>
    <col min="17" max="17" width="23.28515625" style="55" hidden="1" customWidth="1"/>
    <col min="18" max="18" width="14.85546875" style="55" hidden="1" customWidth="1"/>
    <col min="19" max="19" width="5" style="55" customWidth="1"/>
    <col min="20" max="16384" width="16.42578125" style="55"/>
  </cols>
  <sheetData>
    <row r="2" spans="1:18" ht="18.75" customHeight="1" x14ac:dyDescent="0.3">
      <c r="A2" s="187" t="s">
        <v>130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56"/>
    </row>
    <row r="3" spans="1:18" ht="17.25" thickBot="1" x14ac:dyDescent="0.3">
      <c r="A3" s="57"/>
      <c r="B3" s="58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60"/>
    </row>
    <row r="4" spans="1:18" ht="17.25" thickBot="1" x14ac:dyDescent="0.3">
      <c r="A4" s="61"/>
      <c r="B4" s="62" t="s">
        <v>103</v>
      </c>
      <c r="C4" s="63" t="s">
        <v>104</v>
      </c>
      <c r="D4" s="63" t="s">
        <v>105</v>
      </c>
      <c r="E4" s="63" t="s">
        <v>106</v>
      </c>
      <c r="F4" s="63" t="s">
        <v>107</v>
      </c>
      <c r="G4" s="63" t="s">
        <v>108</v>
      </c>
      <c r="H4" s="63" t="s">
        <v>109</v>
      </c>
      <c r="I4" s="63" t="s">
        <v>110</v>
      </c>
      <c r="J4" s="63" t="s">
        <v>111</v>
      </c>
      <c r="K4" s="63" t="s">
        <v>112</v>
      </c>
      <c r="L4" s="64" t="s">
        <v>113</v>
      </c>
      <c r="M4" s="63" t="s">
        <v>114</v>
      </c>
      <c r="N4" s="63" t="s">
        <v>115</v>
      </c>
      <c r="O4" s="65" t="s">
        <v>116</v>
      </c>
      <c r="P4" s="66" t="s">
        <v>26</v>
      </c>
      <c r="Q4" s="73" t="s">
        <v>131</v>
      </c>
      <c r="R4" s="73" t="s">
        <v>102</v>
      </c>
    </row>
    <row r="5" spans="1:18" ht="12" customHeight="1" x14ac:dyDescent="0.25">
      <c r="A5" s="67"/>
      <c r="B5" s="68"/>
      <c r="C5" s="69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1"/>
      <c r="P5" s="72"/>
    </row>
    <row r="6" spans="1:18" s="128" customFormat="1" ht="25.5" x14ac:dyDescent="0.2">
      <c r="B6" s="129"/>
      <c r="D6" s="130" t="s">
        <v>105</v>
      </c>
      <c r="E6" s="130" t="s">
        <v>106</v>
      </c>
      <c r="F6" s="130" t="s">
        <v>107</v>
      </c>
      <c r="G6" s="130" t="s">
        <v>108</v>
      </c>
      <c r="H6" s="130" t="s">
        <v>109</v>
      </c>
      <c r="I6" s="130" t="s">
        <v>110</v>
      </c>
      <c r="J6" s="130" t="s">
        <v>111</v>
      </c>
      <c r="K6" s="130" t="s">
        <v>112</v>
      </c>
      <c r="L6" s="130" t="s">
        <v>113</v>
      </c>
      <c r="M6" s="130" t="s">
        <v>114</v>
      </c>
      <c r="N6" s="130" t="s">
        <v>115</v>
      </c>
      <c r="O6" s="130" t="s">
        <v>116</v>
      </c>
      <c r="P6" s="131" t="s">
        <v>140</v>
      </c>
    </row>
    <row r="7" spans="1:18" s="128" customFormat="1" ht="12.75" x14ac:dyDescent="0.2">
      <c r="P7" s="132"/>
    </row>
    <row r="8" spans="1:18" s="128" customFormat="1" ht="12.75" x14ac:dyDescent="0.2">
      <c r="B8" s="133" t="s">
        <v>141</v>
      </c>
      <c r="D8" s="134">
        <v>36438.411700129589</v>
      </c>
      <c r="E8" s="134">
        <v>32734.850691630163</v>
      </c>
      <c r="F8" s="134">
        <v>40929.871842709967</v>
      </c>
      <c r="G8" s="134">
        <v>60277.063943394867</v>
      </c>
      <c r="H8" s="134">
        <v>70918.140481406968</v>
      </c>
      <c r="I8" s="134">
        <v>72771.063435773627</v>
      </c>
      <c r="J8" s="134">
        <v>72755.639457192679</v>
      </c>
      <c r="K8" s="134">
        <v>70436.219967396435</v>
      </c>
      <c r="L8" s="134">
        <v>67449.09308768464</v>
      </c>
      <c r="M8" s="134">
        <v>56778.026783832349</v>
      </c>
      <c r="N8" s="134">
        <v>54950.434086756315</v>
      </c>
      <c r="O8" s="134">
        <v>49226.492211080869</v>
      </c>
      <c r="P8" s="134">
        <v>685665.30768898828</v>
      </c>
      <c r="Q8" s="135"/>
    </row>
    <row r="9" spans="1:18" s="128" customFormat="1" ht="12.75" x14ac:dyDescent="0.2">
      <c r="B9" s="136" t="s">
        <v>142</v>
      </c>
      <c r="D9" s="137">
        <v>2267.7887039653156</v>
      </c>
      <c r="E9" s="137">
        <v>1810.0490617441249</v>
      </c>
      <c r="F9" s="137">
        <v>4572.5616366631612</v>
      </c>
      <c r="G9" s="137">
        <v>5117.9740139907663</v>
      </c>
      <c r="H9" s="137">
        <v>6022.8236511011783</v>
      </c>
      <c r="I9" s="137">
        <v>6213.4021357702395</v>
      </c>
      <c r="J9" s="137">
        <v>7093.4570320685252</v>
      </c>
      <c r="K9" s="137">
        <v>6426.5446205170083</v>
      </c>
      <c r="L9" s="137">
        <v>6624.6455669649504</v>
      </c>
      <c r="M9" s="137">
        <v>5429.926565909991</v>
      </c>
      <c r="N9" s="137">
        <v>5396.1108304803793</v>
      </c>
      <c r="O9" s="137">
        <v>4214.3111966604747</v>
      </c>
      <c r="P9" s="137">
        <v>61189.595015836108</v>
      </c>
      <c r="Q9" s="135"/>
    </row>
    <row r="10" spans="1:18" s="128" customFormat="1" ht="12.75" x14ac:dyDescent="0.2">
      <c r="B10" s="136" t="s">
        <v>143</v>
      </c>
      <c r="D10" s="137">
        <v>104115.00595385958</v>
      </c>
      <c r="E10" s="137">
        <v>104115.00595385958</v>
      </c>
      <c r="F10" s="137">
        <v>104115.00595385958</v>
      </c>
      <c r="G10" s="137">
        <v>104115.00595385958</v>
      </c>
      <c r="H10" s="137">
        <v>104115.00595385958</v>
      </c>
      <c r="I10" s="137">
        <v>104115.00595385958</v>
      </c>
      <c r="J10" s="137">
        <v>104115.00595385958</v>
      </c>
      <c r="K10" s="137">
        <v>104115.00595385958</v>
      </c>
      <c r="L10" s="137">
        <v>104115.00595385958</v>
      </c>
      <c r="M10" s="137">
        <v>104115.00595385958</v>
      </c>
      <c r="N10" s="137">
        <v>104115.00595385958</v>
      </c>
      <c r="O10" s="137">
        <v>104115.00595385958</v>
      </c>
      <c r="P10" s="137">
        <v>1249380.0714463147</v>
      </c>
      <c r="Q10" s="135"/>
    </row>
    <row r="11" spans="1:18" s="138" customFormat="1" ht="18" customHeight="1" x14ac:dyDescent="0.2">
      <c r="B11" s="139" t="s">
        <v>144</v>
      </c>
      <c r="D11" s="140">
        <f t="shared" ref="D11:O11" si="0">SUM(D8:D10)</f>
        <v>142821.20635795448</v>
      </c>
      <c r="E11" s="140">
        <f t="shared" si="0"/>
        <v>138659.90570723388</v>
      </c>
      <c r="F11" s="140">
        <f t="shared" si="0"/>
        <v>149617.43943323271</v>
      </c>
      <c r="G11" s="140">
        <f t="shared" si="0"/>
        <v>169510.04391124521</v>
      </c>
      <c r="H11" s="140">
        <f t="shared" si="0"/>
        <v>181055.97008636774</v>
      </c>
      <c r="I11" s="140">
        <f t="shared" si="0"/>
        <v>183099.47152540344</v>
      </c>
      <c r="J11" s="140">
        <f t="shared" si="0"/>
        <v>183964.10244312079</v>
      </c>
      <c r="K11" s="140">
        <f t="shared" si="0"/>
        <v>180977.770541773</v>
      </c>
      <c r="L11" s="140">
        <f t="shared" si="0"/>
        <v>178188.74460850918</v>
      </c>
      <c r="M11" s="140">
        <f t="shared" si="0"/>
        <v>166322.95930360194</v>
      </c>
      <c r="N11" s="140">
        <f t="shared" si="0"/>
        <v>164461.55087109626</v>
      </c>
      <c r="O11" s="140">
        <f t="shared" si="0"/>
        <v>157555.80936160093</v>
      </c>
      <c r="P11" s="140">
        <f>SUM(P8:P10)</f>
        <v>1996234.9741511391</v>
      </c>
      <c r="Q11" s="135"/>
    </row>
    <row r="12" spans="1:18" s="128" customFormat="1" ht="12.75" x14ac:dyDescent="0.2">
      <c r="B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1"/>
      <c r="Q12" s="135"/>
    </row>
    <row r="13" spans="1:18" s="138" customFormat="1" ht="18" customHeight="1" x14ac:dyDescent="0.2">
      <c r="B13" s="139" t="s">
        <v>145</v>
      </c>
      <c r="D13" s="140">
        <v>45105.521923789616</v>
      </c>
      <c r="E13" s="140">
        <v>45105.521923789616</v>
      </c>
      <c r="F13" s="140">
        <v>45105.521923789616</v>
      </c>
      <c r="G13" s="140">
        <v>45105.521923789616</v>
      </c>
      <c r="H13" s="140">
        <v>45105.521923789616</v>
      </c>
      <c r="I13" s="140">
        <v>45105.521923789616</v>
      </c>
      <c r="J13" s="140">
        <v>45108.627923789616</v>
      </c>
      <c r="K13" s="140">
        <v>45108.627923789616</v>
      </c>
      <c r="L13" s="140">
        <v>45108.627923789616</v>
      </c>
      <c r="M13" s="140">
        <v>45108.627923789616</v>
      </c>
      <c r="N13" s="140">
        <v>45108.627923789616</v>
      </c>
      <c r="O13" s="140">
        <v>45108.627923789616</v>
      </c>
      <c r="P13" s="140">
        <v>541284.89908547548</v>
      </c>
      <c r="Q13" s="135"/>
    </row>
    <row r="14" spans="1:18" s="142" customFormat="1" ht="12.75" x14ac:dyDescent="0.2">
      <c r="B14" s="143"/>
      <c r="Q14" s="135"/>
    </row>
    <row r="15" spans="1:18" s="142" customFormat="1" ht="18" customHeight="1" x14ac:dyDescent="0.2">
      <c r="B15" s="144" t="s">
        <v>120</v>
      </c>
      <c r="D15" s="140">
        <v>18636.740445921561</v>
      </c>
      <c r="E15" s="140">
        <v>18636.740445921561</v>
      </c>
      <c r="F15" s="140">
        <v>18636.740445921561</v>
      </c>
      <c r="G15" s="140">
        <v>18636.740445921561</v>
      </c>
      <c r="H15" s="140">
        <v>18636.740445921561</v>
      </c>
      <c r="I15" s="140">
        <v>18636.740445921561</v>
      </c>
      <c r="J15" s="140">
        <v>18636.740445921561</v>
      </c>
      <c r="K15" s="140">
        <v>18636.740445921561</v>
      </c>
      <c r="L15" s="140">
        <v>18636.740445921561</v>
      </c>
      <c r="M15" s="140">
        <v>18636.740445921561</v>
      </c>
      <c r="N15" s="140">
        <v>18636.740445921561</v>
      </c>
      <c r="O15" s="140">
        <v>18636.740445921561</v>
      </c>
      <c r="P15" s="140">
        <v>223640.88535105868</v>
      </c>
      <c r="Q15" s="135"/>
    </row>
    <row r="16" spans="1:18" s="128" customFormat="1" ht="12.75" x14ac:dyDescent="0.2">
      <c r="B16" s="141"/>
      <c r="Q16" s="135"/>
    </row>
    <row r="17" spans="1:20" s="128" customFormat="1" ht="12.75" x14ac:dyDescent="0.2">
      <c r="B17" s="145" t="s">
        <v>146</v>
      </c>
      <c r="D17" s="134">
        <v>77616.762869568192</v>
      </c>
      <c r="E17" s="134">
        <v>77437.022406382894</v>
      </c>
      <c r="F17" s="134">
        <v>77257.28194319758</v>
      </c>
      <c r="G17" s="134">
        <v>78098.723951698688</v>
      </c>
      <c r="H17" s="134">
        <v>77917.381238056201</v>
      </c>
      <c r="I17" s="134">
        <v>77736.0385244137</v>
      </c>
      <c r="J17" s="134">
        <v>78583.022797445534</v>
      </c>
      <c r="K17" s="134">
        <v>78400.077833345844</v>
      </c>
      <c r="L17" s="134">
        <v>78217.132869246168</v>
      </c>
      <c r="M17" s="134">
        <v>79085.902380179687</v>
      </c>
      <c r="N17" s="134">
        <v>78893.047383570723</v>
      </c>
      <c r="O17" s="134">
        <v>78700.258603885217</v>
      </c>
      <c r="P17" s="134">
        <v>937942.6528009905</v>
      </c>
      <c r="Q17" s="135"/>
    </row>
    <row r="18" spans="1:20" s="128" customFormat="1" ht="12.75" x14ac:dyDescent="0.2">
      <c r="B18" s="146" t="s">
        <v>147</v>
      </c>
      <c r="D18" s="137">
        <v>5395.4503858765493</v>
      </c>
      <c r="E18" s="137">
        <v>5411.8299500527937</v>
      </c>
      <c r="F18" s="137">
        <v>5428.2095142290391</v>
      </c>
      <c r="G18" s="137">
        <v>5479.4435253401507</v>
      </c>
      <c r="H18" s="137">
        <v>5530.6775364512614</v>
      </c>
      <c r="I18" s="137">
        <v>5581.911547562373</v>
      </c>
      <c r="J18" s="137">
        <v>5591.2695267290392</v>
      </c>
      <c r="K18" s="137">
        <v>5600.6275058957071</v>
      </c>
      <c r="L18" s="137">
        <v>5609.9854850623733</v>
      </c>
      <c r="M18" s="137">
        <v>5619.3434642290404</v>
      </c>
      <c r="N18" s="137">
        <v>5628.7014433957065</v>
      </c>
      <c r="O18" s="137">
        <v>5638.0594225623736</v>
      </c>
      <c r="P18" s="137">
        <v>66515.509307386412</v>
      </c>
      <c r="Q18" s="135"/>
    </row>
    <row r="19" spans="1:20" s="142" customFormat="1" ht="18" customHeight="1" x14ac:dyDescent="0.2">
      <c r="B19" s="144" t="s">
        <v>148</v>
      </c>
      <c r="D19" s="140">
        <f t="shared" ref="D19:O19" si="1">SUM(D17:D18)</f>
        <v>83012.213255444745</v>
      </c>
      <c r="E19" s="140">
        <f t="shared" si="1"/>
        <v>82848.852356435687</v>
      </c>
      <c r="F19" s="140">
        <f t="shared" si="1"/>
        <v>82685.491457426615</v>
      </c>
      <c r="G19" s="140">
        <f t="shared" si="1"/>
        <v>83578.167477038834</v>
      </c>
      <c r="H19" s="140">
        <f t="shared" si="1"/>
        <v>83448.058774507459</v>
      </c>
      <c r="I19" s="140">
        <f t="shared" si="1"/>
        <v>83317.950071976069</v>
      </c>
      <c r="J19" s="140">
        <f t="shared" si="1"/>
        <v>84174.292324174574</v>
      </c>
      <c r="K19" s="140">
        <f t="shared" si="1"/>
        <v>84000.705339241555</v>
      </c>
      <c r="L19" s="140">
        <f t="shared" si="1"/>
        <v>83827.118354308535</v>
      </c>
      <c r="M19" s="140">
        <f t="shared" si="1"/>
        <v>84705.245844408724</v>
      </c>
      <c r="N19" s="140">
        <f t="shared" si="1"/>
        <v>84521.748826966432</v>
      </c>
      <c r="O19" s="140">
        <f t="shared" si="1"/>
        <v>84338.318026447596</v>
      </c>
      <c r="P19" s="140">
        <f>SUM(P17:P18)</f>
        <v>1004458.1621083769</v>
      </c>
      <c r="Q19" s="135"/>
    </row>
    <row r="20" spans="1:20" s="128" customFormat="1" ht="12.75" x14ac:dyDescent="0.2">
      <c r="B20" s="141"/>
      <c r="Q20" s="135"/>
    </row>
    <row r="21" spans="1:20" s="128" customFormat="1" ht="12.75" x14ac:dyDescent="0.2">
      <c r="B21" s="145" t="s">
        <v>121</v>
      </c>
      <c r="D21" s="134">
        <v>266.97153109418355</v>
      </c>
      <c r="E21" s="134">
        <v>266.66330061902852</v>
      </c>
      <c r="F21" s="134">
        <v>266.6472902776373</v>
      </c>
      <c r="G21" s="134">
        <v>267.93754713011754</v>
      </c>
      <c r="H21" s="134">
        <v>268.11510751659063</v>
      </c>
      <c r="I21" s="134">
        <v>268.09720556123301</v>
      </c>
      <c r="J21" s="134">
        <v>268.07930360587545</v>
      </c>
      <c r="K21" s="134">
        <v>268.06140165051789</v>
      </c>
      <c r="L21" s="134">
        <v>268.04349969516034</v>
      </c>
      <c r="M21" s="134">
        <v>268.02559773980272</v>
      </c>
      <c r="N21" s="134">
        <v>268.00769578444516</v>
      </c>
      <c r="O21" s="134">
        <v>267.9897938290876</v>
      </c>
      <c r="P21" s="134">
        <v>3212.6392745036801</v>
      </c>
      <c r="Q21" s="135"/>
    </row>
    <row r="22" spans="1:20" s="128" customFormat="1" ht="12.75" x14ac:dyDescent="0.2">
      <c r="B22" s="146" t="s">
        <v>149</v>
      </c>
      <c r="D22" s="137">
        <v>-87.688269694340534</v>
      </c>
      <c r="E22" s="137">
        <v>4.1914332357484909</v>
      </c>
      <c r="F22" s="137">
        <v>-490.52479104021654</v>
      </c>
      <c r="G22" s="137">
        <v>-875.11509461705214</v>
      </c>
      <c r="H22" s="137">
        <v>696.00268667421165</v>
      </c>
      <c r="I22" s="137">
        <v>-3384.8627610073745</v>
      </c>
      <c r="J22" s="137">
        <v>-193.19415385245338</v>
      </c>
      <c r="K22" s="137">
        <v>323.99290795999514</v>
      </c>
      <c r="L22" s="137">
        <v>-153.39916142186848</v>
      </c>
      <c r="M22" s="137">
        <v>100.33058495659452</v>
      </c>
      <c r="N22" s="137">
        <v>-596.65862010905039</v>
      </c>
      <c r="O22" s="137">
        <v>2254.6548398891287</v>
      </c>
      <c r="P22" s="137">
        <v>-2402.2703990266778</v>
      </c>
      <c r="Q22" s="135"/>
    </row>
    <row r="23" spans="1:20" s="128" customFormat="1" ht="12.75" x14ac:dyDescent="0.2">
      <c r="B23" s="146" t="s">
        <v>54</v>
      </c>
      <c r="D23" s="137">
        <v>519.18285758915408</v>
      </c>
      <c r="E23" s="137">
        <v>519.65551128794573</v>
      </c>
      <c r="F23" s="137">
        <v>519.9706137538069</v>
      </c>
      <c r="G23" s="137">
        <v>520.91592115139008</v>
      </c>
      <c r="H23" s="137">
        <v>289.75</v>
      </c>
      <c r="I23" s="137">
        <v>289.75</v>
      </c>
      <c r="J23" s="137">
        <v>289.75</v>
      </c>
      <c r="K23" s="137">
        <v>289.75</v>
      </c>
      <c r="L23" s="137">
        <v>289.75</v>
      </c>
      <c r="M23" s="137">
        <v>522.49143348069549</v>
      </c>
      <c r="N23" s="137">
        <v>553.75886868722682</v>
      </c>
      <c r="O23" s="137">
        <v>560.63387157060629</v>
      </c>
      <c r="P23" s="137">
        <v>5165.3590775208249</v>
      </c>
      <c r="Q23" s="135"/>
    </row>
    <row r="24" spans="1:20" s="128" customFormat="1" ht="12.75" x14ac:dyDescent="0.2">
      <c r="B24" s="146" t="s">
        <v>133</v>
      </c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7">
        <v>500</v>
      </c>
      <c r="Q24" s="135"/>
    </row>
    <row r="25" spans="1:20" s="128" customFormat="1" ht="12.75" x14ac:dyDescent="0.2">
      <c r="B25" s="144" t="s">
        <v>150</v>
      </c>
      <c r="D25" s="140">
        <f t="shared" ref="D25:O25" si="2">SUM(D21:D24)</f>
        <v>698.4661189889971</v>
      </c>
      <c r="E25" s="140">
        <f t="shared" si="2"/>
        <v>790.51024514272274</v>
      </c>
      <c r="F25" s="140">
        <f t="shared" si="2"/>
        <v>296.09311299122766</v>
      </c>
      <c r="G25" s="140">
        <f t="shared" si="2"/>
        <v>-86.26162633554452</v>
      </c>
      <c r="H25" s="140">
        <f t="shared" si="2"/>
        <v>1253.8677941908022</v>
      </c>
      <c r="I25" s="140">
        <f t="shared" si="2"/>
        <v>-2827.0155554461417</v>
      </c>
      <c r="J25" s="140">
        <f t="shared" si="2"/>
        <v>364.63514975342207</v>
      </c>
      <c r="K25" s="140">
        <f t="shared" si="2"/>
        <v>881.80430961051297</v>
      </c>
      <c r="L25" s="140">
        <f t="shared" si="2"/>
        <v>404.39433827329185</v>
      </c>
      <c r="M25" s="140">
        <f t="shared" si="2"/>
        <v>890.84761617709273</v>
      </c>
      <c r="N25" s="140">
        <f t="shared" si="2"/>
        <v>225.10794436262159</v>
      </c>
      <c r="O25" s="140">
        <f t="shared" si="2"/>
        <v>3083.2785052888221</v>
      </c>
      <c r="P25" s="140">
        <f>SUM(P21:P24)</f>
        <v>6475.7279529978277</v>
      </c>
      <c r="Q25" s="135"/>
    </row>
    <row r="26" spans="1:20" s="128" customFormat="1" x14ac:dyDescent="0.2">
      <c r="P26" s="86">
        <f t="shared" ref="P26" si="3">SUM(D26:O26)</f>
        <v>0</v>
      </c>
      <c r="Q26" s="135"/>
    </row>
    <row r="27" spans="1:20" s="128" customFormat="1" ht="12.75" x14ac:dyDescent="0.2">
      <c r="B27" s="147" t="s">
        <v>151</v>
      </c>
      <c r="D27" s="148">
        <f t="shared" ref="D27:O27" si="4">D11+D13+D15+D19+D25</f>
        <v>290274.14810209937</v>
      </c>
      <c r="E27" s="148">
        <f t="shared" si="4"/>
        <v>286041.53067852347</v>
      </c>
      <c r="F27" s="148">
        <f t="shared" si="4"/>
        <v>296341.28637336177</v>
      </c>
      <c r="G27" s="148">
        <f t="shared" si="4"/>
        <v>316744.21213165962</v>
      </c>
      <c r="H27" s="148">
        <f t="shared" si="4"/>
        <v>329500.15902477718</v>
      </c>
      <c r="I27" s="148">
        <f t="shared" si="4"/>
        <v>327332.66841164452</v>
      </c>
      <c r="J27" s="148">
        <f t="shared" si="4"/>
        <v>332248.39828675997</v>
      </c>
      <c r="K27" s="148">
        <f t="shared" si="4"/>
        <v>329605.64856033621</v>
      </c>
      <c r="L27" s="148">
        <f t="shared" si="4"/>
        <v>326165.62567080214</v>
      </c>
      <c r="M27" s="148">
        <f t="shared" si="4"/>
        <v>315664.42113389896</v>
      </c>
      <c r="N27" s="148">
        <f t="shared" si="4"/>
        <v>312953.77601213648</v>
      </c>
      <c r="O27" s="148">
        <f t="shared" si="4"/>
        <v>308722.77426304854</v>
      </c>
      <c r="P27" s="148">
        <f>P11+P13+P15+P19+P25</f>
        <v>3772094.6486490476</v>
      </c>
    </row>
    <row r="28" spans="1:20" x14ac:dyDescent="0.25">
      <c r="A28" s="74"/>
      <c r="B28" s="75" t="s">
        <v>117</v>
      </c>
      <c r="C28" s="76" t="s">
        <v>118</v>
      </c>
      <c r="D28" s="77">
        <f>[8]אנרגיה!D10</f>
        <v>76227.010357505162</v>
      </c>
      <c r="E28" s="77">
        <f>[8]אנרגיה!E10</f>
        <v>68646.318151480504</v>
      </c>
      <c r="F28" s="77">
        <f>[8]אנרגיה!F10</f>
        <v>84286.243052274527</v>
      </c>
      <c r="G28" s="77">
        <f>[8]אנרגיה!G10</f>
        <v>123338.85149982797</v>
      </c>
      <c r="H28" s="77">
        <f>[8]אנרגיה!H10</f>
        <v>146242.57042726409</v>
      </c>
      <c r="I28" s="77">
        <f>[8]אנרגיה!I10</f>
        <v>151249.11180815395</v>
      </c>
      <c r="J28" s="77">
        <f>[8]אנרגיה!J10</f>
        <v>149118.04087254504</v>
      </c>
      <c r="K28" s="77">
        <f>[8]אנרגיה!K10</f>
        <v>149118.04087254504</v>
      </c>
      <c r="L28" s="77">
        <f>[8]אנרגיה!L10</f>
        <v>142340.67465396319</v>
      </c>
      <c r="M28" s="77">
        <f>[8]אנרגיה!M10</f>
        <v>121440.24346583712</v>
      </c>
      <c r="N28" s="77">
        <f>[8]אנרגיה!N10</f>
        <v>114662.87724725524</v>
      </c>
      <c r="O28" s="78">
        <f>[8]אנרגיה!O10</f>
        <v>100330.01759134835</v>
      </c>
      <c r="P28" s="79">
        <f>SUM(D28:O28)</f>
        <v>1427000.0000000002</v>
      </c>
      <c r="Q28" s="73">
        <v>219291</v>
      </c>
      <c r="R28" s="55" t="s">
        <v>132</v>
      </c>
      <c r="S28" s="80"/>
      <c r="T28" s="81"/>
    </row>
    <row r="29" spans="1:20" ht="15" customHeight="1" x14ac:dyDescent="0.25">
      <c r="A29" s="74"/>
      <c r="B29" s="82"/>
      <c r="C29" s="83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5"/>
      <c r="P29" s="86"/>
    </row>
    <row r="30" spans="1:20" x14ac:dyDescent="0.25">
      <c r="A30" s="87"/>
      <c r="B30" s="82"/>
      <c r="C30" s="83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5"/>
      <c r="P30" s="86"/>
      <c r="Q30" s="73"/>
    </row>
    <row r="31" spans="1:20" x14ac:dyDescent="0.25">
      <c r="A31" s="87"/>
      <c r="B31" s="82" t="s">
        <v>122</v>
      </c>
      <c r="C31" s="83" t="s">
        <v>119</v>
      </c>
      <c r="D31" s="84">
        <f>[8]הכנסות!D28</f>
        <v>833.33333333333337</v>
      </c>
      <c r="E31" s="84">
        <f>[8]הכנסות!E28</f>
        <v>833.33333333333337</v>
      </c>
      <c r="F31" s="84">
        <f>[8]הכנסות!F28</f>
        <v>833.33333333333337</v>
      </c>
      <c r="G31" s="84">
        <f>[8]הכנסות!G28</f>
        <v>833.33333333333337</v>
      </c>
      <c r="H31" s="84">
        <f>[8]הכנסות!H28</f>
        <v>833.33333333333337</v>
      </c>
      <c r="I31" s="84">
        <f>[8]הכנסות!I28</f>
        <v>833.33333333333337</v>
      </c>
      <c r="J31" s="84">
        <f>[8]הכנסות!J28</f>
        <v>833.33333333333337</v>
      </c>
      <c r="K31" s="84">
        <f>[8]הכנסות!K28</f>
        <v>833.33333333333337</v>
      </c>
      <c r="L31" s="84">
        <f>[8]הכנסות!L28</f>
        <v>833.33333333333337</v>
      </c>
      <c r="M31" s="84">
        <f>[8]הכנסות!M28</f>
        <v>833.33333333333337</v>
      </c>
      <c r="N31" s="84">
        <f>[8]הכנסות!N28</f>
        <v>833.33333333333337</v>
      </c>
      <c r="O31" s="85">
        <f>[8]הכנסות!O28</f>
        <v>833.33333333333337</v>
      </c>
      <c r="P31" s="86">
        <f>SUM(D31:O31)</f>
        <v>10000</v>
      </c>
      <c r="Q31" s="96">
        <v>2453</v>
      </c>
      <c r="R31" s="55" t="s">
        <v>134</v>
      </c>
    </row>
    <row r="32" spans="1:20" x14ac:dyDescent="0.25">
      <c r="A32" s="87"/>
      <c r="B32" s="82" t="s">
        <v>123</v>
      </c>
      <c r="C32" s="83" t="s">
        <v>119</v>
      </c>
      <c r="D32" s="84">
        <f>[8]הכנסות!D35</f>
        <v>-110.36347000000002</v>
      </c>
      <c r="E32" s="84">
        <f>[8]הכנסות!E35</f>
        <v>299.10390999999998</v>
      </c>
      <c r="F32" s="84">
        <f>[8]הכנסות!F35</f>
        <v>627.30318000000011</v>
      </c>
      <c r="G32" s="84">
        <f>[8]הכנסות!G35</f>
        <v>765.78348000000005</v>
      </c>
      <c r="H32" s="84">
        <f>[8]הכנסות!H35</f>
        <v>1608.6706300000001</v>
      </c>
      <c r="I32" s="84">
        <f>[8]הכנסות!I35</f>
        <v>4845.8906999999936</v>
      </c>
      <c r="J32" s="84">
        <f>[8]הכנסות!J35</f>
        <v>1343.9352616666677</v>
      </c>
      <c r="K32" s="84">
        <f>[8]הכנסות!K35</f>
        <v>1343.9352616666677</v>
      </c>
      <c r="L32" s="84">
        <f>[8]הכנסות!L35</f>
        <v>1343.9352616666677</v>
      </c>
      <c r="M32" s="84">
        <f>[8]הכנסות!M35</f>
        <v>1343.9352616666677</v>
      </c>
      <c r="N32" s="84">
        <f>[8]הכנסות!N35</f>
        <v>1343.9352616666677</v>
      </c>
      <c r="O32" s="85">
        <f>[8]הכנסות!O35</f>
        <v>1343.9352616666677</v>
      </c>
      <c r="P32" s="86">
        <f>SUM(D32:O32)</f>
        <v>16099.999999999998</v>
      </c>
      <c r="Q32" s="73"/>
    </row>
    <row r="33" spans="1:18" ht="17.25" thickBot="1" x14ac:dyDescent="0.3">
      <c r="A33" s="87"/>
      <c r="B33" s="88"/>
      <c r="C33" s="98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97"/>
      <c r="P33" s="86"/>
      <c r="Q33" s="73"/>
    </row>
    <row r="34" spans="1:18" ht="17.25" thickBot="1" x14ac:dyDescent="0.3">
      <c r="A34" s="90"/>
      <c r="B34" s="91" t="s">
        <v>124</v>
      </c>
      <c r="C34" s="99" t="s">
        <v>119</v>
      </c>
      <c r="D34" s="100">
        <f t="shared" ref="D34:O34" si="5">SUM(D31:D33)</f>
        <v>722.96986333333336</v>
      </c>
      <c r="E34" s="92">
        <f t="shared" si="5"/>
        <v>1132.4372433333333</v>
      </c>
      <c r="F34" s="92">
        <f t="shared" si="5"/>
        <v>1460.6365133333334</v>
      </c>
      <c r="G34" s="92">
        <f t="shared" si="5"/>
        <v>1599.1168133333335</v>
      </c>
      <c r="H34" s="92">
        <f t="shared" si="5"/>
        <v>2442.0039633333336</v>
      </c>
      <c r="I34" s="92">
        <f t="shared" si="5"/>
        <v>5679.2240333333266</v>
      </c>
      <c r="J34" s="92">
        <f t="shared" si="5"/>
        <v>2177.2685950000009</v>
      </c>
      <c r="K34" s="92">
        <f t="shared" si="5"/>
        <v>2177.2685950000009</v>
      </c>
      <c r="L34" s="92">
        <f t="shared" si="5"/>
        <v>2177.2685950000009</v>
      </c>
      <c r="M34" s="92">
        <f t="shared" si="5"/>
        <v>2177.2685950000009</v>
      </c>
      <c r="N34" s="92">
        <f t="shared" si="5"/>
        <v>2177.2685950000009</v>
      </c>
      <c r="O34" s="101">
        <f t="shared" si="5"/>
        <v>2177.2685950000009</v>
      </c>
      <c r="P34" s="93">
        <f>SUM(P31:P32)</f>
        <v>26100</v>
      </c>
      <c r="Q34" s="94">
        <f>SUM(Q31:Q33)</f>
        <v>2453</v>
      </c>
      <c r="R34" s="55" t="s">
        <v>135</v>
      </c>
    </row>
    <row r="35" spans="1:18" x14ac:dyDescent="0.25">
      <c r="A35" s="95"/>
      <c r="B35" s="102"/>
      <c r="C35" s="103"/>
      <c r="D35" s="10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5"/>
      <c r="P35" s="86"/>
      <c r="Q35" s="73"/>
    </row>
    <row r="36" spans="1:18" x14ac:dyDescent="0.25">
      <c r="A36" s="105"/>
      <c r="B36" s="106"/>
      <c r="C36" s="107"/>
      <c r="D36" s="108"/>
      <c r="E36" s="108"/>
      <c r="F36" s="108"/>
      <c r="G36" s="108"/>
      <c r="H36" s="108"/>
      <c r="I36" s="108"/>
      <c r="J36" s="108"/>
      <c r="K36" s="108"/>
      <c r="L36" s="108"/>
      <c r="M36" s="108"/>
      <c r="N36" s="108"/>
      <c r="O36" s="108"/>
      <c r="P36" s="109"/>
      <c r="Q36" s="94"/>
    </row>
    <row r="37" spans="1:18" x14ac:dyDescent="0.25">
      <c r="A37" s="105"/>
      <c r="B37" s="106" t="s">
        <v>129</v>
      </c>
      <c r="C37" s="107"/>
      <c r="D37" s="108"/>
      <c r="E37" s="108"/>
      <c r="F37" s="125">
        <f>0.127278928886158/0.5*0.2</f>
        <v>5.09115715544632E-2</v>
      </c>
      <c r="G37" s="108">
        <f>-87*1000</f>
        <v>-87000</v>
      </c>
      <c r="H37" s="108"/>
      <c r="I37" s="108"/>
      <c r="J37" s="108"/>
      <c r="K37" s="108"/>
      <c r="L37" s="108"/>
      <c r="M37" s="108"/>
      <c r="N37" s="108"/>
      <c r="O37" s="108"/>
      <c r="P37" s="109">
        <f>+G37*F37</f>
        <v>-4429.306725238298</v>
      </c>
      <c r="Q37" s="94"/>
    </row>
    <row r="38" spans="1:18" x14ac:dyDescent="0.25">
      <c r="B38" s="55" t="s">
        <v>136</v>
      </c>
      <c r="P38" s="55">
        <f>700000*3.675%</f>
        <v>25725</v>
      </c>
    </row>
    <row r="39" spans="1:18" x14ac:dyDescent="0.25">
      <c r="B39" s="55" t="s">
        <v>139</v>
      </c>
      <c r="P39" s="55">
        <f>+[9]גיליון11!$P$78</f>
        <v>175000</v>
      </c>
    </row>
    <row r="40" spans="1:18" x14ac:dyDescent="0.25">
      <c r="P40" s="55">
        <f>P27-P31-P32+P38+P39+P37</f>
        <v>3942290.3419238091</v>
      </c>
    </row>
    <row r="41" spans="1:18" x14ac:dyDescent="0.25">
      <c r="A41" s="105"/>
      <c r="B41" s="110"/>
      <c r="C41" s="107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8"/>
      <c r="P41" s="109"/>
      <c r="Q41" s="94"/>
    </row>
    <row r="42" spans="1:18" x14ac:dyDescent="0.25">
      <c r="A42" s="105"/>
      <c r="B42" s="106"/>
      <c r="C42" s="107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21"/>
      <c r="O42" s="108"/>
      <c r="P42" s="109"/>
    </row>
    <row r="43" spans="1:18" x14ac:dyDescent="0.25">
      <c r="A43" s="105"/>
      <c r="B43" s="111"/>
      <c r="C43" s="112"/>
      <c r="D43" s="113"/>
      <c r="E43" s="113"/>
      <c r="F43" s="113"/>
      <c r="G43" s="113"/>
      <c r="H43" s="113"/>
      <c r="I43" s="113"/>
      <c r="J43" s="113"/>
      <c r="K43" s="113"/>
      <c r="L43" s="113"/>
      <c r="M43" s="113"/>
      <c r="N43" s="122"/>
      <c r="O43" s="113"/>
      <c r="P43" s="114"/>
    </row>
    <row r="44" spans="1:18" x14ac:dyDescent="0.25">
      <c r="A44" s="115"/>
      <c r="B44" s="116"/>
      <c r="C44" s="115"/>
      <c r="D44" s="115"/>
      <c r="E44" s="115"/>
      <c r="F44" s="115"/>
      <c r="G44" s="115"/>
      <c r="H44" s="115"/>
      <c r="I44" s="115"/>
      <c r="J44" s="115"/>
      <c r="K44" s="115"/>
      <c r="L44" s="115"/>
      <c r="M44" s="115"/>
      <c r="N44" s="123"/>
      <c r="O44" s="115"/>
      <c r="P44" s="117"/>
    </row>
    <row r="45" spans="1:18" x14ac:dyDescent="0.25">
      <c r="A45" s="115"/>
      <c r="B45" s="116"/>
      <c r="C45" s="115"/>
      <c r="D45" s="115"/>
      <c r="E45" s="115"/>
      <c r="F45" s="115"/>
      <c r="G45" s="115"/>
      <c r="H45" s="115"/>
      <c r="I45" s="115"/>
      <c r="J45" s="115"/>
      <c r="K45" s="115"/>
      <c r="L45" s="115"/>
      <c r="M45" s="115"/>
      <c r="N45" s="115"/>
      <c r="O45" s="115"/>
      <c r="P45" s="117"/>
    </row>
    <row r="46" spans="1:18" x14ac:dyDescent="0.25">
      <c r="A46" s="115"/>
      <c r="B46" s="116"/>
      <c r="C46" s="115"/>
      <c r="D46" s="115"/>
      <c r="E46" s="115"/>
      <c r="F46" s="115"/>
      <c r="G46" s="115"/>
      <c r="H46" s="115"/>
      <c r="I46" s="115"/>
      <c r="J46" s="115"/>
      <c r="K46" s="115"/>
      <c r="L46" s="115"/>
      <c r="M46" s="115"/>
      <c r="N46" s="115"/>
      <c r="O46" s="115"/>
      <c r="P46" s="117"/>
    </row>
    <row r="47" spans="1:18" x14ac:dyDescent="0.25">
      <c r="A47" s="115"/>
      <c r="B47" s="116"/>
      <c r="C47" s="115"/>
      <c r="D47" s="115"/>
      <c r="E47" s="115"/>
      <c r="F47" s="115"/>
      <c r="G47" s="115"/>
      <c r="H47" s="115"/>
      <c r="I47" s="115"/>
      <c r="J47" s="115"/>
      <c r="K47" s="115"/>
      <c r="L47" s="115"/>
      <c r="M47" s="115"/>
      <c r="N47" s="115"/>
      <c r="O47" s="115"/>
      <c r="P47" s="115"/>
    </row>
    <row r="48" spans="1:18" x14ac:dyDescent="0.25">
      <c r="A48" s="115"/>
      <c r="B48" s="116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115"/>
      <c r="N48" s="115"/>
      <c r="O48" s="115"/>
      <c r="P48" s="115"/>
    </row>
  </sheetData>
  <protectedRanges>
    <protectedRange password="CCA0" sqref="D31:O32" name="טווח1" securityDescriptor="O:WDG:WDD:(A;;CC;;;S-1-5-21-2114460574-1911696990-1240796037-1406)"/>
  </protectedRanges>
  <mergeCells count="1">
    <mergeCell ref="A2:P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7"/>
  <sheetViews>
    <sheetView rightToLeft="1" workbookViewId="0">
      <pane xSplit="3" ySplit="1" topLeftCell="D31" activePane="bottomRight" state="frozen"/>
      <selection activeCell="D49" sqref="D49"/>
      <selection pane="topRight" activeCell="D49" sqref="D49"/>
      <selection pane="bottomLeft" activeCell="D49" sqref="D49"/>
      <selection pane="bottomRight" activeCell="E59" sqref="E59"/>
    </sheetView>
  </sheetViews>
  <sheetFormatPr defaultRowHeight="12.75" x14ac:dyDescent="0.2"/>
  <cols>
    <col min="3" max="3" width="27.7109375" bestFit="1" customWidth="1"/>
    <col min="4" max="4" width="9.140625" style="1"/>
    <col min="5" max="5" width="10.28515625" bestFit="1" customWidth="1"/>
    <col min="6" max="6" width="9.28515625" bestFit="1" customWidth="1"/>
    <col min="9" max="9" width="11.85546875" style="1" bestFit="1" customWidth="1"/>
    <col min="10" max="10" width="12.85546875" style="1" bestFit="1" customWidth="1"/>
    <col min="12" max="12" width="9.140625" customWidth="1"/>
    <col min="13" max="14" width="11.28515625" bestFit="1" customWidth="1"/>
  </cols>
  <sheetData>
    <row r="1" spans="1:12" x14ac:dyDescent="0.2">
      <c r="A1">
        <v>2008</v>
      </c>
      <c r="B1" s="12" t="s">
        <v>29</v>
      </c>
      <c r="C1" s="12" t="s">
        <v>30</v>
      </c>
      <c r="D1" s="13" t="s">
        <v>31</v>
      </c>
      <c r="E1" s="12" t="s">
        <v>32</v>
      </c>
      <c r="F1" s="12" t="s">
        <v>36</v>
      </c>
      <c r="G1" s="12" t="s">
        <v>37</v>
      </c>
      <c r="H1" s="12" t="s">
        <v>38</v>
      </c>
      <c r="I1" s="13" t="s">
        <v>33</v>
      </c>
      <c r="J1" s="1" t="e">
        <f>+#REF!/1000</f>
        <v>#REF!</v>
      </c>
      <c r="K1">
        <f>+E89</f>
        <v>0</v>
      </c>
    </row>
    <row r="2" spans="1:12" x14ac:dyDescent="0.2">
      <c r="A2" t="str">
        <f>IF(B2=B3,"",B2)</f>
        <v/>
      </c>
      <c r="B2">
        <v>2009</v>
      </c>
      <c r="C2" t="s">
        <v>40</v>
      </c>
      <c r="D2" s="1">
        <v>2.774</v>
      </c>
      <c r="E2">
        <v>2.5</v>
      </c>
      <c r="J2" s="1" t="e">
        <f>+J1+I2</f>
        <v>#REF!</v>
      </c>
      <c r="K2">
        <f t="shared" ref="K2:K16" si="0">IF(E2&lt;0,-E2+K1,K1)</f>
        <v>0</v>
      </c>
    </row>
    <row r="3" spans="1:12" x14ac:dyDescent="0.2">
      <c r="A3" t="str">
        <f t="shared" ref="A3:A88" si="1">IF(B3=B4,"",B3)</f>
        <v/>
      </c>
      <c r="B3">
        <v>2009</v>
      </c>
      <c r="C3" t="s">
        <v>73</v>
      </c>
      <c r="D3" s="1">
        <v>2.7</v>
      </c>
      <c r="E3">
        <v>3.5</v>
      </c>
      <c r="J3" s="1" t="e">
        <f t="shared" ref="J3:J21" si="2">+J2+I3</f>
        <v>#REF!</v>
      </c>
      <c r="K3">
        <f t="shared" si="0"/>
        <v>0</v>
      </c>
    </row>
    <row r="4" spans="1:12" x14ac:dyDescent="0.2">
      <c r="A4" t="str">
        <f t="shared" si="1"/>
        <v/>
      </c>
      <c r="B4">
        <v>2009</v>
      </c>
      <c r="C4" t="s">
        <v>39</v>
      </c>
      <c r="F4">
        <v>100</v>
      </c>
      <c r="G4">
        <v>40</v>
      </c>
      <c r="H4" s="10">
        <f>5%*0.65+6.5%*0.35</f>
        <v>5.525E-2</v>
      </c>
      <c r="J4" s="1" t="e">
        <f t="shared" si="2"/>
        <v>#REF!</v>
      </c>
      <c r="K4">
        <f t="shared" si="0"/>
        <v>0</v>
      </c>
    </row>
    <row r="5" spans="1:12" x14ac:dyDescent="0.2">
      <c r="A5" t="str">
        <f t="shared" si="1"/>
        <v/>
      </c>
      <c r="B5">
        <v>2009</v>
      </c>
      <c r="C5" t="s">
        <v>35</v>
      </c>
      <c r="F5">
        <v>0</v>
      </c>
      <c r="G5">
        <v>40</v>
      </c>
      <c r="H5" s="10">
        <f>5%*0.65+6.5%*0.35</f>
        <v>5.525E-2</v>
      </c>
      <c r="I5" s="1">
        <f>+H5*F5+F5/G5</f>
        <v>0</v>
      </c>
      <c r="J5" s="1" t="e">
        <f t="shared" si="2"/>
        <v>#REF!</v>
      </c>
      <c r="K5">
        <f t="shared" si="0"/>
        <v>0</v>
      </c>
    </row>
    <row r="6" spans="1:12" x14ac:dyDescent="0.2">
      <c r="A6" t="str">
        <f t="shared" si="1"/>
        <v/>
      </c>
      <c r="B6">
        <v>2009</v>
      </c>
      <c r="C6" t="s">
        <v>42</v>
      </c>
      <c r="D6" s="1">
        <v>2.1</v>
      </c>
      <c r="E6">
        <v>1.5</v>
      </c>
      <c r="J6" s="1" t="e">
        <f t="shared" si="2"/>
        <v>#REF!</v>
      </c>
      <c r="K6">
        <f t="shared" si="0"/>
        <v>0</v>
      </c>
    </row>
    <row r="7" spans="1:12" x14ac:dyDescent="0.2">
      <c r="A7" t="str">
        <f t="shared" si="1"/>
        <v/>
      </c>
      <c r="B7">
        <v>2009</v>
      </c>
      <c r="C7" t="s">
        <v>67</v>
      </c>
      <c r="D7" s="1" t="e">
        <f>+#REF!/2</f>
        <v>#REF!</v>
      </c>
      <c r="E7">
        <v>0</v>
      </c>
      <c r="I7" s="1" t="e">
        <f>+E7*D7</f>
        <v>#REF!</v>
      </c>
      <c r="J7" s="1" t="e">
        <f t="shared" si="2"/>
        <v>#REF!</v>
      </c>
      <c r="K7">
        <f t="shared" si="0"/>
        <v>0</v>
      </c>
    </row>
    <row r="8" spans="1:12" x14ac:dyDescent="0.2">
      <c r="A8" t="str">
        <f t="shared" si="1"/>
        <v/>
      </c>
      <c r="B8">
        <v>2009</v>
      </c>
      <c r="C8" t="s">
        <v>65</v>
      </c>
      <c r="D8" s="31">
        <v>0.44</v>
      </c>
      <c r="E8" s="32">
        <f>+(HLOOKUP(B8,'כמויות על פני השנים'!$B:$H,33,0)-HLOOKUP(B8-1,'כמויות על פני השנים'!$B:$H,33,0))/1000</f>
        <v>0</v>
      </c>
      <c r="J8" s="1" t="e">
        <f t="shared" si="2"/>
        <v>#REF!</v>
      </c>
      <c r="K8">
        <f t="shared" si="0"/>
        <v>0</v>
      </c>
    </row>
    <row r="9" spans="1:12" x14ac:dyDescent="0.2">
      <c r="A9" t="str">
        <f t="shared" si="1"/>
        <v/>
      </c>
      <c r="B9">
        <v>2009</v>
      </c>
      <c r="C9" t="s">
        <v>66</v>
      </c>
      <c r="D9" s="33">
        <v>1.4999999999999999E-2</v>
      </c>
      <c r="E9" s="34">
        <v>1300</v>
      </c>
      <c r="J9" s="1" t="e">
        <f t="shared" si="2"/>
        <v>#REF!</v>
      </c>
      <c r="K9">
        <f t="shared" si="0"/>
        <v>0</v>
      </c>
    </row>
    <row r="10" spans="1:12" x14ac:dyDescent="0.2">
      <c r="A10">
        <f t="shared" si="1"/>
        <v>2009</v>
      </c>
      <c r="B10">
        <v>2009</v>
      </c>
      <c r="C10" t="s">
        <v>41</v>
      </c>
      <c r="D10" s="1">
        <v>1.7</v>
      </c>
      <c r="E10">
        <v>10</v>
      </c>
      <c r="H10" s="11"/>
      <c r="J10" s="1">
        <f>+'[10]ריכוז '!$M$31/1000</f>
        <v>2783.3537259189507</v>
      </c>
      <c r="K10">
        <f t="shared" si="0"/>
        <v>0</v>
      </c>
    </row>
    <row r="11" spans="1:12" x14ac:dyDescent="0.2">
      <c r="A11" t="str">
        <f t="shared" si="1"/>
        <v/>
      </c>
      <c r="B11">
        <v>2010</v>
      </c>
      <c r="C11" t="s">
        <v>28</v>
      </c>
      <c r="D11" s="1">
        <v>2.52</v>
      </c>
      <c r="E11">
        <v>100</v>
      </c>
      <c r="I11" s="1">
        <f>+E11*D11</f>
        <v>252</v>
      </c>
      <c r="J11" s="1">
        <f t="shared" si="2"/>
        <v>3035.3537259189507</v>
      </c>
      <c r="K11">
        <f t="shared" si="0"/>
        <v>0</v>
      </c>
      <c r="L11" t="s">
        <v>79</v>
      </c>
    </row>
    <row r="12" spans="1:12" x14ac:dyDescent="0.2">
      <c r="A12" t="str">
        <f t="shared" si="1"/>
        <v/>
      </c>
      <c r="B12">
        <v>2010</v>
      </c>
      <c r="C12" t="s">
        <v>34</v>
      </c>
      <c r="F12" s="42">
        <v>400</v>
      </c>
      <c r="G12">
        <v>40</v>
      </c>
      <c r="H12" s="10">
        <f>5%*0.65+6.5%*0.35</f>
        <v>5.525E-2</v>
      </c>
      <c r="I12" s="1">
        <f>+H12*F12+F12/G12</f>
        <v>32.1</v>
      </c>
      <c r="J12" s="1">
        <f t="shared" si="2"/>
        <v>3067.4537259189506</v>
      </c>
      <c r="K12">
        <f t="shared" si="0"/>
        <v>0</v>
      </c>
      <c r="L12" t="s">
        <v>53</v>
      </c>
    </row>
    <row r="13" spans="1:12" x14ac:dyDescent="0.2">
      <c r="A13" t="str">
        <f t="shared" si="1"/>
        <v/>
      </c>
      <c r="B13">
        <v>2010</v>
      </c>
      <c r="C13" t="s">
        <v>35</v>
      </c>
      <c r="F13" s="42">
        <v>0</v>
      </c>
      <c r="G13">
        <v>40</v>
      </c>
      <c r="H13" s="10">
        <f>5%*0.65+6.5%*0.35</f>
        <v>5.525E-2</v>
      </c>
      <c r="I13" s="1">
        <f>+H13*F13+F13/G13</f>
        <v>0</v>
      </c>
      <c r="J13" s="1">
        <f t="shared" si="2"/>
        <v>3067.4537259189506</v>
      </c>
      <c r="K13">
        <f t="shared" si="0"/>
        <v>0</v>
      </c>
    </row>
    <row r="14" spans="1:12" x14ac:dyDescent="0.2">
      <c r="A14" t="str">
        <f t="shared" si="1"/>
        <v/>
      </c>
      <c r="B14">
        <v>2010</v>
      </c>
      <c r="C14" t="s">
        <v>39</v>
      </c>
      <c r="F14" s="42">
        <f>+F4</f>
        <v>100</v>
      </c>
      <c r="G14">
        <f>+G13</f>
        <v>40</v>
      </c>
      <c r="H14" s="10">
        <f>5%*0.65+6.5%*0.35</f>
        <v>5.525E-2</v>
      </c>
      <c r="I14" s="1">
        <f>+H14*F14+F14/G14</f>
        <v>8.0250000000000004</v>
      </c>
      <c r="J14" s="1">
        <f t="shared" si="2"/>
        <v>3075.4787259189507</v>
      </c>
      <c r="K14">
        <f t="shared" si="0"/>
        <v>0</v>
      </c>
      <c r="L14" t="s">
        <v>53</v>
      </c>
    </row>
    <row r="15" spans="1:12" x14ac:dyDescent="0.2">
      <c r="A15" t="str">
        <f t="shared" si="1"/>
        <v/>
      </c>
      <c r="B15">
        <v>2010</v>
      </c>
      <c r="C15" t="s">
        <v>41</v>
      </c>
      <c r="D15" s="1">
        <v>1.5</v>
      </c>
      <c r="E15">
        <v>10</v>
      </c>
      <c r="H15" s="11"/>
      <c r="I15" s="1">
        <f t="shared" ref="I15:I20" si="3">+E15*D15</f>
        <v>15</v>
      </c>
      <c r="J15" s="1">
        <f t="shared" si="2"/>
        <v>3090.4787259189507</v>
      </c>
      <c r="K15">
        <f t="shared" si="0"/>
        <v>0</v>
      </c>
      <c r="L15" t="s">
        <v>79</v>
      </c>
    </row>
    <row r="16" spans="1:12" x14ac:dyDescent="0.2">
      <c r="A16" t="str">
        <f t="shared" si="1"/>
        <v/>
      </c>
      <c r="B16">
        <v>2010</v>
      </c>
      <c r="C16" t="s">
        <v>40</v>
      </c>
      <c r="D16" s="1">
        <v>2.62</v>
      </c>
      <c r="E16">
        <v>9</v>
      </c>
      <c r="I16" s="1">
        <f t="shared" si="3"/>
        <v>23.580000000000002</v>
      </c>
      <c r="J16" s="1">
        <f t="shared" si="2"/>
        <v>3114.0587259189506</v>
      </c>
      <c r="K16">
        <f t="shared" si="0"/>
        <v>0</v>
      </c>
      <c r="L16" t="s">
        <v>79</v>
      </c>
    </row>
    <row r="17" spans="1:14" x14ac:dyDescent="0.2">
      <c r="A17" t="str">
        <f t="shared" si="1"/>
        <v/>
      </c>
      <c r="B17">
        <v>2010</v>
      </c>
      <c r="C17" t="s">
        <v>73</v>
      </c>
      <c r="D17" s="1">
        <v>2.6</v>
      </c>
      <c r="E17">
        <v>9.5</v>
      </c>
      <c r="I17" s="1">
        <f t="shared" si="3"/>
        <v>24.7</v>
      </c>
      <c r="J17" s="1">
        <f t="shared" si="2"/>
        <v>3138.7587259189504</v>
      </c>
      <c r="K17">
        <f>IF(E17&lt;0,-E17+K16,K16)</f>
        <v>0</v>
      </c>
      <c r="L17" t="s">
        <v>79</v>
      </c>
    </row>
    <row r="18" spans="1:14" x14ac:dyDescent="0.2">
      <c r="A18" t="str">
        <f t="shared" si="1"/>
        <v/>
      </c>
      <c r="B18">
        <v>2010</v>
      </c>
      <c r="C18" t="s">
        <v>77</v>
      </c>
      <c r="D18" s="37">
        <v>2.4</v>
      </c>
      <c r="I18" s="37">
        <f t="shared" si="3"/>
        <v>0</v>
      </c>
      <c r="J18" s="37">
        <f t="shared" si="2"/>
        <v>3138.7587259189504</v>
      </c>
      <c r="K18">
        <f>IF(E18&lt;0,-E18+K17,K17)</f>
        <v>0</v>
      </c>
      <c r="L18" t="s">
        <v>79</v>
      </c>
    </row>
    <row r="19" spans="1:14" x14ac:dyDescent="0.2">
      <c r="A19" t="str">
        <f t="shared" si="1"/>
        <v/>
      </c>
      <c r="B19">
        <v>2010</v>
      </c>
      <c r="C19" t="s">
        <v>57</v>
      </c>
      <c r="D19" s="1" t="e">
        <f>+#REF!/2</f>
        <v>#REF!</v>
      </c>
      <c r="E19">
        <f>-(E15+E16+E17+E11)</f>
        <v>-128.5</v>
      </c>
      <c r="I19" s="1" t="e">
        <f t="shared" si="3"/>
        <v>#REF!</v>
      </c>
      <c r="J19" s="37" t="e">
        <f>+J18+I19</f>
        <v>#REF!</v>
      </c>
      <c r="K19">
        <f>IF(E19&lt;0,-E19+K18,K18)</f>
        <v>128.5</v>
      </c>
    </row>
    <row r="20" spans="1:14" x14ac:dyDescent="0.2">
      <c r="A20" t="str">
        <f t="shared" si="1"/>
        <v/>
      </c>
      <c r="B20">
        <v>2010</v>
      </c>
      <c r="C20" t="s">
        <v>65</v>
      </c>
      <c r="D20" s="1">
        <f>+D8</f>
        <v>0.44</v>
      </c>
      <c r="E20" s="2">
        <f>+(HLOOKUP(B20,'כמויות על פני השנים'!$B:$H,33,0)-HLOOKUP(B20-1,'כמויות על פני השנים'!$B:$H,33,0))/1000</f>
        <v>0</v>
      </c>
      <c r="I20" s="1">
        <f t="shared" si="3"/>
        <v>0</v>
      </c>
      <c r="J20" s="1" t="e">
        <f t="shared" si="2"/>
        <v>#REF!</v>
      </c>
      <c r="K20">
        <f>IF(E20&lt;0,-E20+K19,K19)</f>
        <v>128.5</v>
      </c>
      <c r="L20" t="s">
        <v>80</v>
      </c>
    </row>
    <row r="21" spans="1:14" x14ac:dyDescent="0.2">
      <c r="A21" t="str">
        <f t="shared" si="1"/>
        <v/>
      </c>
      <c r="B21">
        <v>2010</v>
      </c>
      <c r="C21" t="s">
        <v>66</v>
      </c>
      <c r="D21" s="1">
        <f>+D9</f>
        <v>1.4999999999999999E-2</v>
      </c>
      <c r="E21">
        <v>1300</v>
      </c>
      <c r="I21" s="1">
        <f>-E21*D21</f>
        <v>-19.5</v>
      </c>
      <c r="J21" s="1" t="e">
        <f t="shared" si="2"/>
        <v>#REF!</v>
      </c>
      <c r="K21">
        <f>IF(E21&lt;0,-E21+K20,K20)</f>
        <v>128.5</v>
      </c>
      <c r="L21" t="s">
        <v>52</v>
      </c>
    </row>
    <row r="22" spans="1:14" x14ac:dyDescent="0.2">
      <c r="A22">
        <f t="shared" si="1"/>
        <v>2010</v>
      </c>
      <c r="B22">
        <v>2010</v>
      </c>
      <c r="C22" t="s">
        <v>42</v>
      </c>
      <c r="D22" s="1">
        <v>2.1</v>
      </c>
      <c r="E22">
        <v>2.5</v>
      </c>
      <c r="I22" s="1">
        <f>+E22*D22</f>
        <v>5.25</v>
      </c>
      <c r="J22" s="1" t="e">
        <f t="shared" ref="J22:J27" si="4">+J21+I22</f>
        <v>#REF!</v>
      </c>
      <c r="K22">
        <f t="shared" ref="K22:K27" si="5">IF(E22&lt;0,-E22+K21,K21)</f>
        <v>128.5</v>
      </c>
      <c r="L22" t="s">
        <v>79</v>
      </c>
      <c r="N22" s="47" t="s">
        <v>91</v>
      </c>
    </row>
    <row r="23" spans="1:14" x14ac:dyDescent="0.2">
      <c r="A23" t="str">
        <f t="shared" si="1"/>
        <v/>
      </c>
      <c r="B23">
        <v>2011</v>
      </c>
      <c r="C23" t="s">
        <v>39</v>
      </c>
      <c r="F23" s="42">
        <f>+F14</f>
        <v>100</v>
      </c>
      <c r="G23">
        <v>40</v>
      </c>
      <c r="H23" s="10">
        <f>5%*0.65+6.5%*0.35</f>
        <v>5.525E-2</v>
      </c>
      <c r="I23" s="1">
        <f>+H23*F23+F23/G23</f>
        <v>8.0250000000000004</v>
      </c>
      <c r="J23" s="1" t="e">
        <f t="shared" si="4"/>
        <v>#REF!</v>
      </c>
      <c r="K23">
        <f t="shared" si="5"/>
        <v>128.5</v>
      </c>
    </row>
    <row r="24" spans="1:14" x14ac:dyDescent="0.2">
      <c r="A24" t="str">
        <f t="shared" si="1"/>
        <v/>
      </c>
      <c r="B24">
        <v>2011</v>
      </c>
      <c r="C24" t="s">
        <v>35</v>
      </c>
      <c r="F24" s="42">
        <v>110</v>
      </c>
      <c r="G24">
        <v>40</v>
      </c>
      <c r="H24" s="10">
        <f>5%*0.65+6.5%*0.35</f>
        <v>5.525E-2</v>
      </c>
      <c r="I24" s="1">
        <f>+H24*F24+F24/G24</f>
        <v>8.8275000000000006</v>
      </c>
      <c r="J24" s="1" t="e">
        <f t="shared" si="4"/>
        <v>#REF!</v>
      </c>
      <c r="K24">
        <f t="shared" si="5"/>
        <v>128.5</v>
      </c>
    </row>
    <row r="25" spans="1:14" x14ac:dyDescent="0.2">
      <c r="A25" t="str">
        <f t="shared" si="1"/>
        <v/>
      </c>
      <c r="B25">
        <v>2011</v>
      </c>
      <c r="C25" t="s">
        <v>42</v>
      </c>
      <c r="D25" s="1">
        <v>1.7</v>
      </c>
      <c r="E25">
        <v>10</v>
      </c>
      <c r="I25" s="1">
        <f t="shared" ref="I25:I31" si="6">+E25*D25</f>
        <v>17</v>
      </c>
      <c r="J25" s="1" t="e">
        <f t="shared" si="4"/>
        <v>#REF!</v>
      </c>
      <c r="K25">
        <f t="shared" si="5"/>
        <v>128.5</v>
      </c>
    </row>
    <row r="26" spans="1:14" x14ac:dyDescent="0.2">
      <c r="A26" t="str">
        <f t="shared" si="1"/>
        <v/>
      </c>
      <c r="B26">
        <v>2011</v>
      </c>
      <c r="C26" t="s">
        <v>40</v>
      </c>
      <c r="D26" s="1">
        <v>2.62</v>
      </c>
      <c r="E26">
        <v>3.5</v>
      </c>
      <c r="I26" s="1">
        <f t="shared" si="6"/>
        <v>9.17</v>
      </c>
      <c r="J26" s="1" t="e">
        <f t="shared" si="4"/>
        <v>#REF!</v>
      </c>
      <c r="K26">
        <f t="shared" si="5"/>
        <v>128.5</v>
      </c>
    </row>
    <row r="27" spans="1:14" x14ac:dyDescent="0.2">
      <c r="A27" t="str">
        <f t="shared" si="1"/>
        <v/>
      </c>
      <c r="B27">
        <v>2011</v>
      </c>
      <c r="C27" t="s">
        <v>73</v>
      </c>
      <c r="D27" s="1">
        <v>2.6</v>
      </c>
      <c r="E27">
        <v>2</v>
      </c>
      <c r="I27" s="1">
        <f t="shared" si="6"/>
        <v>5.2</v>
      </c>
      <c r="J27" s="1" t="e">
        <f t="shared" si="4"/>
        <v>#REF!</v>
      </c>
      <c r="K27">
        <f t="shared" si="5"/>
        <v>128.5</v>
      </c>
    </row>
    <row r="28" spans="1:14" x14ac:dyDescent="0.2">
      <c r="A28" t="str">
        <f t="shared" si="1"/>
        <v/>
      </c>
      <c r="B28">
        <v>2011</v>
      </c>
      <c r="C28" s="40" t="s">
        <v>82</v>
      </c>
      <c r="D28" s="1">
        <v>2.7</v>
      </c>
      <c r="E28">
        <v>27</v>
      </c>
      <c r="I28" s="1">
        <f t="shared" si="6"/>
        <v>72.900000000000006</v>
      </c>
      <c r="J28" s="1" t="e">
        <f t="shared" ref="J28:J85" si="7">+J27+I28</f>
        <v>#REF!</v>
      </c>
      <c r="K28">
        <f t="shared" ref="K28:K85" si="8">IF(E28&lt;0,-E28+K27,K27)</f>
        <v>128.5</v>
      </c>
    </row>
    <row r="29" spans="1:14" x14ac:dyDescent="0.2">
      <c r="A29" t="str">
        <f t="shared" si="1"/>
        <v/>
      </c>
      <c r="B29">
        <v>2011</v>
      </c>
      <c r="C29" t="s">
        <v>77</v>
      </c>
      <c r="D29" s="1">
        <v>2.4</v>
      </c>
      <c r="E29">
        <v>20</v>
      </c>
      <c r="I29" s="1">
        <f t="shared" si="6"/>
        <v>48</v>
      </c>
      <c r="J29" s="1" t="e">
        <f t="shared" si="7"/>
        <v>#REF!</v>
      </c>
      <c r="K29">
        <f t="shared" si="8"/>
        <v>128.5</v>
      </c>
    </row>
    <row r="30" spans="1:14" x14ac:dyDescent="0.2">
      <c r="A30" t="str">
        <f t="shared" si="1"/>
        <v/>
      </c>
      <c r="B30">
        <v>2011</v>
      </c>
      <c r="C30" t="s">
        <v>55</v>
      </c>
      <c r="D30" s="1" t="e">
        <f>+#REF!/2</f>
        <v>#REF!</v>
      </c>
      <c r="E30">
        <f>-(E35+E25+E26+E27)</f>
        <v>-25.5</v>
      </c>
      <c r="I30" s="1" t="e">
        <f t="shared" si="6"/>
        <v>#REF!</v>
      </c>
      <c r="J30" s="1" t="e">
        <f t="shared" si="7"/>
        <v>#REF!</v>
      </c>
      <c r="K30">
        <f t="shared" si="8"/>
        <v>154</v>
      </c>
    </row>
    <row r="31" spans="1:14" x14ac:dyDescent="0.2">
      <c r="A31" t="str">
        <f t="shared" si="1"/>
        <v/>
      </c>
      <c r="B31">
        <v>2011</v>
      </c>
      <c r="C31" t="s">
        <v>65</v>
      </c>
      <c r="D31" s="1">
        <f>+D20</f>
        <v>0.44</v>
      </c>
      <c r="E31" s="2">
        <f>+(HLOOKUP(B31,'כמויות על פני השנים'!$B:$H,34,0)-HLOOKUP(B31-1,'כמויות על פני השנים'!$B:$H,34,0))/1000</f>
        <v>0</v>
      </c>
      <c r="I31" s="1">
        <f t="shared" si="6"/>
        <v>0</v>
      </c>
      <c r="J31" s="1" t="e">
        <f t="shared" si="7"/>
        <v>#REF!</v>
      </c>
      <c r="K31">
        <f t="shared" si="8"/>
        <v>154</v>
      </c>
    </row>
    <row r="32" spans="1:14" x14ac:dyDescent="0.2">
      <c r="A32" t="str">
        <f>IF(B32=B34,"",B32)</f>
        <v/>
      </c>
      <c r="B32">
        <v>2011</v>
      </c>
      <c r="C32" s="43" t="s">
        <v>92</v>
      </c>
      <c r="J32" s="1" t="e">
        <f>+#REF!/1000</f>
        <v>#REF!</v>
      </c>
      <c r="K32">
        <f t="shared" si="8"/>
        <v>154</v>
      </c>
      <c r="M32">
        <v>550</v>
      </c>
    </row>
    <row r="33" spans="1:13" x14ac:dyDescent="0.2">
      <c r="B33">
        <v>2011</v>
      </c>
      <c r="C33" t="s">
        <v>39</v>
      </c>
      <c r="F33" s="42">
        <v>185</v>
      </c>
      <c r="G33">
        <v>40</v>
      </c>
      <c r="H33" s="10">
        <f>5%*0.65+6.5%*0.35</f>
        <v>5.525E-2</v>
      </c>
      <c r="I33" s="1">
        <f>+H33*F33+F33/G33</f>
        <v>14.84625</v>
      </c>
      <c r="J33" s="1" t="e">
        <f>+J32+I33</f>
        <v>#REF!</v>
      </c>
      <c r="K33">
        <f t="shared" si="8"/>
        <v>154</v>
      </c>
      <c r="M33">
        <f>+M32*0.02</f>
        <v>11</v>
      </c>
    </row>
    <row r="34" spans="1:13" x14ac:dyDescent="0.2">
      <c r="A34" t="str">
        <f t="shared" si="1"/>
        <v/>
      </c>
      <c r="B34">
        <v>2011</v>
      </c>
      <c r="C34" s="43" t="s">
        <v>86</v>
      </c>
      <c r="I34" s="1" t="e">
        <f>-(#REF!)/3/1000</f>
        <v>#REF!</v>
      </c>
      <c r="J34" s="1" t="e">
        <f>+J33+I34</f>
        <v>#REF!</v>
      </c>
      <c r="K34">
        <f>IF(E34&lt;0,-E34+K32,K32)</f>
        <v>154</v>
      </c>
      <c r="M34" s="47"/>
    </row>
    <row r="35" spans="1:13" x14ac:dyDescent="0.2">
      <c r="A35">
        <f t="shared" si="1"/>
        <v>2011</v>
      </c>
      <c r="B35">
        <v>2011</v>
      </c>
      <c r="C35" t="s">
        <v>41</v>
      </c>
      <c r="D35" s="1">
        <v>1.7</v>
      </c>
      <c r="E35">
        <v>10</v>
      </c>
      <c r="H35" s="11"/>
      <c r="I35" s="1">
        <v>17</v>
      </c>
      <c r="J35" s="1" t="e">
        <f>+J34+I35</f>
        <v>#REF!</v>
      </c>
      <c r="K35">
        <f t="shared" si="8"/>
        <v>154</v>
      </c>
    </row>
    <row r="36" spans="1:13" x14ac:dyDescent="0.2">
      <c r="A36" t="str">
        <f t="shared" si="1"/>
        <v/>
      </c>
      <c r="B36">
        <v>2012</v>
      </c>
      <c r="C36" t="s">
        <v>39</v>
      </c>
      <c r="F36" s="42">
        <f>+F23</f>
        <v>100</v>
      </c>
      <c r="G36">
        <v>40</v>
      </c>
      <c r="H36" s="10">
        <f>5%*0.65+6.5%*0.35</f>
        <v>5.525E-2</v>
      </c>
      <c r="I36" s="1">
        <f>+H36*F36+F36/G36</f>
        <v>8.0250000000000004</v>
      </c>
      <c r="J36" s="1" t="e">
        <f t="shared" si="7"/>
        <v>#REF!</v>
      </c>
      <c r="K36">
        <f t="shared" si="8"/>
        <v>154</v>
      </c>
    </row>
    <row r="37" spans="1:13" x14ac:dyDescent="0.2">
      <c r="A37" t="str">
        <f t="shared" si="1"/>
        <v/>
      </c>
      <c r="B37">
        <v>2012</v>
      </c>
      <c r="C37" t="s">
        <v>35</v>
      </c>
      <c r="F37" s="42">
        <v>80</v>
      </c>
      <c r="G37">
        <v>40</v>
      </c>
      <c r="H37" s="10">
        <f>5%*0.65+6.5%*0.35</f>
        <v>5.525E-2</v>
      </c>
      <c r="I37" s="1">
        <f>+H37*F37+F37/G37</f>
        <v>6.42</v>
      </c>
      <c r="J37" s="1" t="e">
        <f t="shared" si="7"/>
        <v>#REF!</v>
      </c>
      <c r="K37">
        <f t="shared" si="8"/>
        <v>154</v>
      </c>
    </row>
    <row r="38" spans="1:13" x14ac:dyDescent="0.2">
      <c r="A38" t="str">
        <f t="shared" si="1"/>
        <v/>
      </c>
      <c r="B38">
        <v>2012</v>
      </c>
      <c r="C38" t="s">
        <v>74</v>
      </c>
      <c r="F38" s="42">
        <v>200</v>
      </c>
      <c r="G38">
        <v>40</v>
      </c>
      <c r="H38" s="10">
        <f>5%*0.65+6.5%*0.35</f>
        <v>5.525E-2</v>
      </c>
      <c r="I38" s="1">
        <f>+H38*F38+F38/G38</f>
        <v>16.05</v>
      </c>
      <c r="J38" s="1" t="e">
        <f t="shared" si="7"/>
        <v>#REF!</v>
      </c>
      <c r="K38">
        <f t="shared" si="8"/>
        <v>154</v>
      </c>
    </row>
    <row r="39" spans="1:13" x14ac:dyDescent="0.2">
      <c r="A39" t="str">
        <f t="shared" si="1"/>
        <v/>
      </c>
      <c r="B39">
        <v>2012</v>
      </c>
      <c r="C39" t="s">
        <v>75</v>
      </c>
      <c r="F39" s="42">
        <v>100</v>
      </c>
      <c r="G39">
        <v>40</v>
      </c>
      <c r="H39" s="10">
        <f>5%*0.65+6.5%*0.35</f>
        <v>5.525E-2</v>
      </c>
      <c r="I39" s="1">
        <f>+H39*F39+F39/G39</f>
        <v>8.0250000000000004</v>
      </c>
      <c r="J39" s="1" t="e">
        <f t="shared" si="7"/>
        <v>#REF!</v>
      </c>
      <c r="K39">
        <f t="shared" si="8"/>
        <v>154</v>
      </c>
    </row>
    <row r="40" spans="1:13" x14ac:dyDescent="0.2">
      <c r="A40" t="str">
        <f t="shared" si="1"/>
        <v/>
      </c>
      <c r="B40">
        <v>2012</v>
      </c>
      <c r="C40" t="s">
        <v>42</v>
      </c>
      <c r="D40" s="1">
        <v>2.1</v>
      </c>
      <c r="E40">
        <v>6</v>
      </c>
      <c r="I40" s="1">
        <f>+E40*D40</f>
        <v>12.600000000000001</v>
      </c>
      <c r="J40" s="1" t="e">
        <f t="shared" si="7"/>
        <v>#REF!</v>
      </c>
      <c r="K40">
        <f t="shared" si="8"/>
        <v>154</v>
      </c>
    </row>
    <row r="41" spans="1:13" x14ac:dyDescent="0.2">
      <c r="A41" t="str">
        <f t="shared" si="1"/>
        <v/>
      </c>
      <c r="B41">
        <v>2012</v>
      </c>
      <c r="C41" t="s">
        <v>41</v>
      </c>
      <c r="D41" s="1">
        <v>1.7</v>
      </c>
      <c r="E41">
        <v>10</v>
      </c>
      <c r="H41" s="11"/>
      <c r="I41" s="1">
        <f>+E41*D41</f>
        <v>17</v>
      </c>
      <c r="J41" s="1" t="e">
        <f t="shared" si="7"/>
        <v>#REF!</v>
      </c>
      <c r="K41">
        <f t="shared" si="8"/>
        <v>154</v>
      </c>
    </row>
    <row r="42" spans="1:13" x14ac:dyDescent="0.2">
      <c r="A42" t="str">
        <f t="shared" si="1"/>
        <v/>
      </c>
      <c r="B42">
        <v>2012</v>
      </c>
      <c r="C42" t="s">
        <v>83</v>
      </c>
      <c r="D42" s="1">
        <v>2</v>
      </c>
      <c r="I42" s="1">
        <f>+E42*D42</f>
        <v>0</v>
      </c>
      <c r="J42" s="1" t="e">
        <f t="shared" si="7"/>
        <v>#REF!</v>
      </c>
      <c r="K42">
        <f t="shared" si="8"/>
        <v>154</v>
      </c>
    </row>
    <row r="43" spans="1:13" x14ac:dyDescent="0.2">
      <c r="A43" t="str">
        <f t="shared" si="1"/>
        <v/>
      </c>
      <c r="B43">
        <v>2012</v>
      </c>
      <c r="C43" t="s">
        <v>55</v>
      </c>
      <c r="D43" s="1" t="e">
        <f>+#REF!/2</f>
        <v>#REF!</v>
      </c>
      <c r="E43">
        <f>-(E42+E41)</f>
        <v>-10</v>
      </c>
      <c r="I43" s="1" t="e">
        <f>+E43*D43</f>
        <v>#REF!</v>
      </c>
      <c r="J43" s="1" t="e">
        <f t="shared" si="7"/>
        <v>#REF!</v>
      </c>
      <c r="K43">
        <f t="shared" si="8"/>
        <v>164</v>
      </c>
    </row>
    <row r="44" spans="1:13" x14ac:dyDescent="0.2">
      <c r="A44" t="str">
        <f t="shared" si="1"/>
        <v/>
      </c>
      <c r="B44">
        <v>2012</v>
      </c>
      <c r="C44" t="s">
        <v>65</v>
      </c>
      <c r="D44" s="1">
        <f>+D31</f>
        <v>0.44</v>
      </c>
      <c r="E44" s="2">
        <f>+(HLOOKUP(B44,'כמויות על פני השנים'!$B:$H,34,0)-HLOOKUP(B44-1,'כמויות על פני השנים'!$B:$H,34,0))/1000</f>
        <v>0</v>
      </c>
      <c r="I44" s="1">
        <f>+E44*D44</f>
        <v>0</v>
      </c>
      <c r="J44" s="1" t="e">
        <f t="shared" si="7"/>
        <v>#REF!</v>
      </c>
      <c r="K44">
        <f t="shared" si="8"/>
        <v>164</v>
      </c>
    </row>
    <row r="45" spans="1:13" x14ac:dyDescent="0.2">
      <c r="A45" t="str">
        <f t="shared" si="1"/>
        <v/>
      </c>
      <c r="B45">
        <v>2012</v>
      </c>
      <c r="C45" t="s">
        <v>66</v>
      </c>
      <c r="D45" s="1">
        <f>+D32</f>
        <v>0</v>
      </c>
      <c r="E45">
        <v>1300</v>
      </c>
      <c r="I45" s="1">
        <f>-E45*D45</f>
        <v>0</v>
      </c>
      <c r="J45" s="1" t="e">
        <f t="shared" si="7"/>
        <v>#REF!</v>
      </c>
      <c r="K45">
        <f t="shared" si="8"/>
        <v>164</v>
      </c>
    </row>
    <row r="46" spans="1:13" x14ac:dyDescent="0.2">
      <c r="A46" t="str">
        <f t="shared" si="1"/>
        <v/>
      </c>
      <c r="B46">
        <v>2012</v>
      </c>
      <c r="C46" s="43" t="s">
        <v>86</v>
      </c>
      <c r="J46" s="1" t="e">
        <f t="shared" si="7"/>
        <v>#REF!</v>
      </c>
      <c r="K46">
        <f t="shared" si="8"/>
        <v>164</v>
      </c>
    </row>
    <row r="47" spans="1:13" x14ac:dyDescent="0.2">
      <c r="A47">
        <f t="shared" si="1"/>
        <v>2012</v>
      </c>
      <c r="B47">
        <v>2012</v>
      </c>
      <c r="C47" t="s">
        <v>34</v>
      </c>
      <c r="F47" s="42">
        <v>200</v>
      </c>
      <c r="G47">
        <v>40</v>
      </c>
      <c r="H47" s="10">
        <f>5%*0.65+6.5%*0.35</f>
        <v>5.525E-2</v>
      </c>
      <c r="I47" s="1">
        <f>+H47*F47+F47/G47</f>
        <v>16.05</v>
      </c>
      <c r="J47" s="1">
        <f>+'תרחיש מפורט'!C3/1000</f>
        <v>0</v>
      </c>
      <c r="K47">
        <f t="shared" si="8"/>
        <v>164</v>
      </c>
    </row>
    <row r="48" spans="1:13" x14ac:dyDescent="0.2">
      <c r="A48" t="str">
        <f t="shared" si="1"/>
        <v/>
      </c>
      <c r="B48">
        <v>2013</v>
      </c>
      <c r="C48" t="s">
        <v>39</v>
      </c>
      <c r="F48" s="42">
        <f>+F36</f>
        <v>100</v>
      </c>
      <c r="G48">
        <v>40</v>
      </c>
      <c r="H48" s="10">
        <f>5%*0.65+6.5%*0.35</f>
        <v>5.525E-2</v>
      </c>
      <c r="I48" s="1">
        <f>+H48*F48+F48/G48</f>
        <v>8.0250000000000004</v>
      </c>
      <c r="J48" s="1">
        <f t="shared" si="7"/>
        <v>8.0250000000000004</v>
      </c>
      <c r="K48">
        <f t="shared" si="8"/>
        <v>164</v>
      </c>
    </row>
    <row r="49" spans="1:14" x14ac:dyDescent="0.2">
      <c r="A49" t="str">
        <f t="shared" si="1"/>
        <v/>
      </c>
      <c r="B49">
        <v>2013</v>
      </c>
      <c r="C49" t="s">
        <v>35</v>
      </c>
      <c r="F49" s="42">
        <v>35</v>
      </c>
      <c r="G49">
        <v>40</v>
      </c>
      <c r="H49" s="10">
        <f>5%*0.65+6.5%*0.35</f>
        <v>5.525E-2</v>
      </c>
      <c r="I49" s="1">
        <f>+H49*F49+F49/G49</f>
        <v>2.8087499999999999</v>
      </c>
      <c r="J49" s="1">
        <f t="shared" si="7"/>
        <v>10.83375</v>
      </c>
      <c r="K49">
        <f t="shared" si="8"/>
        <v>164</v>
      </c>
    </row>
    <row r="50" spans="1:14" x14ac:dyDescent="0.2">
      <c r="A50" t="str">
        <f t="shared" si="1"/>
        <v/>
      </c>
      <c r="B50">
        <v>2013</v>
      </c>
      <c r="C50" t="s">
        <v>76</v>
      </c>
      <c r="F50" s="42">
        <v>350</v>
      </c>
      <c r="G50">
        <v>40</v>
      </c>
      <c r="H50" s="10">
        <f>5%*0.65+6.5%*0.35</f>
        <v>5.525E-2</v>
      </c>
      <c r="I50" s="1">
        <f>+H50*F50+F50/G50</f>
        <v>28.087499999999999</v>
      </c>
      <c r="J50" s="1">
        <f t="shared" si="7"/>
        <v>38.921250000000001</v>
      </c>
      <c r="K50">
        <f t="shared" si="8"/>
        <v>164</v>
      </c>
    </row>
    <row r="51" spans="1:14" x14ac:dyDescent="0.2">
      <c r="A51" t="str">
        <f t="shared" si="1"/>
        <v/>
      </c>
      <c r="B51">
        <v>2013</v>
      </c>
      <c r="C51" t="s">
        <v>42</v>
      </c>
      <c r="D51" s="1">
        <v>0</v>
      </c>
      <c r="E51">
        <v>0</v>
      </c>
      <c r="I51" s="1">
        <f>+E51*D51</f>
        <v>0</v>
      </c>
      <c r="J51" s="1">
        <f t="shared" si="7"/>
        <v>38.921250000000001</v>
      </c>
      <c r="K51">
        <f t="shared" si="8"/>
        <v>164</v>
      </c>
      <c r="L51" t="s">
        <v>127</v>
      </c>
      <c r="M51">
        <v>43</v>
      </c>
    </row>
    <row r="52" spans="1:14" x14ac:dyDescent="0.2">
      <c r="A52" t="str">
        <f>IF(B52=B54,"",B52)</f>
        <v/>
      </c>
      <c r="B52">
        <v>2013</v>
      </c>
      <c r="C52" t="s">
        <v>41</v>
      </c>
      <c r="D52" s="1">
        <v>1.7</v>
      </c>
      <c r="E52">
        <v>0</v>
      </c>
      <c r="H52" s="11"/>
      <c r="I52" s="1">
        <f>+E52*D52</f>
        <v>0</v>
      </c>
      <c r="J52" s="1">
        <f>+J51+I52</f>
        <v>38.921250000000001</v>
      </c>
      <c r="K52">
        <f>IF(E52&lt;0,-E52+K51,K51)</f>
        <v>164</v>
      </c>
      <c r="L52" s="48" t="s">
        <v>78</v>
      </c>
      <c r="M52">
        <v>50</v>
      </c>
    </row>
    <row r="53" spans="1:14" x14ac:dyDescent="0.2">
      <c r="B53">
        <v>2013</v>
      </c>
      <c r="C53" s="51" t="s">
        <v>101</v>
      </c>
      <c r="D53" s="52"/>
      <c r="E53" s="53"/>
      <c r="F53" s="53"/>
      <c r="G53" s="53"/>
      <c r="H53" s="54"/>
      <c r="I53" s="52">
        <f>+M56</f>
        <v>201</v>
      </c>
      <c r="J53" s="1">
        <f>+J52+I53</f>
        <v>239.92124999999999</v>
      </c>
      <c r="K53">
        <f>IF(E53&lt;0,-E53+K52,K52)</f>
        <v>164</v>
      </c>
      <c r="L53" s="48" t="s">
        <v>80</v>
      </c>
      <c r="M53">
        <v>60</v>
      </c>
    </row>
    <row r="54" spans="1:14" x14ac:dyDescent="0.2">
      <c r="A54" t="str">
        <f>IF(B54=B56,"",B54)</f>
        <v/>
      </c>
      <c r="B54">
        <v>2013</v>
      </c>
      <c r="C54" t="s">
        <v>83</v>
      </c>
      <c r="D54" s="1">
        <v>2.2000000000000002</v>
      </c>
      <c r="E54">
        <v>75</v>
      </c>
      <c r="I54" s="1">
        <f>+E54*D54</f>
        <v>165</v>
      </c>
      <c r="J54" s="1">
        <f>+J53+I54</f>
        <v>404.92124999999999</v>
      </c>
      <c r="K54">
        <f>IF(E54&lt;0,-E54+K53,K53)</f>
        <v>164</v>
      </c>
      <c r="L54" s="48" t="s">
        <v>53</v>
      </c>
      <c r="M54">
        <f>900*3%</f>
        <v>27</v>
      </c>
    </row>
    <row r="55" spans="1:14" x14ac:dyDescent="0.2">
      <c r="B55">
        <v>2013</v>
      </c>
      <c r="C55" s="48" t="s">
        <v>84</v>
      </c>
      <c r="D55" s="1">
        <v>2.5</v>
      </c>
      <c r="E55">
        <v>12</v>
      </c>
      <c r="I55" s="1">
        <f>+E55*D55</f>
        <v>30</v>
      </c>
      <c r="J55" s="1">
        <f>+J54+I55</f>
        <v>434.92124999999999</v>
      </c>
      <c r="K55">
        <f>IF(E55&lt;0,-E55+K54,K54)</f>
        <v>164</v>
      </c>
      <c r="L55" s="48" t="s">
        <v>52</v>
      </c>
      <c r="M55">
        <f>700*3%</f>
        <v>21</v>
      </c>
    </row>
    <row r="56" spans="1:14" x14ac:dyDescent="0.2">
      <c r="A56" t="str">
        <f t="shared" si="1"/>
        <v/>
      </c>
      <c r="B56">
        <v>2013</v>
      </c>
      <c r="C56" s="48"/>
      <c r="I56" s="1">
        <f>+E56*D56</f>
        <v>0</v>
      </c>
      <c r="J56" s="1">
        <f>+J55+I56</f>
        <v>434.92124999999999</v>
      </c>
      <c r="K56">
        <f>IF(E56&lt;0,-E56+K55,K55)</f>
        <v>164</v>
      </c>
      <c r="M56">
        <f>SUM(M52:M55)+M51</f>
        <v>201</v>
      </c>
    </row>
    <row r="57" spans="1:14" x14ac:dyDescent="0.2">
      <c r="A57" t="str">
        <f>IF(B57=B59,"",B57)</f>
        <v/>
      </c>
      <c r="B57">
        <v>2013</v>
      </c>
      <c r="C57" t="s">
        <v>65</v>
      </c>
      <c r="D57" s="1">
        <f>+D44</f>
        <v>0.44</v>
      </c>
      <c r="E57" s="2">
        <f>+(HLOOKUP(B57,'כמויות על פני השנים'!$B:$H,34,0)-HLOOKUP(B57-1,'כמויות על פני השנים'!$B:$H,34,0))/1000</f>
        <v>0</v>
      </c>
      <c r="I57" s="1">
        <f>+E57*D57</f>
        <v>0</v>
      </c>
      <c r="J57" s="1">
        <f t="shared" si="7"/>
        <v>434.92124999999999</v>
      </c>
      <c r="K57">
        <f t="shared" si="8"/>
        <v>164</v>
      </c>
    </row>
    <row r="58" spans="1:14" x14ac:dyDescent="0.2">
      <c r="B58">
        <v>2013</v>
      </c>
      <c r="C58" s="48" t="s">
        <v>137</v>
      </c>
      <c r="E58" s="2"/>
      <c r="I58" s="1">
        <f>+'עלויות מוכרות לשנת 2013'!P40/1000-J57</f>
        <v>3507.3690919238093</v>
      </c>
      <c r="J58" s="1">
        <f t="shared" si="7"/>
        <v>3942.2903419238091</v>
      </c>
      <c r="K58">
        <f t="shared" si="8"/>
        <v>164</v>
      </c>
    </row>
    <row r="59" spans="1:14" s="118" customFormat="1" x14ac:dyDescent="0.2">
      <c r="A59" s="118">
        <f t="shared" si="1"/>
        <v>2013</v>
      </c>
      <c r="B59" s="118">
        <v>2013</v>
      </c>
      <c r="C59" s="48" t="s">
        <v>129</v>
      </c>
      <c r="D59" s="1" t="e">
        <f>+#REF!/2</f>
        <v>#REF!</v>
      </c>
      <c r="E59">
        <v>-87</v>
      </c>
      <c r="F59"/>
      <c r="G59"/>
      <c r="H59"/>
      <c r="I59" s="1" t="e">
        <f>+E59*D59</f>
        <v>#REF!</v>
      </c>
      <c r="J59" s="119" t="e">
        <f>+J58+I59</f>
        <v>#REF!</v>
      </c>
      <c r="K59" s="118">
        <f>IF(E59&lt;0,-E59+K58,K58)</f>
        <v>251</v>
      </c>
      <c r="N59" s="120" t="e">
        <f>+J59-J47</f>
        <v>#REF!</v>
      </c>
    </row>
    <row r="60" spans="1:14" x14ac:dyDescent="0.2">
      <c r="A60" t="str">
        <f t="shared" si="1"/>
        <v/>
      </c>
      <c r="B60">
        <v>2014</v>
      </c>
      <c r="C60" t="s">
        <v>34</v>
      </c>
      <c r="F60" s="42">
        <v>550</v>
      </c>
      <c r="G60">
        <v>40</v>
      </c>
      <c r="H60" s="10">
        <f>5%*0.65+6.5%*0.35</f>
        <v>5.525E-2</v>
      </c>
      <c r="I60" s="1">
        <f>+H60*F60+F60/G60</f>
        <v>44.137500000000003</v>
      </c>
      <c r="J60" s="1" t="e">
        <f t="shared" si="7"/>
        <v>#REF!</v>
      </c>
      <c r="K60">
        <f t="shared" si="8"/>
        <v>251</v>
      </c>
    </row>
    <row r="61" spans="1:14" x14ac:dyDescent="0.2">
      <c r="A61" t="str">
        <f t="shared" si="1"/>
        <v/>
      </c>
      <c r="B61">
        <v>2014</v>
      </c>
      <c r="C61" t="s">
        <v>39</v>
      </c>
      <c r="F61" s="42">
        <f>+F48</f>
        <v>100</v>
      </c>
      <c r="G61">
        <v>40</v>
      </c>
      <c r="H61" s="10">
        <f>5%*0.65+6.5%*0.35</f>
        <v>5.525E-2</v>
      </c>
      <c r="I61" s="1">
        <f>+H61*F61+F61/G61</f>
        <v>8.0250000000000004</v>
      </c>
      <c r="J61" s="1" t="e">
        <f t="shared" si="7"/>
        <v>#REF!</v>
      </c>
      <c r="K61">
        <f t="shared" si="8"/>
        <v>251</v>
      </c>
    </row>
    <row r="62" spans="1:14" x14ac:dyDescent="0.2">
      <c r="A62" t="str">
        <f t="shared" si="1"/>
        <v/>
      </c>
      <c r="B62">
        <v>2014</v>
      </c>
      <c r="C62" t="s">
        <v>83</v>
      </c>
      <c r="D62" s="1">
        <v>2.2000000000000002</v>
      </c>
      <c r="E62">
        <v>75</v>
      </c>
      <c r="F62" s="42"/>
      <c r="H62" s="10"/>
      <c r="I62" s="1">
        <f>+E62*D62</f>
        <v>165</v>
      </c>
      <c r="J62" s="1" t="e">
        <f t="shared" si="7"/>
        <v>#REF!</v>
      </c>
      <c r="K62">
        <f t="shared" si="8"/>
        <v>251</v>
      </c>
    </row>
    <row r="63" spans="1:14" x14ac:dyDescent="0.2">
      <c r="A63" t="str">
        <f t="shared" si="1"/>
        <v/>
      </c>
      <c r="B63">
        <v>2014</v>
      </c>
      <c r="C63" t="s">
        <v>84</v>
      </c>
      <c r="D63" s="1">
        <v>2.5</v>
      </c>
      <c r="E63">
        <v>88</v>
      </c>
      <c r="F63" s="42"/>
      <c r="H63" s="10"/>
      <c r="I63" s="1">
        <f>+E63*D63</f>
        <v>220</v>
      </c>
      <c r="J63" s="1" t="e">
        <f t="shared" si="7"/>
        <v>#REF!</v>
      </c>
      <c r="K63">
        <f t="shared" si="8"/>
        <v>251</v>
      </c>
    </row>
    <row r="64" spans="1:14" x14ac:dyDescent="0.2">
      <c r="A64" t="str">
        <f t="shared" si="1"/>
        <v/>
      </c>
      <c r="B64">
        <v>2014</v>
      </c>
      <c r="C64" t="s">
        <v>35</v>
      </c>
      <c r="F64" s="42">
        <v>15</v>
      </c>
      <c r="G64">
        <v>40</v>
      </c>
      <c r="H64" s="10">
        <f>5%*0.65+6.5%*0.35</f>
        <v>5.525E-2</v>
      </c>
      <c r="I64" s="1">
        <f>+H64*F64+F64/G64</f>
        <v>1.2037499999999999</v>
      </c>
      <c r="J64" s="1" t="e">
        <f t="shared" si="7"/>
        <v>#REF!</v>
      </c>
      <c r="K64">
        <f t="shared" si="8"/>
        <v>251</v>
      </c>
    </row>
    <row r="65" spans="1:11" x14ac:dyDescent="0.2">
      <c r="A65" t="str">
        <f>IF(B65=B67,"",B65)</f>
        <v/>
      </c>
      <c r="B65">
        <v>2014</v>
      </c>
      <c r="C65" t="s">
        <v>42</v>
      </c>
      <c r="D65" s="1">
        <v>0</v>
      </c>
      <c r="E65">
        <v>0</v>
      </c>
      <c r="I65" s="1">
        <f>+E65*D65</f>
        <v>0</v>
      </c>
      <c r="J65" s="1" t="e">
        <f t="shared" si="7"/>
        <v>#REF!</v>
      </c>
      <c r="K65">
        <f t="shared" si="8"/>
        <v>251</v>
      </c>
    </row>
    <row r="66" spans="1:11" x14ac:dyDescent="0.2">
      <c r="B66">
        <v>2014</v>
      </c>
      <c r="C66" s="48" t="s">
        <v>129</v>
      </c>
      <c r="D66" s="124" t="e">
        <f>+#REF!/2</f>
        <v>#REF!</v>
      </c>
      <c r="E66">
        <f>-(E62+E63)</f>
        <v>-163</v>
      </c>
      <c r="I66" s="1" t="e">
        <f>+E66*D66</f>
        <v>#REF!</v>
      </c>
      <c r="J66" s="1" t="e">
        <f>+J65+I66</f>
        <v>#REF!</v>
      </c>
      <c r="K66">
        <f>IF(E66&lt;0,-E66+K65,K65)</f>
        <v>414</v>
      </c>
    </row>
    <row r="67" spans="1:11" x14ac:dyDescent="0.2">
      <c r="A67" t="str">
        <f t="shared" si="1"/>
        <v/>
      </c>
      <c r="B67">
        <v>2014</v>
      </c>
      <c r="C67" t="s">
        <v>65</v>
      </c>
      <c r="D67" s="1">
        <f>+D44</f>
        <v>0.44</v>
      </c>
      <c r="E67" s="2">
        <f>+(HLOOKUP(B67,'כמויות על פני השנים'!$B:$H,34,0)-HLOOKUP(B67-1,'כמויות על פני השנים'!$B:$H,34,0))/1000</f>
        <v>0</v>
      </c>
      <c r="I67" s="1">
        <f>+E67*D67</f>
        <v>0</v>
      </c>
      <c r="J67" s="1" t="e">
        <f>+J66+I67</f>
        <v>#REF!</v>
      </c>
      <c r="K67">
        <f>IF(E67&lt;0,-E67+K66,K66)</f>
        <v>414</v>
      </c>
    </row>
    <row r="68" spans="1:11" x14ac:dyDescent="0.2">
      <c r="A68" t="str">
        <f>IF(B68=B70,"",B68)</f>
        <v/>
      </c>
      <c r="B68">
        <v>2014</v>
      </c>
      <c r="C68" s="43" t="s">
        <v>86</v>
      </c>
      <c r="E68" s="2"/>
      <c r="I68" s="1" t="e">
        <f>(+#REF!+#REF!)/3/1000</f>
        <v>#REF!</v>
      </c>
      <c r="J68" s="1" t="e">
        <f t="shared" si="7"/>
        <v>#REF!</v>
      </c>
      <c r="K68">
        <f t="shared" si="8"/>
        <v>414</v>
      </c>
    </row>
    <row r="69" spans="1:11" x14ac:dyDescent="0.2">
      <c r="B69">
        <v>2014</v>
      </c>
      <c r="C69" s="51" t="s">
        <v>101</v>
      </c>
      <c r="D69" s="52"/>
      <c r="E69" s="53"/>
      <c r="F69" s="53"/>
      <c r="G69" s="53"/>
      <c r="H69" s="54">
        <v>0.03</v>
      </c>
      <c r="I69" s="52" t="e">
        <f>+H69*J59</f>
        <v>#REF!</v>
      </c>
      <c r="J69" s="1" t="e">
        <f>+J68+I69</f>
        <v>#REF!</v>
      </c>
      <c r="K69">
        <f>IF(E69&lt;0,-E69+K68,K68)</f>
        <v>414</v>
      </c>
    </row>
    <row r="70" spans="1:11" x14ac:dyDescent="0.2">
      <c r="A70">
        <f>IF(B70=B82,"",B70)</f>
        <v>2014</v>
      </c>
      <c r="B70">
        <v>2014</v>
      </c>
      <c r="C70" t="s">
        <v>66</v>
      </c>
      <c r="D70" s="1">
        <f>+D45</f>
        <v>0</v>
      </c>
      <c r="E70">
        <v>1300</v>
      </c>
      <c r="I70" s="1">
        <f>-E70*D70</f>
        <v>0</v>
      </c>
      <c r="J70" s="1" t="e">
        <f>+J68+I70</f>
        <v>#REF!</v>
      </c>
      <c r="K70">
        <f>IF(E70&lt;0,-E70+K68,K68)</f>
        <v>414</v>
      </c>
    </row>
    <row r="71" spans="1:11" x14ac:dyDescent="0.2">
      <c r="B71">
        <v>2015</v>
      </c>
      <c r="C71" t="s">
        <v>34</v>
      </c>
      <c r="F71" s="42">
        <v>200</v>
      </c>
      <c r="G71">
        <v>40</v>
      </c>
      <c r="H71" s="10">
        <f>5%*0.65+6.5%*0.35</f>
        <v>5.525E-2</v>
      </c>
      <c r="I71" s="1">
        <f>+H71*F71+F71/G71</f>
        <v>16.05</v>
      </c>
      <c r="J71" s="1" t="e">
        <f t="shared" ref="J71:J79" si="9">+J70+I71</f>
        <v>#REF!</v>
      </c>
      <c r="K71">
        <f t="shared" ref="K71:K79" si="10">IF(E71&lt;0,-E71+K70,K70)</f>
        <v>414</v>
      </c>
    </row>
    <row r="72" spans="1:11" x14ac:dyDescent="0.2">
      <c r="B72">
        <v>2015</v>
      </c>
      <c r="C72" t="s">
        <v>39</v>
      </c>
      <c r="F72" s="42">
        <f>+F61</f>
        <v>100</v>
      </c>
      <c r="G72">
        <v>40</v>
      </c>
      <c r="H72" s="10">
        <f>5%*0.65+6.5%*0.35</f>
        <v>5.525E-2</v>
      </c>
      <c r="I72" s="1">
        <f>+H72*F72+F72/G72</f>
        <v>8.0250000000000004</v>
      </c>
      <c r="J72" s="1" t="e">
        <f t="shared" si="9"/>
        <v>#REF!</v>
      </c>
      <c r="K72">
        <f t="shared" si="10"/>
        <v>414</v>
      </c>
    </row>
    <row r="73" spans="1:11" x14ac:dyDescent="0.2">
      <c r="B73">
        <v>2015</v>
      </c>
      <c r="C73" t="s">
        <v>35</v>
      </c>
      <c r="F73" s="42">
        <v>35</v>
      </c>
      <c r="G73">
        <v>40</v>
      </c>
      <c r="H73" s="10">
        <f>5%*0.65+6.5%*0.35</f>
        <v>5.525E-2</v>
      </c>
      <c r="I73" s="1">
        <f>+H73*F73+F73/G73</f>
        <v>2.8087499999999999</v>
      </c>
      <c r="J73" s="1" t="e">
        <f t="shared" si="9"/>
        <v>#REF!</v>
      </c>
      <c r="K73">
        <f t="shared" si="10"/>
        <v>414</v>
      </c>
    </row>
    <row r="74" spans="1:11" x14ac:dyDescent="0.2">
      <c r="B74">
        <v>2015</v>
      </c>
      <c r="C74" s="48" t="s">
        <v>128</v>
      </c>
      <c r="F74" s="42">
        <v>250</v>
      </c>
      <c r="G74">
        <v>40</v>
      </c>
      <c r="H74" s="10">
        <f>5%*0.65+6.5%*0.35</f>
        <v>5.525E-2</v>
      </c>
      <c r="I74" s="1">
        <f>+H74*F74+F74/G74</f>
        <v>20.0625</v>
      </c>
      <c r="J74" s="1" t="e">
        <f t="shared" si="9"/>
        <v>#REF!</v>
      </c>
      <c r="K74">
        <f t="shared" si="10"/>
        <v>414</v>
      </c>
    </row>
    <row r="75" spans="1:11" x14ac:dyDescent="0.2">
      <c r="A75">
        <f>IF(B75=B87,"",B75)</f>
        <v>2015</v>
      </c>
      <c r="B75">
        <v>2015</v>
      </c>
      <c r="C75" s="51" t="s">
        <v>101</v>
      </c>
      <c r="D75" s="52"/>
      <c r="E75" s="53"/>
      <c r="F75" s="53"/>
      <c r="G75" s="53"/>
      <c r="H75" s="54">
        <v>0.03</v>
      </c>
      <c r="I75" s="52" t="e">
        <f>+H75*J70</f>
        <v>#REF!</v>
      </c>
      <c r="J75" s="1" t="e">
        <f t="shared" si="9"/>
        <v>#REF!</v>
      </c>
      <c r="K75">
        <f t="shared" si="10"/>
        <v>414</v>
      </c>
    </row>
    <row r="76" spans="1:11" x14ac:dyDescent="0.2">
      <c r="B76">
        <v>2016</v>
      </c>
      <c r="C76" t="s">
        <v>34</v>
      </c>
      <c r="F76" s="42">
        <v>200</v>
      </c>
      <c r="G76">
        <v>40</v>
      </c>
      <c r="H76" s="10">
        <f>5%*0.65+6.5%*0.35</f>
        <v>5.525E-2</v>
      </c>
      <c r="I76" s="1">
        <f>+H76*F76+F76/G76</f>
        <v>16.05</v>
      </c>
      <c r="J76" s="1" t="e">
        <f t="shared" si="9"/>
        <v>#REF!</v>
      </c>
      <c r="K76">
        <f t="shared" si="10"/>
        <v>414</v>
      </c>
    </row>
    <row r="77" spans="1:11" x14ac:dyDescent="0.2">
      <c r="B77">
        <v>2016</v>
      </c>
      <c r="C77" t="s">
        <v>39</v>
      </c>
      <c r="F77" s="42">
        <f>+F72</f>
        <v>100</v>
      </c>
      <c r="G77">
        <v>40</v>
      </c>
      <c r="H77" s="10">
        <f>5%*0.65+6.5%*0.35</f>
        <v>5.525E-2</v>
      </c>
      <c r="I77" s="1">
        <f>+H77*F77+F77/G77</f>
        <v>8.0250000000000004</v>
      </c>
      <c r="J77" s="1" t="e">
        <f t="shared" si="9"/>
        <v>#REF!</v>
      </c>
      <c r="K77">
        <f t="shared" si="10"/>
        <v>414</v>
      </c>
    </row>
    <row r="78" spans="1:11" x14ac:dyDescent="0.2">
      <c r="B78">
        <v>2016</v>
      </c>
      <c r="C78" t="s">
        <v>35</v>
      </c>
      <c r="F78" s="42">
        <v>35</v>
      </c>
      <c r="G78">
        <v>40</v>
      </c>
      <c r="H78" s="10">
        <f>5%*0.65+6.5%*0.35</f>
        <v>5.525E-2</v>
      </c>
      <c r="I78" s="1">
        <f>+H78*F78+F78/G78</f>
        <v>2.8087499999999999</v>
      </c>
      <c r="J78" s="1" t="e">
        <f t="shared" si="9"/>
        <v>#REF!</v>
      </c>
      <c r="K78">
        <f t="shared" si="10"/>
        <v>414</v>
      </c>
    </row>
    <row r="79" spans="1:11" x14ac:dyDescent="0.2">
      <c r="B79">
        <v>2016</v>
      </c>
      <c r="C79" s="48" t="s">
        <v>128</v>
      </c>
      <c r="F79" s="42">
        <v>250</v>
      </c>
      <c r="G79">
        <v>40</v>
      </c>
      <c r="H79" s="10">
        <f>5%*0.65+6.5%*0.35</f>
        <v>5.525E-2</v>
      </c>
      <c r="I79" s="1">
        <f>+H79*F79+F79/G79</f>
        <v>20.0625</v>
      </c>
      <c r="J79" s="1" t="e">
        <f t="shared" si="9"/>
        <v>#REF!</v>
      </c>
      <c r="K79">
        <f t="shared" si="10"/>
        <v>414</v>
      </c>
    </row>
    <row r="80" spans="1:11" x14ac:dyDescent="0.2">
      <c r="B80">
        <v>2016</v>
      </c>
      <c r="C80" s="51" t="s">
        <v>101</v>
      </c>
      <c r="D80" s="52"/>
      <c r="E80" s="53"/>
      <c r="F80" s="53"/>
      <c r="G80" s="53"/>
      <c r="H80" s="54">
        <v>0.03</v>
      </c>
      <c r="I80" s="52" t="e">
        <f>+H80*J75</f>
        <v>#REF!</v>
      </c>
      <c r="J80" s="1" t="e">
        <f>+J79+I80</f>
        <v>#REF!</v>
      </c>
      <c r="K80">
        <f>IF(E80&lt;0,-E80+K79,K79)</f>
        <v>414</v>
      </c>
    </row>
    <row r="81" spans="1:14" x14ac:dyDescent="0.2">
      <c r="A81">
        <f>IF(B81=B92,"",B81)</f>
        <v>2016</v>
      </c>
      <c r="B81">
        <v>2016</v>
      </c>
      <c r="J81" s="1" t="e">
        <f>+J80+I81</f>
        <v>#REF!</v>
      </c>
      <c r="K81">
        <f>IF(E81&lt;0,-E81+K80,K80)</f>
        <v>414</v>
      </c>
    </row>
    <row r="82" spans="1:14" x14ac:dyDescent="0.2">
      <c r="A82" t="str">
        <f t="shared" si="1"/>
        <v/>
      </c>
      <c r="B82">
        <v>2020</v>
      </c>
      <c r="C82" t="s">
        <v>84</v>
      </c>
      <c r="D82" s="1">
        <v>2.5</v>
      </c>
      <c r="E82">
        <v>0</v>
      </c>
      <c r="I82" s="1">
        <f>+E82*D82</f>
        <v>0</v>
      </c>
      <c r="J82" s="1" t="e">
        <f>+J70+I82</f>
        <v>#REF!</v>
      </c>
      <c r="K82">
        <f>IF(E82&lt;0,-E82+K70,K70)</f>
        <v>414</v>
      </c>
      <c r="M82" s="43" t="s">
        <v>87</v>
      </c>
    </row>
    <row r="83" spans="1:14" x14ac:dyDescent="0.2">
      <c r="A83" t="str">
        <f t="shared" si="1"/>
        <v/>
      </c>
      <c r="B83">
        <v>2020</v>
      </c>
      <c r="C83" t="str">
        <f>+'[11]השקעות לפי תחומים'!D$43</f>
        <v>מקורות</v>
      </c>
      <c r="F83" s="2" t="e">
        <f>+N83-M83</f>
        <v>#REF!</v>
      </c>
      <c r="G83">
        <v>40</v>
      </c>
      <c r="H83" s="10">
        <f>5%*0.65+6.5%*0.35</f>
        <v>5.525E-2</v>
      </c>
      <c r="I83" s="1" t="e">
        <f>+H83*F83+F83/G83</f>
        <v>#REF!</v>
      </c>
      <c r="J83" s="1" t="e">
        <f t="shared" si="7"/>
        <v>#REF!</v>
      </c>
      <c r="K83">
        <f t="shared" si="8"/>
        <v>414</v>
      </c>
      <c r="M83" s="2">
        <f>550*5</f>
        <v>2750</v>
      </c>
      <c r="N83" s="2" t="e">
        <f>+#REF!*#REF!/#REF!</f>
        <v>#REF!</v>
      </c>
    </row>
    <row r="84" spans="1:14" x14ac:dyDescent="0.2">
      <c r="A84" t="str">
        <f t="shared" si="1"/>
        <v/>
      </c>
      <c r="B84">
        <v>2020</v>
      </c>
      <c r="C84" t="str">
        <f>+'[11]השקעות לפי תחומים'!$D$45</f>
        <v>יזמות פרטית</v>
      </c>
      <c r="F84" s="2" t="e">
        <f>+#REF!</f>
        <v>#REF!</v>
      </c>
      <c r="G84">
        <v>25</v>
      </c>
      <c r="H84" s="14">
        <v>7.0000000000000007E-2</v>
      </c>
      <c r="I84" s="1" t="e">
        <f>+H84*F84+F84/G84</f>
        <v>#REF!</v>
      </c>
      <c r="J84" s="1" t="e">
        <f t="shared" si="7"/>
        <v>#REF!</v>
      </c>
      <c r="K84">
        <f t="shared" si="8"/>
        <v>414</v>
      </c>
    </row>
    <row r="85" spans="1:14" x14ac:dyDescent="0.2">
      <c r="A85" t="str">
        <f t="shared" si="1"/>
        <v/>
      </c>
      <c r="B85">
        <v>2020</v>
      </c>
      <c r="C85" t="str">
        <f>+'[11]השקעות לפי תחומים'!$D$46</f>
        <v>תקציב מדינה</v>
      </c>
      <c r="F85" s="2" t="e">
        <f>+#REF!</f>
        <v>#REF!</v>
      </c>
      <c r="G85">
        <v>40</v>
      </c>
      <c r="H85" s="10">
        <f>5%*0.65+6.5%*0.35</f>
        <v>5.525E-2</v>
      </c>
      <c r="I85" s="1" t="e">
        <f>+H85*F85+F85/G85</f>
        <v>#REF!</v>
      </c>
      <c r="J85" s="1" t="e">
        <f t="shared" si="7"/>
        <v>#REF!</v>
      </c>
      <c r="K85">
        <f t="shared" si="8"/>
        <v>414</v>
      </c>
    </row>
    <row r="86" spans="1:14" x14ac:dyDescent="0.2">
      <c r="A86" t="str">
        <f t="shared" si="1"/>
        <v/>
      </c>
      <c r="B86">
        <v>2020</v>
      </c>
      <c r="C86" t="s">
        <v>85</v>
      </c>
      <c r="D86" s="1">
        <v>1</v>
      </c>
      <c r="E86" s="38">
        <f>+'[11]השקעות - תוספת מים'!$D$13+'[11]השקעות - תוספת מים'!$D$33</f>
        <v>219.63</v>
      </c>
      <c r="F86" s="2"/>
      <c r="I86" s="1">
        <f>+E86*D86</f>
        <v>219.63</v>
      </c>
      <c r="J86" s="1" t="e">
        <f>+J85+I86</f>
        <v>#REF!</v>
      </c>
      <c r="K86">
        <f>IF(E86&lt;0,-E86+K85,K85)</f>
        <v>414</v>
      </c>
    </row>
    <row r="87" spans="1:14" x14ac:dyDescent="0.2">
      <c r="A87" t="str">
        <f t="shared" si="1"/>
        <v/>
      </c>
      <c r="B87">
        <v>2020</v>
      </c>
      <c r="C87" s="43" t="s">
        <v>88</v>
      </c>
      <c r="D87" s="1">
        <f>+D105</f>
        <v>0.3</v>
      </c>
      <c r="E87" s="38" t="e">
        <f>+E88</f>
        <v>#N/A</v>
      </c>
      <c r="F87" s="2"/>
      <c r="I87" s="1" t="e">
        <f>+E87*D87</f>
        <v>#N/A</v>
      </c>
      <c r="J87" s="1" t="e">
        <f t="shared" ref="J87:J106" si="11">+J86+I87</f>
        <v>#REF!</v>
      </c>
      <c r="K87" t="e">
        <f t="shared" ref="K87:K106" si="12">IF(E87&lt;0,-E87+K86,K86)</f>
        <v>#N/A</v>
      </c>
    </row>
    <row r="88" spans="1:14" x14ac:dyDescent="0.2">
      <c r="A88">
        <f t="shared" si="1"/>
        <v>2020</v>
      </c>
      <c r="B88">
        <v>2020</v>
      </c>
      <c r="C88" t="s">
        <v>65</v>
      </c>
      <c r="D88" s="1">
        <f>+D67</f>
        <v>0.44</v>
      </c>
      <c r="E88" s="2" t="e">
        <f>+(HLOOKUP(B88,'כמויות על פני השנים'!$B:$I,34,0)-HLOOKUP(B88-5,'כמויות על פני השנים'!$B:$I,34,0))/1000</f>
        <v>#N/A</v>
      </c>
      <c r="I88" s="1" t="e">
        <f>+E88*D88</f>
        <v>#N/A</v>
      </c>
      <c r="J88" s="1" t="e">
        <f t="shared" si="11"/>
        <v>#REF!</v>
      </c>
      <c r="K88" t="e">
        <f t="shared" si="12"/>
        <v>#N/A</v>
      </c>
      <c r="M88" s="43" t="s">
        <v>87</v>
      </c>
    </row>
    <row r="89" spans="1:14" x14ac:dyDescent="0.2">
      <c r="A89" t="str">
        <f t="shared" ref="A89:A106" si="13">IF(B89=B90,"",B89)</f>
        <v/>
      </c>
      <c r="B89">
        <v>2030</v>
      </c>
      <c r="C89" t="str">
        <f>+'[11]השקעות לפי תחומים'!D$43</f>
        <v>מקורות</v>
      </c>
      <c r="F89" s="2" t="e">
        <f>+N89-M89</f>
        <v>#REF!</v>
      </c>
      <c r="G89">
        <v>40</v>
      </c>
      <c r="H89" s="10">
        <f>5%*0.65+6.5%*0.35</f>
        <v>5.525E-2</v>
      </c>
      <c r="I89" s="1" t="e">
        <f>+H89*F89+F89/G89</f>
        <v>#REF!</v>
      </c>
      <c r="J89" s="1" t="e">
        <f t="shared" si="11"/>
        <v>#REF!</v>
      </c>
      <c r="K89" t="e">
        <f t="shared" si="12"/>
        <v>#N/A</v>
      </c>
      <c r="M89" s="2">
        <v>8000</v>
      </c>
      <c r="N89" s="2" t="e">
        <f>+#REF!*'כמויות על פני השנים'!#REF!/('כמויות על פני השנים'!#REF!+'כמויות על פני השנים'!#REF!+'כמויות על פני השנים'!#REF!)</f>
        <v>#REF!</v>
      </c>
    </row>
    <row r="90" spans="1:14" x14ac:dyDescent="0.2">
      <c r="A90" t="str">
        <f t="shared" si="13"/>
        <v/>
      </c>
      <c r="B90">
        <v>2030</v>
      </c>
      <c r="C90" t="str">
        <f>+'[11]השקעות לפי תחומים'!$D$45</f>
        <v>יזמות פרטית</v>
      </c>
      <c r="F90" s="2" t="e">
        <f>+#REF!/3</f>
        <v>#REF!</v>
      </c>
      <c r="G90">
        <v>25</v>
      </c>
      <c r="H90" s="14">
        <v>7.0000000000000007E-2</v>
      </c>
      <c r="I90" s="1" t="e">
        <f>+H90*F90+F90/G90</f>
        <v>#REF!</v>
      </c>
      <c r="J90" s="1" t="e">
        <f t="shared" si="11"/>
        <v>#REF!</v>
      </c>
      <c r="K90" t="e">
        <f t="shared" si="12"/>
        <v>#N/A</v>
      </c>
    </row>
    <row r="91" spans="1:14" x14ac:dyDescent="0.2">
      <c r="A91" t="str">
        <f t="shared" si="13"/>
        <v/>
      </c>
      <c r="B91">
        <v>2030</v>
      </c>
      <c r="C91" t="str">
        <f>+'[11]השקעות לפי תחומים'!$D$46</f>
        <v>תקציב מדינה</v>
      </c>
      <c r="F91" s="2" t="e">
        <f>+#REF!/3</f>
        <v>#REF!</v>
      </c>
      <c r="G91">
        <v>40</v>
      </c>
      <c r="H91" s="10">
        <f>5%*0.65+6.5%*0.35</f>
        <v>5.525E-2</v>
      </c>
      <c r="I91" s="1" t="e">
        <f>+H91*F91+F91/G91</f>
        <v>#REF!</v>
      </c>
      <c r="J91" s="1" t="e">
        <f t="shared" si="11"/>
        <v>#REF!</v>
      </c>
      <c r="K91" t="e">
        <f t="shared" si="12"/>
        <v>#N/A</v>
      </c>
    </row>
    <row r="92" spans="1:14" x14ac:dyDescent="0.2">
      <c r="A92" t="str">
        <f t="shared" si="13"/>
        <v/>
      </c>
      <c r="B92">
        <v>2030</v>
      </c>
      <c r="C92" t="s">
        <v>85</v>
      </c>
      <c r="D92" s="1">
        <v>1</v>
      </c>
      <c r="E92">
        <f>+'[11]השקעות - תוספת מים'!$D$18/3</f>
        <v>250</v>
      </c>
      <c r="F92" s="2"/>
      <c r="I92" s="1">
        <f>+E92*D92</f>
        <v>250</v>
      </c>
      <c r="J92" s="1" t="e">
        <f t="shared" si="11"/>
        <v>#REF!</v>
      </c>
      <c r="K92" t="e">
        <f t="shared" si="12"/>
        <v>#N/A</v>
      </c>
    </row>
    <row r="93" spans="1:14" x14ac:dyDescent="0.2">
      <c r="A93" t="str">
        <f t="shared" si="13"/>
        <v/>
      </c>
      <c r="B93">
        <v>2030</v>
      </c>
      <c r="C93" s="43" t="s">
        <v>88</v>
      </c>
      <c r="D93" s="1">
        <f>+D105</f>
        <v>0.3</v>
      </c>
      <c r="E93" s="15" t="e">
        <f>+E94</f>
        <v>#N/A</v>
      </c>
      <c r="F93" s="2"/>
      <c r="I93" s="1" t="e">
        <f>+E93*D93</f>
        <v>#N/A</v>
      </c>
      <c r="J93" s="1" t="e">
        <f t="shared" si="11"/>
        <v>#REF!</v>
      </c>
      <c r="K93" t="e">
        <f t="shared" si="12"/>
        <v>#N/A</v>
      </c>
    </row>
    <row r="94" spans="1:14" x14ac:dyDescent="0.2">
      <c r="A94">
        <f t="shared" si="13"/>
        <v>2030</v>
      </c>
      <c r="B94">
        <v>2030</v>
      </c>
      <c r="C94" t="s">
        <v>65</v>
      </c>
      <c r="D94" s="1">
        <f>+D88</f>
        <v>0.44</v>
      </c>
      <c r="E94" s="2" t="e">
        <f>+(HLOOKUP(B94,'כמויות על פני השנים'!$B:$I,34,0)-HLOOKUP(B94-10,'כמויות על פני השנים'!$B:$I,34,0))/1000</f>
        <v>#N/A</v>
      </c>
      <c r="I94" s="1" t="e">
        <f>+E94*D94</f>
        <v>#N/A</v>
      </c>
      <c r="J94" s="1" t="e">
        <f t="shared" si="11"/>
        <v>#REF!</v>
      </c>
      <c r="K94" t="e">
        <f t="shared" si="12"/>
        <v>#N/A</v>
      </c>
      <c r="M94" s="43" t="s">
        <v>87</v>
      </c>
    </row>
    <row r="95" spans="1:14" x14ac:dyDescent="0.2">
      <c r="A95" t="str">
        <f t="shared" si="13"/>
        <v/>
      </c>
      <c r="B95">
        <v>2040</v>
      </c>
      <c r="C95" t="str">
        <f>+'[11]השקעות לפי תחומים'!D$43</f>
        <v>מקורות</v>
      </c>
      <c r="F95" s="2" t="e">
        <f>+N95-M95</f>
        <v>#REF!</v>
      </c>
      <c r="G95">
        <v>40</v>
      </c>
      <c r="H95" s="10">
        <f>5%*0.65+6.5%*0.35</f>
        <v>5.525E-2</v>
      </c>
      <c r="I95" s="1" t="e">
        <f>+H95*F95+F95/G95</f>
        <v>#REF!</v>
      </c>
      <c r="J95" s="1" t="e">
        <f t="shared" si="11"/>
        <v>#REF!</v>
      </c>
      <c r="K95" t="e">
        <f t="shared" si="12"/>
        <v>#N/A</v>
      </c>
      <c r="M95" s="2" t="e">
        <f>+N89*0.7+M89*0.3</f>
        <v>#REF!</v>
      </c>
      <c r="N95" s="2" t="e">
        <f>+#REF!*'כמויות על פני השנים'!#REF!/('כמויות על פני השנים'!#REF!+'כמויות על פני השנים'!#REF!+'כמויות על פני השנים'!#REF!)</f>
        <v>#REF!</v>
      </c>
    </row>
    <row r="96" spans="1:14" x14ac:dyDescent="0.2">
      <c r="A96" t="str">
        <f t="shared" si="13"/>
        <v/>
      </c>
      <c r="B96">
        <v>2040</v>
      </c>
      <c r="C96" t="str">
        <f>+'[11]השקעות לפי תחומים'!$D$45</f>
        <v>יזמות פרטית</v>
      </c>
      <c r="F96" s="2" t="e">
        <f>+F90</f>
        <v>#REF!</v>
      </c>
      <c r="G96">
        <v>25</v>
      </c>
      <c r="H96" s="14">
        <v>7.0000000000000007E-2</v>
      </c>
      <c r="I96" s="1" t="e">
        <f>+H96*F96+F96/G96</f>
        <v>#REF!</v>
      </c>
      <c r="J96" s="1" t="e">
        <f t="shared" si="11"/>
        <v>#REF!</v>
      </c>
      <c r="K96" t="e">
        <f t="shared" si="12"/>
        <v>#N/A</v>
      </c>
    </row>
    <row r="97" spans="1:14" x14ac:dyDescent="0.2">
      <c r="A97" t="str">
        <f t="shared" si="13"/>
        <v/>
      </c>
      <c r="B97">
        <v>2040</v>
      </c>
      <c r="C97" t="str">
        <f>+'[11]השקעות לפי תחומים'!$D$46</f>
        <v>תקציב מדינה</v>
      </c>
      <c r="F97" s="2" t="e">
        <f>+F91</f>
        <v>#REF!</v>
      </c>
      <c r="G97">
        <v>40</v>
      </c>
      <c r="H97" s="10">
        <f>5%*0.65+6.5%*0.35</f>
        <v>5.525E-2</v>
      </c>
      <c r="I97" s="1" t="e">
        <f>+H97*F97+F97/G97</f>
        <v>#REF!</v>
      </c>
      <c r="J97" s="1" t="e">
        <f t="shared" si="11"/>
        <v>#REF!</v>
      </c>
      <c r="K97" t="e">
        <f t="shared" si="12"/>
        <v>#N/A</v>
      </c>
    </row>
    <row r="98" spans="1:14" x14ac:dyDescent="0.2">
      <c r="A98" t="str">
        <f t="shared" si="13"/>
        <v/>
      </c>
      <c r="B98">
        <v>2040</v>
      </c>
      <c r="C98" t="s">
        <v>85</v>
      </c>
      <c r="D98" s="1">
        <v>1</v>
      </c>
      <c r="E98">
        <f>+'[11]השקעות - תוספת מים'!$D$18/3</f>
        <v>250</v>
      </c>
      <c r="F98" s="2"/>
      <c r="I98" s="1">
        <f>+E98*D98</f>
        <v>250</v>
      </c>
      <c r="J98" s="1" t="e">
        <f t="shared" si="11"/>
        <v>#REF!</v>
      </c>
      <c r="K98" t="e">
        <f t="shared" si="12"/>
        <v>#N/A</v>
      </c>
    </row>
    <row r="99" spans="1:14" x14ac:dyDescent="0.2">
      <c r="A99" t="str">
        <f t="shared" si="13"/>
        <v/>
      </c>
      <c r="B99">
        <v>2040</v>
      </c>
      <c r="C99" s="43" t="s">
        <v>88</v>
      </c>
      <c r="D99" s="1">
        <f>+D105</f>
        <v>0.3</v>
      </c>
      <c r="E99" s="15" t="e">
        <f>+E100</f>
        <v>#N/A</v>
      </c>
      <c r="F99" s="2"/>
      <c r="I99" s="1" t="e">
        <f>+E99*D99</f>
        <v>#N/A</v>
      </c>
      <c r="J99" s="1" t="e">
        <f t="shared" si="11"/>
        <v>#REF!</v>
      </c>
      <c r="K99" t="e">
        <f t="shared" si="12"/>
        <v>#N/A</v>
      </c>
    </row>
    <row r="100" spans="1:14" x14ac:dyDescent="0.2">
      <c r="A100">
        <f t="shared" si="13"/>
        <v>2040</v>
      </c>
      <c r="B100">
        <v>2040</v>
      </c>
      <c r="C100" t="s">
        <v>65</v>
      </c>
      <c r="D100" s="1">
        <f>+D88</f>
        <v>0.44</v>
      </c>
      <c r="E100" s="2" t="e">
        <f>+(HLOOKUP(B100,'כמויות על פני השנים'!$B:$I,34,0)-HLOOKUP(B100-10,'כמויות על פני השנים'!$B:$I,34,0))/1000</f>
        <v>#N/A</v>
      </c>
      <c r="I100" s="1" t="e">
        <f>+E100*D100</f>
        <v>#N/A</v>
      </c>
      <c r="J100" s="1" t="e">
        <f t="shared" si="11"/>
        <v>#REF!</v>
      </c>
      <c r="K100" t="e">
        <f t="shared" si="12"/>
        <v>#N/A</v>
      </c>
      <c r="M100" s="43" t="s">
        <v>87</v>
      </c>
    </row>
    <row r="101" spans="1:14" x14ac:dyDescent="0.2">
      <c r="A101" t="str">
        <f t="shared" si="13"/>
        <v/>
      </c>
      <c r="B101">
        <v>2050</v>
      </c>
      <c r="C101" t="str">
        <f>+'[11]השקעות לפי תחומים'!D$43</f>
        <v>מקורות</v>
      </c>
      <c r="F101" s="2" t="e">
        <f>+N101-M101</f>
        <v>#REF!</v>
      </c>
      <c r="G101">
        <v>40</v>
      </c>
      <c r="H101" s="10">
        <f>5%*0.65+6.5%*0.35</f>
        <v>5.525E-2</v>
      </c>
      <c r="I101" s="1" t="e">
        <f>+H101*F101+F101/G101</f>
        <v>#REF!</v>
      </c>
      <c r="J101" s="1" t="e">
        <f t="shared" si="11"/>
        <v>#REF!</v>
      </c>
      <c r="K101" t="e">
        <f t="shared" si="12"/>
        <v>#N/A</v>
      </c>
      <c r="M101" s="2" t="e">
        <f>+N95*0.7+M95*0.3</f>
        <v>#REF!</v>
      </c>
      <c r="N101" s="2" t="e">
        <f>+#REF!*'כמויות על פני השנים'!#REF!/('כמויות על פני השנים'!#REF!+'כמויות על פני השנים'!#REF!+'כמויות על פני השנים'!#REF!)</f>
        <v>#REF!</v>
      </c>
    </row>
    <row r="102" spans="1:14" x14ac:dyDescent="0.2">
      <c r="A102" t="str">
        <f t="shared" si="13"/>
        <v/>
      </c>
      <c r="B102">
        <v>2050</v>
      </c>
      <c r="C102" t="str">
        <f>+'[11]השקעות לפי תחומים'!$D$45</f>
        <v>יזמות פרטית</v>
      </c>
      <c r="F102" s="2" t="e">
        <f>+F96</f>
        <v>#REF!</v>
      </c>
      <c r="G102">
        <v>25</v>
      </c>
      <c r="H102" s="14">
        <v>7.0000000000000007E-2</v>
      </c>
      <c r="I102" s="1" t="e">
        <f>+H102*F102+F102/G102</f>
        <v>#REF!</v>
      </c>
      <c r="J102" s="1" t="e">
        <f t="shared" si="11"/>
        <v>#REF!</v>
      </c>
      <c r="K102" t="e">
        <f t="shared" si="12"/>
        <v>#N/A</v>
      </c>
    </row>
    <row r="103" spans="1:14" x14ac:dyDescent="0.2">
      <c r="A103" t="str">
        <f t="shared" si="13"/>
        <v/>
      </c>
      <c r="B103">
        <v>2050</v>
      </c>
      <c r="C103" t="str">
        <f>+'[11]השקעות לפי תחומים'!$D$46</f>
        <v>תקציב מדינה</v>
      </c>
      <c r="F103" s="2" t="e">
        <f>+F97</f>
        <v>#REF!</v>
      </c>
      <c r="G103">
        <v>40</v>
      </c>
      <c r="H103" s="10">
        <f>5%*0.65+6.5%*0.35</f>
        <v>5.525E-2</v>
      </c>
      <c r="I103" s="1" t="e">
        <f>+H103*F103+F103/G103</f>
        <v>#REF!</v>
      </c>
      <c r="J103" s="1" t="e">
        <f t="shared" si="11"/>
        <v>#REF!</v>
      </c>
      <c r="K103" t="e">
        <f t="shared" si="12"/>
        <v>#N/A</v>
      </c>
    </row>
    <row r="104" spans="1:14" x14ac:dyDescent="0.2">
      <c r="A104" t="str">
        <f t="shared" si="13"/>
        <v/>
      </c>
      <c r="B104">
        <v>2050</v>
      </c>
      <c r="C104" t="s">
        <v>85</v>
      </c>
      <c r="D104" s="1">
        <v>1</v>
      </c>
      <c r="E104">
        <f>+'[11]השקעות - תוספת מים'!$D$18/3</f>
        <v>250</v>
      </c>
      <c r="F104" s="2"/>
      <c r="I104" s="1">
        <f>+E104*D104</f>
        <v>250</v>
      </c>
      <c r="J104" s="1" t="e">
        <f t="shared" si="11"/>
        <v>#REF!</v>
      </c>
      <c r="K104" t="e">
        <f t="shared" si="12"/>
        <v>#N/A</v>
      </c>
    </row>
    <row r="105" spans="1:14" x14ac:dyDescent="0.2">
      <c r="A105" t="str">
        <f t="shared" si="13"/>
        <v/>
      </c>
      <c r="B105">
        <v>2050</v>
      </c>
      <c r="C105" s="43" t="s">
        <v>88</v>
      </c>
      <c r="D105" s="1">
        <v>0.3</v>
      </c>
      <c r="E105" s="15" t="e">
        <f>+E106</f>
        <v>#N/A</v>
      </c>
      <c r="F105" s="2"/>
      <c r="I105" s="1" t="e">
        <f>+E105*D105</f>
        <v>#N/A</v>
      </c>
      <c r="J105" s="1" t="e">
        <f t="shared" si="11"/>
        <v>#REF!</v>
      </c>
      <c r="K105" t="e">
        <f t="shared" si="12"/>
        <v>#N/A</v>
      </c>
    </row>
    <row r="106" spans="1:14" x14ac:dyDescent="0.2">
      <c r="A106">
        <f t="shared" si="13"/>
        <v>2050</v>
      </c>
      <c r="B106">
        <v>2050</v>
      </c>
      <c r="C106" t="s">
        <v>65</v>
      </c>
      <c r="D106" s="1">
        <f>+D94</f>
        <v>0.44</v>
      </c>
      <c r="E106" s="2" t="e">
        <f>+(HLOOKUP(B106,'כמויות על פני השנים'!$B:$I,34,0)-HLOOKUP(B106-10,'כמויות על פני השנים'!$B:$I,34,0))/1000</f>
        <v>#N/A</v>
      </c>
      <c r="I106" s="1" t="e">
        <f>+E106*D106</f>
        <v>#N/A</v>
      </c>
      <c r="J106" s="1" t="e">
        <f t="shared" si="11"/>
        <v>#REF!</v>
      </c>
      <c r="K106" t="e">
        <f t="shared" si="12"/>
        <v>#N/A</v>
      </c>
    </row>
    <row r="107" spans="1:14" x14ac:dyDescent="0.2">
      <c r="A107" t="str">
        <f>IF(B107=B108,"",B107)</f>
        <v/>
      </c>
    </row>
  </sheetData>
  <phoneticPr fontId="2" type="noConversion"/>
  <pageMargins left="0.75" right="0.75" top="1" bottom="1" header="0.5" footer="0.5"/>
  <pageSetup paperSize="9" scale="55" orientation="portrait" r:id="rId1"/>
  <headerFooter alignWithMargins="0">
    <oddFooter>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62"/>
  <sheetViews>
    <sheetView rightToLeft="1" tabSelected="1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K18" sqref="K18"/>
    </sheetView>
  </sheetViews>
  <sheetFormatPr defaultRowHeight="12.75" x14ac:dyDescent="0.2"/>
  <cols>
    <col min="1" max="1" width="27.7109375" bestFit="1" customWidth="1"/>
    <col min="2" max="2" width="11.28515625" customWidth="1"/>
    <col min="3" max="3" width="12.85546875" customWidth="1"/>
    <col min="4" max="4" width="2" bestFit="1" customWidth="1"/>
    <col min="6" max="6" width="10.28515625" bestFit="1" customWidth="1"/>
    <col min="7" max="7" width="12.85546875" bestFit="1" customWidth="1"/>
    <col min="8" max="8" width="3" bestFit="1" customWidth="1"/>
  </cols>
  <sheetData>
    <row r="1" spans="1:12" x14ac:dyDescent="0.2">
      <c r="A1" t="s">
        <v>29</v>
      </c>
      <c r="B1" s="9"/>
      <c r="C1" s="17"/>
      <c r="E1">
        <f>+G1</f>
        <v>2013</v>
      </c>
      <c r="G1" s="17">
        <v>2013</v>
      </c>
    </row>
    <row r="2" spans="1:12" x14ac:dyDescent="0.2">
      <c r="G2">
        <f>VLOOKUP(G1,'תוספת עלויות במהלך השנים'!$1:$141,2,0)</f>
        <v>2013</v>
      </c>
    </row>
    <row r="3" spans="1:12" x14ac:dyDescent="0.2">
      <c r="A3" t="s">
        <v>46</v>
      </c>
      <c r="B3" s="19">
        <v>2012</v>
      </c>
      <c r="C3" s="50"/>
      <c r="F3" s="19" t="s">
        <v>51</v>
      </c>
      <c r="G3" s="2">
        <f>+'עלויות מוכרות לשנת 2013'!P40</f>
        <v>3942290.3419238091</v>
      </c>
    </row>
    <row r="5" spans="1:12" x14ac:dyDescent="0.2">
      <c r="A5" t="s">
        <v>47</v>
      </c>
      <c r="B5" s="24"/>
      <c r="C5" s="21"/>
      <c r="E5" s="15"/>
      <c r="F5" s="15"/>
      <c r="G5" s="15"/>
    </row>
    <row r="6" spans="1:12" x14ac:dyDescent="0.2">
      <c r="B6" t="s">
        <v>0</v>
      </c>
      <c r="E6" t="s">
        <v>48</v>
      </c>
      <c r="F6" t="s">
        <v>0</v>
      </c>
    </row>
    <row r="7" spans="1:12" x14ac:dyDescent="0.2">
      <c r="A7" s="5" t="s">
        <v>3</v>
      </c>
      <c r="B7" s="2">
        <v>121483.30469726294</v>
      </c>
      <c r="C7" s="2"/>
      <c r="E7" s="149">
        <f>+F43</f>
        <v>5.9399016414623107</v>
      </c>
      <c r="F7" s="2">
        <f>VLOOKUP($A7,'כמויות על פני השנים'!$2:$40,+G$2-2006,0)-F16-F14-F15-F8-F9-F10</f>
        <v>189645.04497909881</v>
      </c>
      <c r="G7" s="2">
        <f t="shared" ref="G7:G16" si="0">+F7*E7</f>
        <v>1126472.9139665428</v>
      </c>
    </row>
    <row r="8" spans="1:12" x14ac:dyDescent="0.2">
      <c r="A8" s="6" t="s">
        <v>99</v>
      </c>
      <c r="B8" s="2">
        <v>80000</v>
      </c>
      <c r="C8" s="2"/>
      <c r="E8" s="167">
        <f>+E7+'הנחות בסיס'!C17</f>
        <v>6.9599016414623112</v>
      </c>
      <c r="F8" s="2">
        <v>53000</v>
      </c>
      <c r="G8" s="2">
        <f t="shared" si="0"/>
        <v>368874.7869975025</v>
      </c>
    </row>
    <row r="9" spans="1:12" x14ac:dyDescent="0.2">
      <c r="A9" s="6" t="s">
        <v>100</v>
      </c>
      <c r="B9" s="2">
        <v>80000</v>
      </c>
      <c r="C9" s="2"/>
      <c r="E9" s="149">
        <f>+E16+'הנחות בסיס'!C17</f>
        <v>2.3959016414623107</v>
      </c>
      <c r="F9" s="2">
        <v>65000</v>
      </c>
      <c r="G9" s="2">
        <f t="shared" si="0"/>
        <v>155733.6066950502</v>
      </c>
    </row>
    <row r="10" spans="1:12" x14ac:dyDescent="0.2">
      <c r="A10" s="6" t="s">
        <v>98</v>
      </c>
      <c r="B10" s="2">
        <v>33897.699999999932</v>
      </c>
      <c r="C10" s="2"/>
      <c r="E10" s="31">
        <f>+'[12]תעריף השלמה לרשויות מקומיות'!$I$5/1.16</f>
        <v>8.9343875219659026</v>
      </c>
      <c r="F10" s="2">
        <f>+B10</f>
        <v>33897.699999999932</v>
      </c>
      <c r="G10" s="2">
        <f t="shared" si="0"/>
        <v>302855.18790334294</v>
      </c>
    </row>
    <row r="11" spans="1:12" x14ac:dyDescent="0.2">
      <c r="A11" s="6" t="s">
        <v>62</v>
      </c>
      <c r="B11" s="2">
        <v>40000</v>
      </c>
      <c r="C11" s="2"/>
      <c r="E11" s="149">
        <f>7.066*1.02</f>
        <v>7.2073200000000002</v>
      </c>
      <c r="F11" s="2">
        <f>+B11</f>
        <v>40000</v>
      </c>
      <c r="G11" s="2">
        <f t="shared" si="0"/>
        <v>288292.8</v>
      </c>
    </row>
    <row r="12" spans="1:12" x14ac:dyDescent="0.2">
      <c r="A12" s="6" t="s">
        <v>4</v>
      </c>
      <c r="B12" s="2">
        <v>32300</v>
      </c>
      <c r="C12" s="2"/>
      <c r="E12" s="149">
        <f>+(E11-VLOOKUP(G2,'[13]נתוני תאגידים'!$B$245:$CA$250,70,0))*VLOOKUP(G2,'[13]נתוני תאגידים'!$B$252:$CA$257,70,0)-(1-VLOOKUP(G2,'[13]נתוני תאגידים'!$B$261:$CA$267,70,0))*'הנחות בסיס'!$C$15</f>
        <v>4.2250154624360734</v>
      </c>
      <c r="F12" s="2">
        <f>VLOOKUP($A12,'כמויות על פני השנים'!$2:$40,+G$2-2006,0)-F11</f>
        <v>32300</v>
      </c>
      <c r="G12" s="2">
        <f>+F12*E12</f>
        <v>136467.99943668518</v>
      </c>
    </row>
    <row r="13" spans="1:12" x14ac:dyDescent="0.2">
      <c r="A13" s="6" t="s">
        <v>5</v>
      </c>
      <c r="B13" s="2">
        <v>1917.809</v>
      </c>
      <c r="C13" s="2"/>
      <c r="E13" s="31">
        <f>+E12</f>
        <v>4.2250154624360734</v>
      </c>
      <c r="F13" s="2">
        <f>VLOOKUP($A13,'כמויות על פני השנים'!$2:$40,+G$2-2006,0)</f>
        <v>1917.809</v>
      </c>
      <c r="G13" s="2">
        <f t="shared" si="0"/>
        <v>8102.7726789990629</v>
      </c>
    </row>
    <row r="14" spans="1:12" x14ac:dyDescent="0.2">
      <c r="A14" s="6" t="s">
        <v>59</v>
      </c>
      <c r="B14" s="2">
        <v>13679.177302737</v>
      </c>
      <c r="C14" s="2"/>
      <c r="E14" s="31">
        <f>+E13</f>
        <v>4.2250154624360734</v>
      </c>
      <c r="F14" s="2">
        <f>VLOOKUP($A14,'כמויות על פני השנים'!$2:$40,+G$2-2006,0)</f>
        <v>14499.92794090122</v>
      </c>
      <c r="G14" s="2">
        <f t="shared" si="0"/>
        <v>61262.419754516508</v>
      </c>
    </row>
    <row r="15" spans="1:12" x14ac:dyDescent="0.2">
      <c r="A15" s="6" t="s">
        <v>94</v>
      </c>
      <c r="B15" s="2">
        <v>41000</v>
      </c>
      <c r="C15" s="2"/>
      <c r="E15" s="27">
        <f>+(E7*F7+E16*F16)/(F16+F7)</f>
        <v>3.6557709327091348</v>
      </c>
      <c r="F15" s="2">
        <v>43000</v>
      </c>
      <c r="G15" s="2">
        <f t="shared" si="0"/>
        <v>157198.1501064928</v>
      </c>
      <c r="I15" s="3"/>
      <c r="J15" s="3"/>
      <c r="K15" s="3"/>
      <c r="L15" s="3"/>
    </row>
    <row r="16" spans="1:12" s="34" customFormat="1" x14ac:dyDescent="0.2">
      <c r="A16" s="6" t="s">
        <v>56</v>
      </c>
      <c r="B16" s="32">
        <v>185640</v>
      </c>
      <c r="C16" s="32"/>
      <c r="E16" s="149">
        <f>+E7-'הנחות בסיס'!$C$15</f>
        <v>1.3759016414623106</v>
      </c>
      <c r="F16" s="32">
        <f>+B16*'שינוי בצריכה לשנה'!$B$3+B16+B9-F9-13982</f>
        <v>189999.52000000002</v>
      </c>
      <c r="G16" s="32">
        <f t="shared" si="0"/>
        <v>261420.65144505113</v>
      </c>
      <c r="I16" s="3"/>
      <c r="J16" s="3"/>
      <c r="K16" s="3"/>
      <c r="L16" s="3"/>
    </row>
    <row r="17" spans="1:12" x14ac:dyDescent="0.2">
      <c r="A17" s="6" t="s">
        <v>7</v>
      </c>
      <c r="B17" s="2">
        <v>0</v>
      </c>
      <c r="C17" s="2"/>
      <c r="E17" s="1">
        <f>VLOOKUP($A17,'מחירים על פני השנים'!$1:$30,G$2-2006,0)</f>
        <v>0.1</v>
      </c>
      <c r="F17" s="2">
        <f>VLOOKUP($A17,'כמויות על פני השנים'!$2:$40,+G$2-2006,0)</f>
        <v>0</v>
      </c>
      <c r="G17" s="2">
        <f t="shared" ref="G17:G40" si="1">+F17*E17</f>
        <v>0</v>
      </c>
      <c r="I17" s="3"/>
      <c r="J17" s="3"/>
      <c r="K17" s="3"/>
      <c r="L17" s="3"/>
    </row>
    <row r="18" spans="1:12" x14ac:dyDescent="0.2">
      <c r="A18" s="5" t="s">
        <v>8</v>
      </c>
      <c r="B18" s="2">
        <v>196859.55399999997</v>
      </c>
      <c r="C18" s="2"/>
      <c r="E18" s="1">
        <f>VLOOKUP($A18,'מחירים על פני השנים'!$1:$30,G$2-2006,0)</f>
        <v>1.9762049999999998</v>
      </c>
      <c r="F18" s="2">
        <f>VLOOKUP($A18,'כמויות על פני השנים'!$2:$40,+G$2-2006,0)</f>
        <v>196859.55399999997</v>
      </c>
      <c r="G18" s="2">
        <f t="shared" si="1"/>
        <v>389034.8349125699</v>
      </c>
      <c r="I18" s="3"/>
      <c r="J18" s="3"/>
      <c r="K18" s="3"/>
      <c r="L18" s="3"/>
    </row>
    <row r="19" spans="1:12" x14ac:dyDescent="0.2">
      <c r="A19" s="5" t="s">
        <v>9</v>
      </c>
      <c r="B19" s="2">
        <v>53067.508999999991</v>
      </c>
      <c r="C19" s="2"/>
      <c r="E19" s="1">
        <f>VLOOKUP($A19,'מחירים על פני השנים'!$1:$30,G$2-2006,0)</f>
        <v>2.2401049999999998</v>
      </c>
      <c r="F19" s="2">
        <f>VLOOKUP($A19,'כמויות על פני השנים'!$2:$40,+G$2-2006,0)</f>
        <v>53067.508999999991</v>
      </c>
      <c r="G19" s="2">
        <f t="shared" si="1"/>
        <v>118876.79224844497</v>
      </c>
      <c r="I19" s="3"/>
      <c r="J19" s="3"/>
      <c r="K19" s="3"/>
      <c r="L19" s="3"/>
    </row>
    <row r="20" spans="1:12" x14ac:dyDescent="0.2">
      <c r="A20" s="7" t="s">
        <v>10</v>
      </c>
      <c r="B20" s="2">
        <v>18203.699999999997</v>
      </c>
      <c r="C20" s="2"/>
      <c r="E20" s="1">
        <f>VLOOKUP($A20,'מחירים על פני השנים'!$1:$30,G$2-2006,0)</f>
        <v>2.77095</v>
      </c>
      <c r="F20" s="2">
        <f>VLOOKUP($A20,'כמויות על פני השנים'!$2:$40,+G$2-2006,0)</f>
        <v>18203.699999999997</v>
      </c>
      <c r="G20" s="2">
        <f t="shared" si="1"/>
        <v>50441.542514999994</v>
      </c>
      <c r="I20" s="3"/>
      <c r="J20" s="3"/>
      <c r="K20" s="3"/>
      <c r="L20" s="3"/>
    </row>
    <row r="21" spans="1:12" x14ac:dyDescent="0.2">
      <c r="A21" s="7" t="s">
        <v>11</v>
      </c>
      <c r="B21" s="2">
        <v>0</v>
      </c>
      <c r="C21" s="2"/>
      <c r="E21" s="1">
        <f>VLOOKUP($A21,'מחירים על פני השנים'!$1:$30,G$2-2006,0)</f>
        <v>2.77095</v>
      </c>
      <c r="F21" s="2">
        <f>VLOOKUP($A21,'כמויות על פני השנים'!$2:$40,+G$2-2006,0)</f>
        <v>0</v>
      </c>
      <c r="G21" s="2">
        <f t="shared" si="1"/>
        <v>0</v>
      </c>
      <c r="I21" s="3"/>
      <c r="J21" s="3"/>
      <c r="K21" s="3"/>
      <c r="L21" s="3"/>
    </row>
    <row r="22" spans="1:12" x14ac:dyDescent="0.2">
      <c r="A22" s="7" t="s">
        <v>12</v>
      </c>
      <c r="B22" s="2">
        <v>0.85799999999999998</v>
      </c>
      <c r="C22" s="2"/>
      <c r="E22" s="1">
        <f>VLOOKUP($A22,'מחירים על פני השנים'!$1:$30,G$2-2006,0)</f>
        <v>1.9762049999999998</v>
      </c>
      <c r="F22" s="2">
        <f>VLOOKUP($A22,'כמויות על פני השנים'!$2:$40,+G$2-2006,0)</f>
        <v>0.85799999999999998</v>
      </c>
      <c r="G22" s="2">
        <f t="shared" si="1"/>
        <v>1.6955838899999998</v>
      </c>
    </row>
    <row r="23" spans="1:12" x14ac:dyDescent="0.2">
      <c r="A23" s="7" t="s">
        <v>13</v>
      </c>
      <c r="B23" s="2">
        <v>3137.27</v>
      </c>
      <c r="C23" s="2"/>
      <c r="E23" s="1">
        <f>VLOOKUP($A23,'מחירים על פני השנים'!$1:$30,G$2-2006,0)</f>
        <v>1.9762049999999998</v>
      </c>
      <c r="F23" s="2">
        <f>VLOOKUP($A23,'כמויות על פני השנים'!$2:$40,+G$2-2006,0)</f>
        <v>3137.27</v>
      </c>
      <c r="G23" s="2">
        <f t="shared" si="1"/>
        <v>6199.8886603499996</v>
      </c>
    </row>
    <row r="24" spans="1:12" x14ac:dyDescent="0.2">
      <c r="A24" s="7" t="s">
        <v>14</v>
      </c>
      <c r="B24" s="2">
        <v>247.739</v>
      </c>
      <c r="C24" s="2"/>
      <c r="E24" s="1">
        <f>VLOOKUP($A24,'מחירים על פני השנים'!$1:$30,G$2-2006,0)</f>
        <v>1.9762049999999998</v>
      </c>
      <c r="F24" s="2">
        <f>VLOOKUP($A24,'כמויות על פני השנים'!$2:$40,+G$2-2006,0)</f>
        <v>247.739</v>
      </c>
      <c r="G24" s="2">
        <f t="shared" si="1"/>
        <v>489.58305049499995</v>
      </c>
    </row>
    <row r="25" spans="1:12" x14ac:dyDescent="0.2">
      <c r="A25" s="7" t="s">
        <v>15</v>
      </c>
      <c r="B25" s="2">
        <v>309.262</v>
      </c>
      <c r="C25" s="2"/>
      <c r="E25" s="1">
        <f>VLOOKUP($A25,'מחירים על פני השנים'!$1:$30,G$2-2006,0)</f>
        <v>1.9762049999999998</v>
      </c>
      <c r="F25" s="2">
        <f>VLOOKUP($A25,'כמויות על פני השנים'!$2:$40,+G$2-2006,0)</f>
        <v>309.262</v>
      </c>
      <c r="G25" s="2">
        <f t="shared" si="1"/>
        <v>611.16511070999991</v>
      </c>
    </row>
    <row r="26" spans="1:12" ht="17.25" customHeight="1" x14ac:dyDescent="0.2">
      <c r="A26" s="7" t="s">
        <v>16</v>
      </c>
      <c r="B26" s="2">
        <v>18.5</v>
      </c>
      <c r="C26" s="2"/>
      <c r="E26" s="1">
        <f>VLOOKUP($A26,'מחירים על פני השנים'!$1:$30,G$2-2006,0)</f>
        <v>1.9762049999999998</v>
      </c>
      <c r="F26" s="2">
        <f>VLOOKUP($A26,'כמויות על פני השנים'!$2:$40,+G$2-2006,0)</f>
        <v>18.5</v>
      </c>
      <c r="G26" s="2">
        <f t="shared" si="1"/>
        <v>36.559792499999993</v>
      </c>
    </row>
    <row r="27" spans="1:12" x14ac:dyDescent="0.2">
      <c r="A27" s="7" t="s">
        <v>7</v>
      </c>
      <c r="B27" s="2">
        <v>0</v>
      </c>
      <c r="C27" s="2"/>
      <c r="E27" s="1">
        <f>VLOOKUP($A27,'מחירים על פני השנים'!$1:$30,G$2-2006,0)</f>
        <v>0.1</v>
      </c>
      <c r="F27" s="2">
        <f>VLOOKUP($A27,'כמויות על פני השנים'!$2:$40,+G$2-2006,0)</f>
        <v>0</v>
      </c>
      <c r="G27" s="2">
        <f t="shared" si="1"/>
        <v>0</v>
      </c>
    </row>
    <row r="28" spans="1:12" x14ac:dyDescent="0.2">
      <c r="A28" s="28" t="s">
        <v>68</v>
      </c>
      <c r="B28" s="2">
        <v>62467.065999999999</v>
      </c>
      <c r="C28" s="2"/>
      <c r="E28" s="1">
        <f>VLOOKUP($A28,'מחירים על פני השנים'!$1:$30,G$2-2006,0)</f>
        <v>0.1</v>
      </c>
      <c r="F28" s="2">
        <f>VLOOKUP($A28,'כמויות על פני השנים'!$2:$40,+G$2-2006,0)</f>
        <v>62467.065999999999</v>
      </c>
      <c r="G28" s="2">
        <f t="shared" si="1"/>
        <v>6246.7066000000004</v>
      </c>
    </row>
    <row r="29" spans="1:12" x14ac:dyDescent="0.2">
      <c r="A29" s="7" t="s">
        <v>17</v>
      </c>
      <c r="B29" s="2">
        <v>6443.4580499999993</v>
      </c>
      <c r="C29" s="2"/>
      <c r="E29" s="1">
        <f>VLOOKUP($A29,'מחירים על פני השנים'!$1:$30,G$2-2006,0)</f>
        <v>0.998</v>
      </c>
      <c r="F29" s="2">
        <f>VLOOKUP($A29,'כמויות על פני השנים'!$2:$40,+G$2-2006,0)</f>
        <v>6443.4580499999993</v>
      </c>
      <c r="G29" s="2">
        <f t="shared" si="1"/>
        <v>6430.571133899999</v>
      </c>
    </row>
    <row r="30" spans="1:12" x14ac:dyDescent="0.2">
      <c r="A30" s="7" t="s">
        <v>18</v>
      </c>
      <c r="B30" s="2">
        <v>0</v>
      </c>
      <c r="C30" s="2"/>
      <c r="E30" s="1">
        <f>VLOOKUP($A30,'מחירים על פני השנים'!$1:$30,G$2-2006,0)</f>
        <v>0.91799999999999993</v>
      </c>
      <c r="F30" s="2">
        <f>VLOOKUP($A30,'כמויות על פני השנים'!$2:$40,+G$2-2006,0)</f>
        <v>0</v>
      </c>
      <c r="G30" s="2">
        <f t="shared" si="1"/>
        <v>0</v>
      </c>
    </row>
    <row r="31" spans="1:12" x14ac:dyDescent="0.2">
      <c r="A31" s="28" t="s">
        <v>69</v>
      </c>
      <c r="B31" s="2">
        <v>20061.578649999999</v>
      </c>
      <c r="C31" s="2"/>
      <c r="E31" s="1">
        <f>VLOOKUP($A31,'מחירים על פני השנים'!$1:$30,G$2-2006,0)</f>
        <v>1.9762049999999998</v>
      </c>
      <c r="F31" s="2">
        <f>VLOOKUP($A31,'כמויות על פני השנים'!$2:$40,+G$2-2006,0)</f>
        <v>20061.578649999999</v>
      </c>
      <c r="G31" s="2">
        <f t="shared" si="1"/>
        <v>39645.792036023246</v>
      </c>
    </row>
    <row r="32" spans="1:12" x14ac:dyDescent="0.2">
      <c r="A32" s="5" t="s">
        <v>19</v>
      </c>
      <c r="B32" s="2">
        <v>131879.8236987</v>
      </c>
      <c r="C32" s="2"/>
      <c r="E32" s="1">
        <f>VLOOKUP($A32,'מחירים על פני השנים'!$1:$30,G$2-2006,0)</f>
        <v>1.0383449999999999</v>
      </c>
      <c r="F32" s="2">
        <f>VLOOKUP($A32,'כמויות על פני השנים'!$2:$40,+G$2-2006,0)</f>
        <v>137155.016646648</v>
      </c>
      <c r="G32" s="2">
        <f t="shared" si="1"/>
        <v>142414.22575996371</v>
      </c>
    </row>
    <row r="33" spans="1:7" x14ac:dyDescent="0.2">
      <c r="A33" s="5" t="s">
        <v>20</v>
      </c>
      <c r="B33" s="2">
        <v>8009.9870000000001</v>
      </c>
      <c r="C33" s="2"/>
      <c r="E33" s="1">
        <f>VLOOKUP($A33,'מחירים על פני השנים'!$1:$30,G$2-2006,0)</f>
        <v>1.6250199999999999</v>
      </c>
      <c r="F33" s="2">
        <f>VLOOKUP($A33,'כמויות על פני השנים'!$2:$40,+G$2-2006,0)</f>
        <v>0</v>
      </c>
      <c r="G33" s="2">
        <f t="shared" si="1"/>
        <v>0</v>
      </c>
    </row>
    <row r="34" spans="1:7" x14ac:dyDescent="0.2">
      <c r="A34" s="5" t="s">
        <v>21</v>
      </c>
      <c r="B34" s="2">
        <v>64861.126382208007</v>
      </c>
      <c r="C34" s="2"/>
      <c r="E34" s="1">
        <f>VLOOKUP($A34,'מחירים על פני השנים'!$1:$30,G$2-2006,0)</f>
        <v>0.89015499999999992</v>
      </c>
      <c r="F34" s="2">
        <f>VLOOKUP($A34,'כמויות על פני השנים'!$2:$40,+G$2-2006,0)</f>
        <v>66158.348909852168</v>
      </c>
      <c r="G34" s="2">
        <f t="shared" si="1"/>
        <v>58891.185073849454</v>
      </c>
    </row>
    <row r="35" spans="1:7" ht="13.5" thickBot="1" x14ac:dyDescent="0.25">
      <c r="A35" s="29" t="s">
        <v>70</v>
      </c>
      <c r="B35" s="2">
        <v>65476.152973208998</v>
      </c>
      <c r="C35" s="2"/>
      <c r="E35" s="1">
        <f>VLOOKUP($A35,'מחירים על פני השנים'!$1:$30,G$2-2006,0)</f>
        <v>0.97711513836049324</v>
      </c>
      <c r="F35" s="2">
        <f>VLOOKUP($A35,'כמויות על פני השנים'!$2:$40,+G$2-2006,0)</f>
        <v>66130.914502941087</v>
      </c>
      <c r="G35" s="2">
        <f t="shared" si="1"/>
        <v>64617.517674447226</v>
      </c>
    </row>
    <row r="36" spans="1:7" ht="13.5" thickBot="1" x14ac:dyDescent="0.25">
      <c r="A36" s="30" t="s">
        <v>71</v>
      </c>
      <c r="B36" s="2">
        <v>13997.490182208003</v>
      </c>
      <c r="C36" s="2"/>
      <c r="E36" s="1">
        <f>VLOOKUP($A36,'מחירים על פני השנים'!$1:$30,G$2-2006,0)</f>
        <v>1</v>
      </c>
      <c r="F36" s="2">
        <f>VLOOKUP($A36,'כמויות על פני השנים'!$2:$40,+G$2-2006,0)</f>
        <v>15117.289396784645</v>
      </c>
      <c r="G36" s="2">
        <f t="shared" si="1"/>
        <v>15117.289396784645</v>
      </c>
    </row>
    <row r="37" spans="1:7" x14ac:dyDescent="0.2">
      <c r="A37" s="5" t="s">
        <v>23</v>
      </c>
      <c r="B37" s="2">
        <v>40000</v>
      </c>
      <c r="C37" s="2"/>
      <c r="E37" s="1">
        <f>VLOOKUP($A37,'מחירים על פני השנים'!$1:$30,G$2-2006,0)</f>
        <v>0.16</v>
      </c>
      <c r="F37" s="2">
        <f>VLOOKUP($A37,'כמויות על פני השנים'!$2:$40,+G$2-2006,0)</f>
        <v>45000</v>
      </c>
      <c r="G37" s="2">
        <f t="shared" si="1"/>
        <v>7200</v>
      </c>
    </row>
    <row r="38" spans="1:7" x14ac:dyDescent="0.2">
      <c r="A38" s="5" t="s">
        <v>97</v>
      </c>
      <c r="B38" s="2">
        <v>10000</v>
      </c>
      <c r="C38" s="2"/>
      <c r="E38" s="27">
        <f>VLOOKUP($A38,'מחירים על פני השנים'!$1:$30,G$2-2006,0)</f>
        <v>1.6</v>
      </c>
      <c r="F38" s="2">
        <f>VLOOKUP($A38,'כמויות על פני השנים'!$2:$40,+G$2-2006,0)</f>
        <v>10000</v>
      </c>
      <c r="G38" s="2">
        <f t="shared" si="1"/>
        <v>16000</v>
      </c>
    </row>
    <row r="39" spans="1:7" x14ac:dyDescent="0.2">
      <c r="A39" s="5" t="s">
        <v>24</v>
      </c>
      <c r="B39" s="2">
        <v>58827.941499300003</v>
      </c>
      <c r="C39" s="2"/>
      <c r="E39" s="1">
        <f>VLOOKUP($A39,'מחירים על פני השנים'!$1:$30,G$2-2006,0)</f>
        <v>2.5</v>
      </c>
      <c r="F39" s="2">
        <f>VLOOKUP($A39,'כמויות על פני השנים'!$2:$40,+G$2-2006,0)</f>
        <v>60592.779744279003</v>
      </c>
      <c r="G39" s="2">
        <f t="shared" si="1"/>
        <v>151481.9493606975</v>
      </c>
    </row>
    <row r="40" spans="1:7" s="34" customFormat="1" x14ac:dyDescent="0.2">
      <c r="A40" s="5" t="s">
        <v>25</v>
      </c>
      <c r="B40" s="32">
        <v>18717.540299999997</v>
      </c>
      <c r="C40" s="32"/>
      <c r="E40" s="31">
        <f>VLOOKUP($A40,'מחירים על פני השנים'!$1:$30,G$2-2006,0)</f>
        <v>0.1</v>
      </c>
      <c r="F40" s="32">
        <f>VLOOKUP($A40,'כמויות על פני השנים'!$2:$40,+G$2-2006,0)</f>
        <v>18717.540299999997</v>
      </c>
      <c r="G40" s="32">
        <f t="shared" si="1"/>
        <v>1871.7540299999998</v>
      </c>
    </row>
    <row r="41" spans="1:7" x14ac:dyDescent="0.2">
      <c r="B41" s="2"/>
      <c r="C41" s="2"/>
      <c r="F41" s="2">
        <f>+F7+F16+F15+F8+F9</f>
        <v>540644.56497909885</v>
      </c>
      <c r="G41" s="2">
        <f>SUM(G17:G40)+G11+G12+G13+G14+G10</f>
        <v>1872590.2327131692</v>
      </c>
    </row>
    <row r="42" spans="1:7" x14ac:dyDescent="0.2">
      <c r="B42" s="1"/>
      <c r="C42" s="2"/>
      <c r="F42" s="1">
        <f>+G42/F41</f>
        <v>3.8282084816494066</v>
      </c>
      <c r="G42" s="2">
        <f>+G3-G41</f>
        <v>2069700.10921064</v>
      </c>
    </row>
    <row r="43" spans="1:7" x14ac:dyDescent="0.2">
      <c r="A43" s="24"/>
      <c r="B43" s="1"/>
      <c r="C43" s="2"/>
      <c r="F43" s="1">
        <f>+(G42+G43+G44)/F41</f>
        <v>5.9399016414623107</v>
      </c>
      <c r="G43" s="2">
        <f>+F16*'הנחות בסיס'!$C$15+F15*F16/(F16+F7)*'הנחות בסיס'!$C$15+F9*'הנחות בסיס'!$C$15-(F8+F9)*'הנחות בסיס'!$C$17</f>
        <v>1141675.4297563867</v>
      </c>
    </row>
    <row r="44" spans="1:7" x14ac:dyDescent="0.2">
      <c r="A44" s="24"/>
      <c r="B44" s="2"/>
      <c r="C44" s="2"/>
      <c r="F44" s="2"/>
      <c r="G44" s="2"/>
    </row>
    <row r="45" spans="1:7" x14ac:dyDescent="0.2">
      <c r="B45" s="2"/>
      <c r="C45" s="2"/>
      <c r="F45" s="2">
        <f>SUM(F7:F40)</f>
        <v>1442948.3861205049</v>
      </c>
      <c r="G45" s="2">
        <f>SUM(G7:G40)</f>
        <v>3942290.3419238087</v>
      </c>
    </row>
    <row r="46" spans="1:7" x14ac:dyDescent="0.2">
      <c r="B46" s="2"/>
      <c r="C46" s="2"/>
      <c r="F46" s="2"/>
      <c r="G46" s="2">
        <f>+G45-G3</f>
        <v>0</v>
      </c>
    </row>
    <row r="48" spans="1:7" x14ac:dyDescent="0.2">
      <c r="E48" s="25"/>
    </row>
    <row r="50" spans="1:7" x14ac:dyDescent="0.2">
      <c r="B50" s="3"/>
      <c r="C50" s="3"/>
      <c r="D50" s="3"/>
      <c r="E50" s="35"/>
    </row>
    <row r="51" spans="1:7" x14ac:dyDescent="0.2">
      <c r="B51" s="3"/>
      <c r="C51" s="3"/>
      <c r="D51" s="3"/>
      <c r="E51" s="3"/>
    </row>
    <row r="52" spans="1:7" x14ac:dyDescent="0.2">
      <c r="A52" s="43" t="s">
        <v>89</v>
      </c>
      <c r="B52" s="3"/>
      <c r="C52" s="3"/>
      <c r="D52" s="3"/>
      <c r="E52" s="3">
        <f>+E48+E56</f>
        <v>3.9173963877926914</v>
      </c>
    </row>
    <row r="54" spans="1:7" x14ac:dyDescent="0.2">
      <c r="A54" s="48" t="s">
        <v>95</v>
      </c>
      <c r="E54">
        <f>+(E7/VLOOKUP(E1,'[14]נתוני תאגידים'!$B$253:$BS$257,70,0)+VLOOKUP(E1,'[14]נתוני תאגידים'!$B$245:$BS$250,70,0))</f>
        <v>8.8112234803582492</v>
      </c>
    </row>
    <row r="56" spans="1:7" x14ac:dyDescent="0.2">
      <c r="A56" s="48" t="s">
        <v>81</v>
      </c>
      <c r="E56">
        <f>+E54-'הנחות בסיס'!$C$15*(VLOOKUP(E1,'[14]נתוני תאגידים'!$B$261:$BS$265,70,0))/VLOOKUP(E1,'[14]נתוני תאגידים'!$B$253:$BS$257,70,0)</f>
        <v>3.9173963877926914</v>
      </c>
    </row>
    <row r="59" spans="1:7" x14ac:dyDescent="0.2">
      <c r="A59" t="s">
        <v>96</v>
      </c>
    </row>
    <row r="60" spans="1:7" x14ac:dyDescent="0.2">
      <c r="F60" t="s">
        <v>125</v>
      </c>
      <c r="G60" s="15">
        <f>SUM(G17:G40)+G14+G12+G11</f>
        <v>1561632.2721308272</v>
      </c>
    </row>
    <row r="61" spans="1:7" x14ac:dyDescent="0.2">
      <c r="G61" s="15">
        <f>SUM(C17:C39)+C14+C12+C11</f>
        <v>0</v>
      </c>
    </row>
    <row r="62" spans="1:7" x14ac:dyDescent="0.2">
      <c r="G62" s="15">
        <f>+G60-G61</f>
        <v>1561632.2721308272</v>
      </c>
    </row>
  </sheetData>
  <phoneticPr fontId="2" type="noConversion"/>
  <pageMargins left="0.37" right="0.33" top="1" bottom="1" header="0.5" footer="0.5"/>
  <pageSetup paperSize="9" scale="34" orientation="landscape" r:id="rId1"/>
  <headerFooter alignWithMargins="0">
    <oddFooter>&amp;R&amp;A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W20"/>
  <sheetViews>
    <sheetView rightToLeft="1" zoomScaleNormal="100" workbookViewId="0">
      <selection activeCell="J24" sqref="J24"/>
    </sheetView>
  </sheetViews>
  <sheetFormatPr defaultRowHeight="17.25" customHeight="1" x14ac:dyDescent="0.2"/>
  <cols>
    <col min="1" max="1" width="20.42578125" bestFit="1" customWidth="1"/>
    <col min="2" max="3" width="11.28515625" customWidth="1"/>
    <col min="4" max="4" width="9.140625" customWidth="1"/>
    <col min="5" max="5" width="2" bestFit="1" customWidth="1"/>
    <col min="6" max="7" width="10.28515625" customWidth="1"/>
    <col min="9" max="9" width="2" bestFit="1" customWidth="1"/>
    <col min="10" max="10" width="11.28515625" bestFit="1" customWidth="1"/>
    <col min="11" max="11" width="11.28515625" hidden="1" customWidth="1"/>
    <col min="13" max="13" width="2" bestFit="1" customWidth="1"/>
    <col min="14" max="14" width="10.28515625" bestFit="1" customWidth="1"/>
    <col min="15" max="15" width="10.28515625" hidden="1" customWidth="1"/>
    <col min="16" max="16" width="9.28515625" bestFit="1" customWidth="1"/>
    <col min="17" max="17" width="2" bestFit="1" customWidth="1"/>
    <col min="18" max="18" width="10.28515625" bestFit="1" customWidth="1"/>
    <col min="19" max="19" width="10.28515625" hidden="1" customWidth="1"/>
    <col min="21" max="21" width="2" bestFit="1" customWidth="1"/>
    <col min="22" max="22" width="10.28515625" bestFit="1" customWidth="1"/>
    <col min="23" max="23" width="10.28515625" hidden="1" customWidth="1"/>
  </cols>
  <sheetData>
    <row r="2" spans="1:20" ht="17.25" customHeight="1" x14ac:dyDescent="0.25">
      <c r="A2" s="188" t="s">
        <v>58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</row>
    <row r="4" spans="1:20" ht="17.25" customHeight="1" x14ac:dyDescent="0.2">
      <c r="B4" s="16" t="s">
        <v>43</v>
      </c>
      <c r="C4" s="48" t="s">
        <v>126</v>
      </c>
      <c r="F4" s="12"/>
      <c r="N4" s="12"/>
    </row>
    <row r="5" spans="1:20" ht="17.25" customHeight="1" x14ac:dyDescent="0.2">
      <c r="A5" t="s">
        <v>44</v>
      </c>
      <c r="B5" s="20">
        <v>1.7999999999999999E-2</v>
      </c>
      <c r="C5" s="3">
        <f>+'תרחיש מפורט'!E7</f>
        <v>5.9399016414623107</v>
      </c>
      <c r="F5" s="23"/>
      <c r="G5" s="23"/>
      <c r="H5" s="23"/>
      <c r="N5" s="23"/>
      <c r="O5" s="23"/>
      <c r="P5" s="23"/>
    </row>
    <row r="6" spans="1:20" ht="17.25" customHeight="1" x14ac:dyDescent="0.2">
      <c r="A6" t="s">
        <v>1</v>
      </c>
      <c r="B6" s="18">
        <v>0</v>
      </c>
      <c r="C6" s="3">
        <f>+'תרחיש מפורט'!E16</f>
        <v>1.3759016414623106</v>
      </c>
    </row>
    <row r="7" spans="1:20" ht="17.25" customHeight="1" x14ac:dyDescent="0.2">
      <c r="A7" t="s">
        <v>2</v>
      </c>
      <c r="B7" s="18">
        <v>0</v>
      </c>
    </row>
    <row r="8" spans="1:20" ht="17.25" customHeight="1" x14ac:dyDescent="0.2">
      <c r="A8" t="s">
        <v>45</v>
      </c>
      <c r="B8" s="18">
        <v>0.04</v>
      </c>
    </row>
    <row r="9" spans="1:20" ht="17.25" customHeight="1" x14ac:dyDescent="0.2">
      <c r="A9" t="s">
        <v>19</v>
      </c>
      <c r="B9" s="18">
        <v>0</v>
      </c>
    </row>
    <row r="10" spans="1:20" ht="17.25" customHeight="1" x14ac:dyDescent="0.2">
      <c r="A10" t="s">
        <v>49</v>
      </c>
      <c r="B10" s="18">
        <v>0.02</v>
      </c>
    </row>
    <row r="11" spans="1:20" ht="17.25" customHeight="1" x14ac:dyDescent="0.2">
      <c r="A11" t="s">
        <v>27</v>
      </c>
      <c r="B11" s="18">
        <v>0</v>
      </c>
    </row>
    <row r="12" spans="1:20" ht="17.25" customHeight="1" x14ac:dyDescent="0.2">
      <c r="A12" t="s">
        <v>50</v>
      </c>
      <c r="B12" s="18">
        <v>0.03</v>
      </c>
      <c r="P12" s="1"/>
    </row>
    <row r="13" spans="1:20" ht="17.25" customHeight="1" x14ac:dyDescent="0.2">
      <c r="A13" t="s">
        <v>22</v>
      </c>
      <c r="B13" s="26">
        <v>0.08</v>
      </c>
    </row>
    <row r="15" spans="1:20" ht="17.25" customHeight="1" x14ac:dyDescent="0.2">
      <c r="A15" s="42" t="s">
        <v>61</v>
      </c>
      <c r="B15" s="42"/>
      <c r="C15" s="127">
        <f>+'[15]גיליון סימולציות'!$H$16</f>
        <v>4.5640000000000001</v>
      </c>
    </row>
    <row r="17" spans="1:11" ht="17.25" customHeight="1" x14ac:dyDescent="0.2">
      <c r="A17" s="126" t="s">
        <v>138</v>
      </c>
      <c r="B17" s="42"/>
      <c r="C17" s="42">
        <f>+D17+F17</f>
        <v>1.02</v>
      </c>
      <c r="D17" s="42">
        <v>0.6</v>
      </c>
      <c r="F17" s="42">
        <v>0.42</v>
      </c>
    </row>
    <row r="18" spans="1:11" ht="17.25" customHeight="1" x14ac:dyDescent="0.2">
      <c r="D18" s="1"/>
      <c r="I18" s="34"/>
      <c r="K18" s="42"/>
    </row>
    <row r="19" spans="1:11" ht="17.25" customHeight="1" x14ac:dyDescent="0.2">
      <c r="J19" s="2"/>
    </row>
    <row r="20" spans="1:11" ht="17.25" customHeight="1" x14ac:dyDescent="0.2">
      <c r="D20" s="24"/>
    </row>
  </sheetData>
  <mergeCells count="1">
    <mergeCell ref="A2:T2"/>
  </mergeCells>
  <phoneticPr fontId="2" type="noConversion"/>
  <pageMargins left="0.75" right="0.75" top="1" bottom="1" header="0.5" footer="0.5"/>
  <pageSetup paperSize="9" scale="63" orientation="portrait" r:id="rId1"/>
  <headerFooter alignWithMargins="0">
    <oddHeader>&amp;C&amp;"Arial,מודגש"&amp;12&amp;U&amp;F
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קבצים להורדה" ma:contentTypeID="0x0101009B062CC07971A94494097F37B7CF51C70097AC8CEB9E63A54D9070F69E621E066B" ma:contentTypeVersion="13" ma:contentTypeDescription="" ma:contentTypeScope="" ma:versionID="267df433e2d5418521df6946d727ccee">
  <xsd:schema xmlns:xsd="http://www.w3.org/2001/XMLSchema" xmlns:p="http://schemas.microsoft.com/office/2006/metadata/properties" xmlns:ns2="7c9e7d92-4d2e-4d6f-8ea5-12e4091e13b4" targetNamespace="http://schemas.microsoft.com/office/2006/metadata/properties" ma:root="true" ma:fieldsID="c0df9e39004d50b02c722bef9f672668" ns2:_="">
    <xsd:import namespace="7c9e7d92-4d2e-4d6f-8ea5-12e4091e13b4"/>
    <xsd:element name="properties">
      <xsd:complexType>
        <xsd:sequence>
          <xsd:element name="documentManagement">
            <xsd:complexType>
              <xsd:all>
                <xsd:element ref="ns2:Description"/>
                <xsd:element ref="ns2:FileGroup" minOccurs="0"/>
                <xsd:element ref="ns2:ToPublish" minOccurs="0"/>
                <xsd:element ref="ns2:PublishStartDate" minOccurs="0"/>
                <xsd:element ref="ns2:PublishEndDate" minOccurs="0"/>
                <xsd:element ref="ns2:OrderIndex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7c9e7d92-4d2e-4d6f-8ea5-12e4091e13b4" elementFormDefault="qualified">
    <xsd:import namespace="http://schemas.microsoft.com/office/2006/documentManagement/types"/>
    <xsd:element name="Description" ma:index="2" ma:displayName="תאור" ma:internalName="Description">
      <xsd:simpleType>
        <xsd:restriction base="dms:Note"/>
      </xsd:simpleType>
    </xsd:element>
    <xsd:element name="FileGroup" ma:index="3" nillable="true" ma:displayName="נושא המסמך" ma:list="1d967b34-d578-438a-8871-0342ca02cdc7" ma:internalName="FileGroup" ma:readOnly="false" ma:showField="Title" ma:web="7c9e7d92-4d2e-4d6f-8ea5-12e4091e13b4">
      <xsd:simpleType>
        <xsd:restriction base="dms:Lookup"/>
      </xsd:simpleType>
    </xsd:element>
    <xsd:element name="ToPublish" ma:index="4" nillable="true" ma:displayName="לפרסום" ma:default="1" ma:internalName="ToPublish">
      <xsd:simpleType>
        <xsd:restriction base="dms:Boolean"/>
      </xsd:simpleType>
    </xsd:element>
    <xsd:element name="PublishStartDate" ma:index="5" nillable="true" ma:displayName="תאריך תחילת פרסום" ma:format="DateTime" ma:internalName="PublishStartDate" ma:readOnly="false">
      <xsd:simpleType>
        <xsd:restriction base="dms:DateTime"/>
      </xsd:simpleType>
    </xsd:element>
    <xsd:element name="PublishEndDate" ma:index="6" nillable="true" ma:displayName="תאריך סיום פרסום" ma:format="DateTime" ma:internalName="PublishEndDate" ma:readOnly="false">
      <xsd:simpleType>
        <xsd:restriction base="dms:DateTime"/>
      </xsd:simpleType>
    </xsd:element>
    <xsd:element name="OrderIndex" ma:index="7" ma:displayName="סדר הצגה" ma:internalName="OrderIndex" ma:percentage="FALSE">
      <xsd:simpleType>
        <xsd:restriction base="dms:Number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8" ma:displayName="סוג תוכן"/>
        <xsd:element ref="dc:title" maxOccurs="1" ma:index="1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PublishStartDate xmlns="7c9e7d92-4d2e-4d6f-8ea5-12e4091e13b4" xsi:nil="true"/>
    <OrderIndex xmlns="7c9e7d92-4d2e-4d6f-8ea5-12e4091e13b4">4</OrderIndex>
    <Description xmlns="7c9e7d92-4d2e-4d6f-8ea5-12e4091e13b4"/>
    <ToPublish xmlns="7c9e7d92-4d2e-4d6f-8ea5-12e4091e13b4">true</ToPublish>
    <PublishEndDate xmlns="7c9e7d92-4d2e-4d6f-8ea5-12e4091e13b4" xsi:nil="true"/>
    <FileGroup xmlns="7c9e7d92-4d2e-4d6f-8ea5-12e4091e13b4" xsi:nil="true"/>
  </documentManagement>
</p:properties>
</file>

<file path=customXml/itemProps1.xml><?xml version="1.0" encoding="utf-8"?>
<ds:datastoreItem xmlns:ds="http://schemas.openxmlformats.org/officeDocument/2006/customXml" ds:itemID="{4EF51BA2-171F-4616-95D1-1EFB24BFBF4F}"/>
</file>

<file path=customXml/itemProps2.xml><?xml version="1.0" encoding="utf-8"?>
<ds:datastoreItem xmlns:ds="http://schemas.openxmlformats.org/officeDocument/2006/customXml" ds:itemID="{FF12EF04-0F8E-46F3-AC69-AC11AB981A3B}"/>
</file>

<file path=customXml/itemProps3.xml><?xml version="1.0" encoding="utf-8"?>
<ds:datastoreItem xmlns:ds="http://schemas.openxmlformats.org/officeDocument/2006/customXml" ds:itemID="{C4EA3581-5217-4DC5-AC79-BD2F26DEA7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7</vt:i4>
      </vt:variant>
      <vt:variant>
        <vt:lpstr>טווחים בעלי שם</vt:lpstr>
      </vt:variant>
      <vt:variant>
        <vt:i4>1</vt:i4>
      </vt:variant>
    </vt:vector>
  </HeadingPairs>
  <TitlesOfParts>
    <vt:vector size="8" baseType="lpstr">
      <vt:lpstr>שינוי בצריכה לשנה</vt:lpstr>
      <vt:lpstr>כמויות על פני השנים</vt:lpstr>
      <vt:lpstr>מחירים על פני השנים</vt:lpstr>
      <vt:lpstr>עלויות מוכרות לשנת 2013</vt:lpstr>
      <vt:lpstr>תוספת עלויות במהלך השנים</vt:lpstr>
      <vt:lpstr>תרחיש מפורט</vt:lpstr>
      <vt:lpstr>הנחות בסיס</vt:lpstr>
      <vt:lpstr>'הנחות בסיס'!WPrint_Area_W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קובץ עזר מקורות - ינואר 2013</dc:title>
  <dc:creator>Giladf</dc:creator>
  <cp:lastModifiedBy>BackUp</cp:lastModifiedBy>
  <cp:lastPrinted>2012-09-05T11:41:59Z</cp:lastPrinted>
  <dcterms:created xsi:type="dcterms:W3CDTF">2008-12-28T11:25:51Z</dcterms:created>
  <dcterms:modified xsi:type="dcterms:W3CDTF">2013-04-30T14:05:39Z</dcterms:modified>
  <cp:contentType>קבצים להורדה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0x0101009B062CC07971A94494097F37B7CF51C70097AC8CEB9E63A54D9070F69E621E066B</vt:lpwstr>
  </property>
  <property fmtid="{D5CDD505-2E9C-101B-9397-08002B2CF9AE}" pid="3" name="TemplateUrl">
    <vt:lpwstr/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xd_Signature">
    <vt:bool>false</vt:bool>
  </property>
  <property fmtid="{D5CDD505-2E9C-101B-9397-08002B2CF9AE}" pid="7" name="xd_ProgID">
    <vt:lpwstr/>
  </property>
</Properties>
</file>