
<file path=[Content_Types].xml><?xml version="1.0" encoding="utf-8"?>
<Types xmlns="http://schemas.openxmlformats.org/package/2006/content-types">
  <Override PartName="/customXml/itemProps3.xml" ContentType="application/vnd.openxmlformats-officedocument.customXmlProperties+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omments2.xml" ContentType="application/vnd.openxmlformats-officedocument.spreadsheetml.comments+xml"/>
  <Override PartName="/docProps/custom.xml" ContentType="application/vnd.openxmlformats-officedocument.custom-properties+xml"/>
  <Default Extension="vml" ContentType="application/vnd.openxmlformats-officedocument.vmlDrawing"/>
  <Override PartName="/xl/worksheets/sheet1.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Default Extension="bin" ContentType="application/vnd.openxmlformats-officedocument.spreadsheetml.printerSettings"/>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60" windowWidth="15600" windowHeight="6315" tabRatio="696"/>
  </bookViews>
  <sheets>
    <sheet name="תעריף ביוב רשויות " sheetId="14" r:id="rId1"/>
    <sheet name="תעריף רכישה רשויות " sheetId="13" r:id="rId2"/>
    <sheet name="תעריף כמות מוכרת" sheetId="12" r:id="rId3"/>
    <sheet name="תעריף מים לכמות נוספת" sheetId="9" r:id="rId4"/>
    <sheet name="תחשיב הכרה בעלויות " sheetId="5" r:id="rId5"/>
    <sheet name="מדדים" sheetId="8" r:id="rId6"/>
    <sheet name="כמויות 2013" sheetId="4" r:id="rId7"/>
    <sheet name="אגרות ביוב" sheetId="7" r:id="rId8"/>
    <sheet name="מטש" sheetId="10" r:id="rId9"/>
    <sheet name="אשכול חברתי" sheetId="15" r:id="rId10"/>
  </sheets>
  <externalReferences>
    <externalReference r:id="rId11"/>
    <externalReference r:id="rId12"/>
    <externalReference r:id="rId13"/>
    <externalReference r:id="rId14"/>
    <externalReference r:id="rId15"/>
    <externalReference r:id="rId16"/>
    <externalReference r:id="rId17"/>
  </externalReferences>
  <definedNames>
    <definedName name="_xlnm._FilterDatabase" localSheetId="0" hidden="1">'תעריף ביוב רשויות '!$B$1:$F$28</definedName>
    <definedName name="_xlnm.Print_Area" localSheetId="5">מדדים!$A$1:$N$71</definedName>
    <definedName name="_xlnm.Print_Titles" localSheetId="5">מדדים!$2:$6</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Z4" i="13" l="1"/>
  <c r="Z5" i="13"/>
  <c r="Z6" i="13"/>
  <c r="Z7" i="13"/>
  <c r="Z8" i="13"/>
  <c r="Z9" i="13"/>
  <c r="Z10" i="13"/>
  <c r="Z11" i="13"/>
  <c r="Z12" i="13"/>
  <c r="Z13" i="13"/>
  <c r="Z14" i="13"/>
  <c r="Z15" i="13"/>
  <c r="Z16" i="13"/>
  <c r="Z17" i="13"/>
  <c r="Z18" i="13"/>
  <c r="Z19" i="13"/>
  <c r="Z20" i="13"/>
  <c r="Z21" i="13"/>
  <c r="Z22" i="13"/>
  <c r="Z23" i="13"/>
  <c r="Z24" i="13"/>
  <c r="Z25" i="13"/>
  <c r="Z26" i="13"/>
  <c r="Z27" i="13"/>
  <c r="Z28" i="13"/>
  <c r="Z29" i="13"/>
  <c r="Z30" i="13"/>
  <c r="Z3" i="13"/>
  <c r="C202" i="15"/>
  <c r="D202" i="15" s="1"/>
  <c r="C201" i="15"/>
  <c r="D201" i="15" s="1"/>
  <c r="C200" i="15"/>
  <c r="D200" i="15" s="1"/>
  <c r="C199" i="15"/>
  <c r="D199" i="15" s="1"/>
  <c r="C198" i="15"/>
  <c r="D198" i="15" s="1"/>
  <c r="C197" i="15"/>
  <c r="D197" i="15" s="1"/>
  <c r="C196" i="15"/>
  <c r="D196" i="15" s="1"/>
  <c r="C195" i="15"/>
  <c r="D195" i="15" s="1"/>
  <c r="C194" i="15"/>
  <c r="D194" i="15" s="1"/>
  <c r="C193" i="15"/>
  <c r="D193" i="15" s="1"/>
  <c r="C192" i="15"/>
  <c r="D192" i="15" s="1"/>
  <c r="C191" i="15"/>
  <c r="D191" i="15" s="1"/>
  <c r="C190" i="15"/>
  <c r="D190" i="15" s="1"/>
  <c r="C189" i="15"/>
  <c r="D189" i="15" s="1"/>
  <c r="C188" i="15"/>
  <c r="D188" i="15" s="1"/>
  <c r="C187" i="15"/>
  <c r="D187" i="15" s="1"/>
  <c r="C186" i="15"/>
  <c r="D186" i="15" s="1"/>
  <c r="C185" i="15"/>
  <c r="D185" i="15" s="1"/>
  <c r="C184" i="15"/>
  <c r="D184" i="15" s="1"/>
  <c r="C183" i="15"/>
  <c r="D183" i="15" s="1"/>
  <c r="C182" i="15"/>
  <c r="D182" i="15" s="1"/>
  <c r="C181" i="15"/>
  <c r="D181" i="15" s="1"/>
  <c r="C180" i="15"/>
  <c r="D180" i="15" s="1"/>
  <c r="C179" i="15"/>
  <c r="D179" i="15" s="1"/>
  <c r="C178" i="15"/>
  <c r="D178" i="15" s="1"/>
  <c r="C177" i="15"/>
  <c r="D177" i="15" s="1"/>
  <c r="C176" i="15"/>
  <c r="D176" i="15" s="1"/>
  <c r="C175" i="15"/>
  <c r="D175" i="15" s="1"/>
  <c r="C174" i="15"/>
  <c r="D174" i="15" s="1"/>
  <c r="C173" i="15"/>
  <c r="D173" i="15" s="1"/>
  <c r="C172" i="15"/>
  <c r="D172" i="15" s="1"/>
  <c r="C171" i="15"/>
  <c r="D171" i="15" s="1"/>
  <c r="C170" i="15"/>
  <c r="D170" i="15" s="1"/>
  <c r="C169" i="15"/>
  <c r="D169" i="15" s="1"/>
  <c r="C168" i="15"/>
  <c r="D168" i="15" s="1"/>
  <c r="C167" i="15"/>
  <c r="D167" i="15" s="1"/>
  <c r="C166" i="15"/>
  <c r="D166" i="15" s="1"/>
  <c r="C165" i="15"/>
  <c r="D165" i="15" s="1"/>
  <c r="C164" i="15"/>
  <c r="D164" i="15" s="1"/>
  <c r="C163" i="15"/>
  <c r="D163" i="15" s="1"/>
  <c r="C162" i="15"/>
  <c r="D162" i="15" s="1"/>
  <c r="C161" i="15"/>
  <c r="D161" i="15" s="1"/>
  <c r="C160" i="15"/>
  <c r="D160" i="15" s="1"/>
  <c r="C159" i="15"/>
  <c r="D159" i="15" s="1"/>
  <c r="C158" i="15"/>
  <c r="D158" i="15" s="1"/>
  <c r="C157" i="15"/>
  <c r="D157" i="15" s="1"/>
  <c r="C156" i="15"/>
  <c r="D156" i="15" s="1"/>
  <c r="C155" i="15"/>
  <c r="D155" i="15" s="1"/>
  <c r="C154" i="15"/>
  <c r="D154" i="15" s="1"/>
  <c r="C153" i="15"/>
  <c r="D153" i="15" s="1"/>
  <c r="C152" i="15"/>
  <c r="D152" i="15" s="1"/>
  <c r="C151" i="15"/>
  <c r="D151" i="15" s="1"/>
  <c r="C150" i="15"/>
  <c r="D150" i="15" s="1"/>
  <c r="C149" i="15"/>
  <c r="D149" i="15" s="1"/>
  <c r="C148" i="15"/>
  <c r="D148" i="15" s="1"/>
  <c r="C147" i="15"/>
  <c r="D147" i="15" s="1"/>
  <c r="C146" i="15"/>
  <c r="D146" i="15" s="1"/>
  <c r="C145" i="15"/>
  <c r="D145" i="15" s="1"/>
  <c r="C144" i="15"/>
  <c r="D144" i="15" s="1"/>
  <c r="C143" i="15"/>
  <c r="D143" i="15" s="1"/>
  <c r="C142" i="15"/>
  <c r="D142" i="15" s="1"/>
  <c r="C141" i="15"/>
  <c r="D141" i="15" s="1"/>
  <c r="C140" i="15"/>
  <c r="D140" i="15" s="1"/>
  <c r="C139" i="15"/>
  <c r="D139" i="15" s="1"/>
  <c r="C138" i="15"/>
  <c r="D138" i="15" s="1"/>
  <c r="C137" i="15"/>
  <c r="D137" i="15" s="1"/>
  <c r="C136" i="15"/>
  <c r="D136" i="15" s="1"/>
  <c r="C135" i="15"/>
  <c r="D135" i="15" s="1"/>
  <c r="C134" i="15"/>
  <c r="D134" i="15" s="1"/>
  <c r="C133" i="15"/>
  <c r="D133" i="15" s="1"/>
  <c r="C132" i="15"/>
  <c r="D132" i="15" s="1"/>
  <c r="C131" i="15"/>
  <c r="D131" i="15" s="1"/>
  <c r="C130" i="15"/>
  <c r="D130" i="15" s="1"/>
  <c r="C129" i="15"/>
  <c r="D129" i="15" s="1"/>
  <c r="C128" i="15"/>
  <c r="D128" i="15" s="1"/>
  <c r="C127" i="15"/>
  <c r="D127" i="15" s="1"/>
  <c r="C126" i="15"/>
  <c r="D126" i="15" s="1"/>
  <c r="C125" i="15"/>
  <c r="D125" i="15" s="1"/>
  <c r="C124" i="15"/>
  <c r="D124" i="15" s="1"/>
  <c r="C123" i="15"/>
  <c r="D123" i="15" s="1"/>
  <c r="C122" i="15"/>
  <c r="D122" i="15" s="1"/>
  <c r="C121" i="15"/>
  <c r="D121" i="15" s="1"/>
  <c r="C120" i="15"/>
  <c r="D120" i="15" s="1"/>
  <c r="C119" i="15"/>
  <c r="D119" i="15" s="1"/>
  <c r="C118" i="15"/>
  <c r="D118" i="15" s="1"/>
  <c r="C117" i="15"/>
  <c r="D117" i="15" s="1"/>
  <c r="C116" i="15"/>
  <c r="D116" i="15" s="1"/>
  <c r="C115" i="15"/>
  <c r="D115" i="15" s="1"/>
  <c r="C114" i="15"/>
  <c r="D114" i="15" s="1"/>
  <c r="C113" i="15"/>
  <c r="D113" i="15" s="1"/>
  <c r="C112" i="15"/>
  <c r="D112" i="15" s="1"/>
  <c r="C111" i="15"/>
  <c r="D111" i="15" s="1"/>
  <c r="C110" i="15"/>
  <c r="D110" i="15" s="1"/>
  <c r="C109" i="15"/>
  <c r="D109" i="15" s="1"/>
  <c r="C108" i="15"/>
  <c r="D108" i="15" s="1"/>
  <c r="C107" i="15"/>
  <c r="D107" i="15" s="1"/>
  <c r="C106" i="15"/>
  <c r="D106" i="15" s="1"/>
  <c r="C105" i="15"/>
  <c r="D105" i="15" s="1"/>
  <c r="C104" i="15"/>
  <c r="D104" i="15" s="1"/>
  <c r="C103" i="15"/>
  <c r="D103" i="15" s="1"/>
  <c r="C102" i="15"/>
  <c r="D102" i="15" s="1"/>
  <c r="C101" i="15"/>
  <c r="D101" i="15" s="1"/>
  <c r="C100" i="15"/>
  <c r="D100" i="15" s="1"/>
  <c r="C99" i="15"/>
  <c r="D99" i="15" s="1"/>
  <c r="C98" i="15"/>
  <c r="D98" i="15" s="1"/>
  <c r="C97" i="15"/>
  <c r="D97" i="15" s="1"/>
  <c r="C96" i="15"/>
  <c r="D96" i="15" s="1"/>
  <c r="C95" i="15"/>
  <c r="D95" i="15" s="1"/>
  <c r="C94" i="15"/>
  <c r="D94" i="15" s="1"/>
  <c r="C93" i="15"/>
  <c r="D93" i="15" s="1"/>
  <c r="C92" i="15"/>
  <c r="D92" i="15" s="1"/>
  <c r="C91" i="15"/>
  <c r="D91" i="15" s="1"/>
  <c r="C90" i="15"/>
  <c r="D90" i="15" s="1"/>
  <c r="C89" i="15"/>
  <c r="D89" i="15" s="1"/>
  <c r="C88" i="15"/>
  <c r="D88" i="15" s="1"/>
  <c r="C87" i="15"/>
  <c r="D87" i="15" s="1"/>
  <c r="C86" i="15"/>
  <c r="D86" i="15" s="1"/>
  <c r="C85" i="15"/>
  <c r="D85" i="15" s="1"/>
  <c r="C84" i="15"/>
  <c r="D84" i="15" s="1"/>
  <c r="C83" i="15"/>
  <c r="D83" i="15" s="1"/>
  <c r="C82" i="15"/>
  <c r="D82" i="15" s="1"/>
  <c r="C81" i="15"/>
  <c r="D81" i="15" s="1"/>
  <c r="C80" i="15"/>
  <c r="D80" i="15" s="1"/>
  <c r="C79" i="15"/>
  <c r="D79" i="15" s="1"/>
  <c r="C78" i="15"/>
  <c r="D78" i="15" s="1"/>
  <c r="C77" i="15"/>
  <c r="D77" i="15" s="1"/>
  <c r="C76" i="15"/>
  <c r="D76" i="15" s="1"/>
  <c r="C75" i="15"/>
  <c r="D75" i="15" s="1"/>
  <c r="C74" i="15"/>
  <c r="D74" i="15" s="1"/>
  <c r="C73" i="15"/>
  <c r="D73" i="15" s="1"/>
  <c r="C72" i="15"/>
  <c r="D72" i="15" s="1"/>
  <c r="C71" i="15"/>
  <c r="D71" i="15" s="1"/>
  <c r="C70" i="15"/>
  <c r="D70" i="15" s="1"/>
  <c r="C69" i="15"/>
  <c r="D69" i="15" s="1"/>
  <c r="C68" i="15"/>
  <c r="D68" i="15" s="1"/>
  <c r="C67" i="15"/>
  <c r="D67" i="15" s="1"/>
  <c r="C66" i="15"/>
  <c r="D66" i="15" s="1"/>
  <c r="C65" i="15"/>
  <c r="D65" i="15" s="1"/>
  <c r="C64" i="15"/>
  <c r="D64" i="15" s="1"/>
  <c r="C63" i="15"/>
  <c r="D63" i="15" s="1"/>
  <c r="C62" i="15"/>
  <c r="D62" i="15" s="1"/>
  <c r="C61" i="15"/>
  <c r="D61" i="15" s="1"/>
  <c r="C60" i="15"/>
  <c r="D60" i="15" s="1"/>
  <c r="C59" i="15"/>
  <c r="D59" i="15" s="1"/>
  <c r="C58" i="15"/>
  <c r="D58" i="15" s="1"/>
  <c r="C57" i="15"/>
  <c r="D57" i="15" s="1"/>
  <c r="C56" i="15"/>
  <c r="D56" i="15" s="1"/>
  <c r="C55" i="15"/>
  <c r="D55" i="15" s="1"/>
  <c r="C54" i="15"/>
  <c r="D54" i="15" s="1"/>
  <c r="D53" i="15"/>
  <c r="C53" i="15"/>
  <c r="D52" i="15"/>
  <c r="C52" i="15"/>
  <c r="D51" i="15"/>
  <c r="C51" i="15"/>
  <c r="D50" i="15"/>
  <c r="C50" i="15"/>
  <c r="D49" i="15"/>
  <c r="C49" i="15"/>
  <c r="D48" i="15"/>
  <c r="C48" i="15"/>
  <c r="D47" i="15"/>
  <c r="C47" i="15"/>
  <c r="D46" i="15"/>
  <c r="C46" i="15"/>
  <c r="C45" i="15"/>
  <c r="D45" i="15" s="1"/>
  <c r="D44" i="15"/>
  <c r="C44" i="15"/>
  <c r="D43" i="15"/>
  <c r="C43" i="15"/>
  <c r="D42" i="15"/>
  <c r="C42" i="15"/>
  <c r="D41" i="15"/>
  <c r="C41" i="15"/>
  <c r="D40" i="15"/>
  <c r="C40" i="15"/>
  <c r="D39" i="15"/>
  <c r="C39" i="15"/>
  <c r="D38" i="15"/>
  <c r="C38" i="15"/>
  <c r="C37" i="15"/>
  <c r="D37" i="15" s="1"/>
  <c r="C36" i="15"/>
  <c r="D36" i="15" s="1"/>
  <c r="C35" i="15"/>
  <c r="D35" i="15" s="1"/>
  <c r="C34" i="15"/>
  <c r="D34" i="15" s="1"/>
  <c r="C33" i="15"/>
  <c r="D33" i="15" s="1"/>
  <c r="C32" i="15"/>
  <c r="D32" i="15" s="1"/>
  <c r="C31" i="15"/>
  <c r="D31" i="15" s="1"/>
  <c r="C30" i="15"/>
  <c r="D30" i="15" s="1"/>
  <c r="C29" i="15"/>
  <c r="D29" i="15" s="1"/>
  <c r="C28" i="15"/>
  <c r="D28" i="15" s="1"/>
  <c r="C27" i="15"/>
  <c r="D27" i="15" s="1"/>
  <c r="C26" i="15"/>
  <c r="D26" i="15" s="1"/>
  <c r="C25" i="15"/>
  <c r="D25" i="15" s="1"/>
  <c r="C24" i="15"/>
  <c r="D24" i="15" s="1"/>
  <c r="C23" i="15"/>
  <c r="D23" i="15" s="1"/>
  <c r="C22" i="15"/>
  <c r="D22" i="15" s="1"/>
  <c r="C21" i="15"/>
  <c r="D21" i="15" s="1"/>
  <c r="C20" i="15"/>
  <c r="D20" i="15" s="1"/>
  <c r="C19" i="15"/>
  <c r="D19" i="15" s="1"/>
  <c r="C18" i="15"/>
  <c r="D18" i="15" s="1"/>
  <c r="C17" i="15"/>
  <c r="D17" i="15" s="1"/>
  <c r="C16" i="15"/>
  <c r="D16" i="15" s="1"/>
  <c r="C15" i="15"/>
  <c r="D15" i="15" s="1"/>
  <c r="D14" i="15"/>
  <c r="C14" i="15"/>
  <c r="D13" i="15"/>
  <c r="C13" i="15"/>
  <c r="D12" i="15"/>
  <c r="C12" i="15"/>
  <c r="D11" i="15"/>
  <c r="C11" i="15"/>
  <c r="D10" i="15"/>
  <c r="C10" i="15"/>
  <c r="D9" i="15"/>
  <c r="C9" i="15"/>
  <c r="D8" i="15"/>
  <c r="C8" i="15"/>
  <c r="D7" i="15"/>
  <c r="C7" i="15"/>
  <c r="D6" i="15"/>
  <c r="C6" i="15"/>
  <c r="D5" i="15"/>
  <c r="C5" i="15"/>
  <c r="D4" i="15"/>
  <c r="C4" i="15"/>
  <c r="D3" i="15"/>
  <c r="C3" i="15"/>
  <c r="D2" i="15"/>
  <c r="C2" i="15"/>
  <c r="I10" i="5" l="1"/>
  <c r="I8" i="5"/>
  <c r="I7" i="5"/>
  <c r="I6" i="5"/>
  <c r="I29" i="5" l="1"/>
  <c r="I28" i="5"/>
  <c r="I23" i="5"/>
  <c r="I22" i="5"/>
  <c r="I21" i="5"/>
  <c r="I27" i="5"/>
  <c r="R12" i="12" l="1"/>
  <c r="S12" i="12"/>
  <c r="T12" i="12"/>
  <c r="AD12" i="12"/>
  <c r="AG12" i="12"/>
  <c r="AH12" i="12"/>
  <c r="L9" i="12" l="1"/>
  <c r="L11" i="12" l="1"/>
  <c r="I30" i="13" l="1"/>
  <c r="K30" i="9"/>
  <c r="K30" i="12"/>
  <c r="B206" i="4" l="1"/>
  <c r="B207" i="4"/>
  <c r="B208" i="4"/>
  <c r="B209" i="4"/>
  <c r="B210" i="4"/>
  <c r="B211" i="4"/>
  <c r="B212" i="4"/>
  <c r="B213" i="4"/>
  <c r="B214" i="4"/>
  <c r="B215" i="4"/>
  <c r="B216" i="4"/>
  <c r="B217" i="4"/>
  <c r="B218" i="4"/>
  <c r="B219" i="4"/>
  <c r="B220" i="4"/>
  <c r="B221" i="4"/>
  <c r="B222" i="4"/>
  <c r="B223" i="4"/>
  <c r="B224" i="4"/>
  <c r="B225" i="4"/>
  <c r="B226" i="4"/>
  <c r="B227" i="4"/>
  <c r="B228" i="4"/>
  <c r="B229" i="4"/>
  <c r="B230" i="4"/>
  <c r="B231" i="4"/>
  <c r="B232" i="4"/>
  <c r="B233" i="4"/>
  <c r="B234" i="4"/>
  <c r="B235" i="4"/>
  <c r="B236" i="4"/>
  <c r="B237" i="4"/>
  <c r="B238" i="4"/>
  <c r="B240" i="4"/>
  <c r="B241" i="4"/>
  <c r="B242" i="4"/>
  <c r="B243" i="4"/>
  <c r="B244" i="4"/>
  <c r="B245" i="4"/>
  <c r="B246" i="4"/>
  <c r="B247" i="4"/>
  <c r="B248" i="4"/>
  <c r="B249" i="4"/>
  <c r="B250" i="4"/>
  <c r="B251" i="4"/>
  <c r="B252" i="4"/>
  <c r="B253" i="4"/>
  <c r="B254" i="4"/>
  <c r="B255" i="4"/>
  <c r="B256" i="4"/>
  <c r="B257" i="4"/>
  <c r="B205" i="4"/>
  <c r="W5" i="13" l="1"/>
  <c r="W30" i="13"/>
  <c r="W3" i="13"/>
  <c r="W28" i="13"/>
  <c r="W26" i="13"/>
  <c r="W24" i="13"/>
  <c r="W22" i="13"/>
  <c r="W20" i="13"/>
  <c r="W18" i="13"/>
  <c r="W16" i="13"/>
  <c r="W14" i="13"/>
  <c r="W13" i="13"/>
  <c r="W10" i="13"/>
  <c r="W8" i="13"/>
  <c r="W6" i="13"/>
  <c r="W4" i="13"/>
  <c r="W29" i="13"/>
  <c r="W27" i="13"/>
  <c r="W25" i="13"/>
  <c r="W23" i="13"/>
  <c r="W21" i="13"/>
  <c r="W19" i="13"/>
  <c r="W17" i="13"/>
  <c r="W15" i="13"/>
  <c r="W12" i="13"/>
  <c r="W11" i="13"/>
  <c r="W9" i="13"/>
  <c r="W7" i="13"/>
  <c r="K29" i="12"/>
  <c r="K29" i="9" s="1"/>
  <c r="K45" i="12"/>
  <c r="K21" i="9"/>
  <c r="K12" i="9"/>
  <c r="W31" i="13" l="1"/>
  <c r="K20" i="12"/>
  <c r="K20" i="9" s="1"/>
  <c r="K6" i="12" l="1"/>
  <c r="K6" i="9" l="1"/>
  <c r="R14" i="9" l="1"/>
  <c r="S7" i="9" l="1"/>
  <c r="R7" i="9"/>
  <c r="AP5" i="9" l="1"/>
  <c r="AP6" i="9"/>
  <c r="AP7" i="9"/>
  <c r="AP8" i="9"/>
  <c r="AP9" i="9"/>
  <c r="AP10" i="9"/>
  <c r="AP11" i="9"/>
  <c r="AP12" i="9"/>
  <c r="AP13" i="9"/>
  <c r="AP14" i="9"/>
  <c r="AP15" i="9"/>
  <c r="AP16" i="9"/>
  <c r="AP17" i="9"/>
  <c r="AP18" i="9"/>
  <c r="AP19" i="9"/>
  <c r="AP20" i="9"/>
  <c r="AP21" i="9"/>
  <c r="AP22" i="9"/>
  <c r="AP23" i="9"/>
  <c r="AP24" i="9"/>
  <c r="AP25" i="9"/>
  <c r="AP26" i="9"/>
  <c r="AP27" i="9"/>
  <c r="AP28" i="9"/>
  <c r="AP29" i="9"/>
  <c r="AP4" i="9"/>
  <c r="AP3" i="9"/>
  <c r="AR4" i="9" l="1"/>
  <c r="AQ4" i="9"/>
  <c r="AR28" i="9"/>
  <c r="AQ28" i="9"/>
  <c r="AR26" i="9"/>
  <c r="AQ26" i="9"/>
  <c r="AR24" i="9"/>
  <c r="AQ24" i="9"/>
  <c r="AR22" i="9"/>
  <c r="AQ22" i="9"/>
  <c r="AR20" i="9"/>
  <c r="AQ20" i="9"/>
  <c r="AR18" i="9"/>
  <c r="AQ18" i="9"/>
  <c r="AR16" i="9"/>
  <c r="AQ16" i="9"/>
  <c r="AR14" i="9"/>
  <c r="AQ14" i="9"/>
  <c r="AR13" i="9"/>
  <c r="AQ13" i="9"/>
  <c r="AR10" i="9"/>
  <c r="AQ10" i="9"/>
  <c r="AR8" i="9"/>
  <c r="AQ8" i="9"/>
  <c r="AR6" i="9"/>
  <c r="AQ6" i="9"/>
  <c r="AR3" i="9"/>
  <c r="AQ3" i="9"/>
  <c r="AR29" i="9"/>
  <c r="AQ29" i="9"/>
  <c r="AR27" i="9"/>
  <c r="AQ27" i="9"/>
  <c r="AR25" i="9"/>
  <c r="AQ25" i="9"/>
  <c r="AR23" i="9"/>
  <c r="AQ23" i="9"/>
  <c r="AR21" i="9"/>
  <c r="AQ21" i="9"/>
  <c r="AR19" i="9"/>
  <c r="AQ19" i="9"/>
  <c r="AR17" i="9"/>
  <c r="AQ17" i="9"/>
  <c r="AR15" i="9"/>
  <c r="AQ15" i="9"/>
  <c r="AR12" i="9"/>
  <c r="AQ12" i="9"/>
  <c r="AR11" i="9"/>
  <c r="AQ11" i="9"/>
  <c r="AR9" i="9"/>
  <c r="AQ9" i="9"/>
  <c r="AR7" i="9"/>
  <c r="AQ7" i="9"/>
  <c r="AR5" i="9"/>
  <c r="AQ5" i="9"/>
  <c r="AD29" i="9"/>
  <c r="AH29" i="9"/>
  <c r="I4" i="13"/>
  <c r="I5" i="13"/>
  <c r="I6" i="13"/>
  <c r="I7" i="13"/>
  <c r="I8" i="13"/>
  <c r="I9" i="13"/>
  <c r="I10" i="13"/>
  <c r="I11" i="13"/>
  <c r="I12" i="13"/>
  <c r="I13" i="13"/>
  <c r="I14" i="13"/>
  <c r="I15" i="13"/>
  <c r="I16" i="13"/>
  <c r="I17" i="13"/>
  <c r="I18" i="13"/>
  <c r="I19" i="13"/>
  <c r="I20" i="13"/>
  <c r="I21" i="13"/>
  <c r="I22" i="13"/>
  <c r="I23" i="13"/>
  <c r="I24" i="13"/>
  <c r="I25" i="13"/>
  <c r="I26" i="13"/>
  <c r="I27" i="13"/>
  <c r="I28" i="13"/>
  <c r="I29" i="13"/>
  <c r="I3" i="13"/>
  <c r="V35" i="12" l="1"/>
  <c r="U29" i="12"/>
  <c r="AH28" i="12"/>
  <c r="AD28" i="12"/>
  <c r="AH27" i="12"/>
  <c r="AD27" i="12"/>
  <c r="X27" i="12"/>
  <c r="AH26" i="12"/>
  <c r="AD26" i="12"/>
  <c r="AH25" i="12"/>
  <c r="AD25" i="12"/>
  <c r="AH24" i="12"/>
  <c r="AD24" i="12"/>
  <c r="AD23" i="12"/>
  <c r="AH22" i="12"/>
  <c r="AD22" i="12"/>
  <c r="AH21" i="12"/>
  <c r="AG21" i="12"/>
  <c r="AD21" i="12"/>
  <c r="AH20" i="12"/>
  <c r="AH35" i="12" s="1"/>
  <c r="AD20" i="12"/>
  <c r="AD35" i="12" s="1"/>
  <c r="AG20" i="12"/>
  <c r="AG35" i="12" s="1"/>
  <c r="AH19" i="12"/>
  <c r="AH34" i="12" s="1"/>
  <c r="AD19" i="12"/>
  <c r="AD34" i="12" s="1"/>
  <c r="AH18" i="12"/>
  <c r="AD18" i="12"/>
  <c r="AH17" i="12"/>
  <c r="AD17" i="12"/>
  <c r="AH16" i="12"/>
  <c r="AD16" i="12"/>
  <c r="AH15" i="12"/>
  <c r="AD15" i="12"/>
  <c r="AD14" i="12"/>
  <c r="AD36" i="12" s="1"/>
  <c r="L14" i="12"/>
  <c r="AH14" i="12" s="1"/>
  <c r="AH36" i="12" s="1"/>
  <c r="K14" i="12"/>
  <c r="AH13" i="12"/>
  <c r="AD13" i="12"/>
  <c r="AH37" i="12"/>
  <c r="AD37" i="12"/>
  <c r="AH11" i="12"/>
  <c r="AD11" i="12"/>
  <c r="AH10" i="12"/>
  <c r="AD10" i="12"/>
  <c r="AH9" i="12"/>
  <c r="AD9" i="12"/>
  <c r="AH8" i="12"/>
  <c r="AD8" i="12"/>
  <c r="AH7" i="12"/>
  <c r="AD7" i="12"/>
  <c r="AH6" i="12"/>
  <c r="AD6" i="12"/>
  <c r="AG6" i="12"/>
  <c r="AD5" i="12"/>
  <c r="AH4" i="12"/>
  <c r="AD4" i="12"/>
  <c r="AD3" i="12"/>
  <c r="AD33" i="12" s="1"/>
  <c r="V3" i="12"/>
  <c r="L3" i="12"/>
  <c r="AH3" i="12" s="1"/>
  <c r="AH33" i="12" s="1"/>
  <c r="K3" i="12"/>
  <c r="AG37" i="12" l="1"/>
  <c r="AG14" i="12"/>
  <c r="AG36" i="12" s="1"/>
  <c r="K14" i="9"/>
  <c r="AG3" i="12"/>
  <c r="AG33" i="12" s="1"/>
  <c r="K3" i="9"/>
  <c r="K23" i="12"/>
  <c r="K5" i="12"/>
  <c r="AH5" i="12" s="1"/>
  <c r="K27" i="12"/>
  <c r="K27" i="9" s="1"/>
  <c r="K23" i="9" l="1"/>
  <c r="L23" i="12"/>
  <c r="AH23" i="12" s="1"/>
  <c r="AG5" i="12"/>
  <c r="K5" i="9"/>
  <c r="AG23" i="12"/>
  <c r="AG27" i="12"/>
  <c r="AD4" i="9"/>
  <c r="AH4" i="9"/>
  <c r="AD5" i="9"/>
  <c r="AH5" i="9"/>
  <c r="AD6" i="9"/>
  <c r="AH6" i="9"/>
  <c r="AD7" i="9"/>
  <c r="AH7" i="9"/>
  <c r="AD8" i="9"/>
  <c r="AH8" i="9"/>
  <c r="AD9" i="9"/>
  <c r="AH9" i="9"/>
  <c r="AD10" i="9"/>
  <c r="AH10" i="9"/>
  <c r="AD11" i="9"/>
  <c r="AH11" i="9"/>
  <c r="AD37" i="9"/>
  <c r="AH37" i="9"/>
  <c r="AD12" i="9"/>
  <c r="AG12" i="9"/>
  <c r="AH12" i="9"/>
  <c r="AD13" i="9"/>
  <c r="AH13" i="9"/>
  <c r="AD14" i="9"/>
  <c r="AD36" i="9" s="1"/>
  <c r="AD15" i="9"/>
  <c r="AH15" i="9"/>
  <c r="AD16" i="9"/>
  <c r="AH16" i="9"/>
  <c r="AD17" i="9"/>
  <c r="AH17" i="9"/>
  <c r="AD18" i="9"/>
  <c r="AH18" i="9"/>
  <c r="AD19" i="9"/>
  <c r="AD34" i="9" s="1"/>
  <c r="AH19" i="9"/>
  <c r="AH34" i="9" s="1"/>
  <c r="AD20" i="9"/>
  <c r="AD35" i="9" s="1"/>
  <c r="AH20" i="9"/>
  <c r="AH35" i="9" s="1"/>
  <c r="AD21" i="9"/>
  <c r="AG21" i="9"/>
  <c r="AH21" i="9"/>
  <c r="AD22" i="9"/>
  <c r="AH22" i="9"/>
  <c r="AD23" i="9"/>
  <c r="AH23" i="9"/>
  <c r="AD24" i="9"/>
  <c r="AH24" i="9"/>
  <c r="AD25" i="9"/>
  <c r="AH25" i="9"/>
  <c r="AD26" i="9"/>
  <c r="AH26" i="9"/>
  <c r="AD27" i="9"/>
  <c r="AH27" i="9"/>
  <c r="AD28" i="9"/>
  <c r="AH28" i="9"/>
  <c r="AD3" i="9"/>
  <c r="AD33" i="9" s="1"/>
  <c r="I24" i="10" l="1"/>
  <c r="I37" i="10" s="1"/>
  <c r="H24" i="10"/>
  <c r="H37" i="10" s="1"/>
  <c r="G24" i="10"/>
  <c r="G37" i="10" s="1"/>
  <c r="F24" i="10"/>
  <c r="F37" i="10" s="1"/>
  <c r="E24" i="10"/>
  <c r="E37" i="10" s="1"/>
  <c r="D24" i="10"/>
  <c r="D37" i="10" s="1"/>
  <c r="C24" i="10"/>
  <c r="C37" i="10" s="1"/>
  <c r="B24" i="10"/>
  <c r="B37" i="10" s="1"/>
  <c r="I23" i="10"/>
  <c r="I36" i="10" s="1"/>
  <c r="H23" i="10"/>
  <c r="H36" i="10" s="1"/>
  <c r="G23" i="10"/>
  <c r="G36" i="10" s="1"/>
  <c r="F23" i="10"/>
  <c r="F36" i="10" s="1"/>
  <c r="E23" i="10"/>
  <c r="E36" i="10" s="1"/>
  <c r="D23" i="10"/>
  <c r="D36" i="10" s="1"/>
  <c r="C23" i="10"/>
  <c r="C36" i="10" s="1"/>
  <c r="B23" i="10"/>
  <c r="B36" i="10" s="1"/>
  <c r="I22" i="10"/>
  <c r="I35" i="10" s="1"/>
  <c r="H22" i="10"/>
  <c r="H35" i="10" s="1"/>
  <c r="G22" i="10"/>
  <c r="G35" i="10" s="1"/>
  <c r="F22" i="10"/>
  <c r="F35" i="10" s="1"/>
  <c r="E22" i="10"/>
  <c r="E35" i="10" s="1"/>
  <c r="D22" i="10"/>
  <c r="D35" i="10" s="1"/>
  <c r="C22" i="10"/>
  <c r="C35" i="10" s="1"/>
  <c r="B22" i="10"/>
  <c r="B35" i="10" s="1"/>
  <c r="I21" i="10"/>
  <c r="I34" i="10" s="1"/>
  <c r="H21" i="10"/>
  <c r="H34" i="10" s="1"/>
  <c r="G21" i="10"/>
  <c r="G34" i="10" s="1"/>
  <c r="F21" i="10"/>
  <c r="F34" i="10" s="1"/>
  <c r="E21" i="10"/>
  <c r="E34" i="10" s="1"/>
  <c r="D21" i="10"/>
  <c r="D34" i="10" s="1"/>
  <c r="C21" i="10"/>
  <c r="C34" i="10" s="1"/>
  <c r="B21" i="10"/>
  <c r="B34" i="10" s="1"/>
  <c r="I20" i="10"/>
  <c r="I33" i="10" s="1"/>
  <c r="I38" i="10" s="1"/>
  <c r="I40" i="10" s="1"/>
  <c r="H20" i="10"/>
  <c r="H33" i="10" s="1"/>
  <c r="H38" i="10" s="1"/>
  <c r="H40" i="10" s="1"/>
  <c r="G20" i="10"/>
  <c r="G33" i="10" s="1"/>
  <c r="G38" i="10" s="1"/>
  <c r="G40" i="10" s="1"/>
  <c r="F20" i="10"/>
  <c r="F33" i="10" s="1"/>
  <c r="F38" i="10" s="1"/>
  <c r="F40" i="10" s="1"/>
  <c r="K13" i="12" s="1"/>
  <c r="E20" i="10"/>
  <c r="E33" i="10" s="1"/>
  <c r="E38" i="10" s="1"/>
  <c r="D20" i="10"/>
  <c r="D33" i="10" s="1"/>
  <c r="D38" i="10" s="1"/>
  <c r="D40" i="10" s="1"/>
  <c r="K26" i="12" s="1"/>
  <c r="K26" i="9" s="1"/>
  <c r="C20" i="10"/>
  <c r="C33" i="10" s="1"/>
  <c r="C38" i="10" s="1"/>
  <c r="C40" i="10" s="1"/>
  <c r="B20" i="10"/>
  <c r="B33" i="10" s="1"/>
  <c r="B38" i="10" s="1"/>
  <c r="B40" i="10" s="1"/>
  <c r="I13" i="10"/>
  <c r="H13" i="10"/>
  <c r="G13" i="10"/>
  <c r="O12" i="10" s="1"/>
  <c r="F13" i="10"/>
  <c r="N12" i="10" s="1"/>
  <c r="E13" i="10"/>
  <c r="M12" i="10" s="1"/>
  <c r="D13" i="10"/>
  <c r="L9" i="10" s="1"/>
  <c r="C13" i="10"/>
  <c r="B13" i="10"/>
  <c r="AG29" i="9"/>
  <c r="X27" i="9"/>
  <c r="V35" i="9"/>
  <c r="AG20" i="9"/>
  <c r="AG35" i="9" s="1"/>
  <c r="L14" i="9"/>
  <c r="AH14" i="9" s="1"/>
  <c r="AH36" i="9" s="1"/>
  <c r="AG14" i="9"/>
  <c r="AG36" i="9" s="1"/>
  <c r="AG37" i="9"/>
  <c r="AG6" i="9"/>
  <c r="V3" i="9"/>
  <c r="L3" i="9"/>
  <c r="AH3" i="9" s="1"/>
  <c r="AH33" i="9" s="1"/>
  <c r="AG3" i="9"/>
  <c r="AG33" i="9" s="1"/>
  <c r="E40" i="10" l="1"/>
  <c r="K19" i="12"/>
  <c r="K19" i="9" s="1"/>
  <c r="AG19" i="9" s="1"/>
  <c r="AG34" i="9" s="1"/>
  <c r="K13" i="9"/>
  <c r="AG13" i="9" s="1"/>
  <c r="AG13" i="12"/>
  <c r="L10" i="10"/>
  <c r="L8" i="10"/>
  <c r="L12" i="10"/>
  <c r="L11" i="10"/>
  <c r="K24" i="12"/>
  <c r="K10" i="12"/>
  <c r="K10" i="9" s="1"/>
  <c r="AG10" i="9" s="1"/>
  <c r="K4" i="12"/>
  <c r="K4" i="9" s="1"/>
  <c r="K25" i="12"/>
  <c r="K25" i="9" s="1"/>
  <c r="AG25" i="9" s="1"/>
  <c r="K28" i="12"/>
  <c r="K22" i="12"/>
  <c r="K18" i="12"/>
  <c r="K15" i="12"/>
  <c r="M11" i="10"/>
  <c r="M9" i="10"/>
  <c r="M10" i="10"/>
  <c r="M8" i="10"/>
  <c r="AG27" i="9"/>
  <c r="AG23" i="9"/>
  <c r="B25" i="10"/>
  <c r="F25" i="10"/>
  <c r="C25" i="10"/>
  <c r="G25" i="10"/>
  <c r="N8" i="10"/>
  <c r="N9" i="10"/>
  <c r="N10" i="10"/>
  <c r="N11" i="10"/>
  <c r="D25" i="10"/>
  <c r="H25" i="10"/>
  <c r="O8" i="10"/>
  <c r="O9" i="10"/>
  <c r="O10" i="10"/>
  <c r="O11" i="10"/>
  <c r="E25" i="10"/>
  <c r="I25" i="10"/>
  <c r="AG5" i="9"/>
  <c r="A12" i="7"/>
  <c r="A16" i="7"/>
  <c r="A17" i="7"/>
  <c r="A18" i="7"/>
  <c r="A19" i="7"/>
  <c r="A20" i="7"/>
  <c r="A24" i="7"/>
  <c r="A28" i="7"/>
  <c r="A31" i="7"/>
  <c r="A32" i="7"/>
  <c r="A33" i="7"/>
  <c r="A34" i="7"/>
  <c r="A35" i="7"/>
  <c r="A36" i="7"/>
  <c r="A39" i="7"/>
  <c r="A40" i="7"/>
  <c r="A43" i="7"/>
  <c r="A44" i="7"/>
  <c r="A48" i="7"/>
  <c r="A49" i="7"/>
  <c r="A50" i="7"/>
  <c r="A51" i="7"/>
  <c r="A54" i="7"/>
  <c r="A57" i="7"/>
  <c r="A60" i="7"/>
  <c r="A63" i="7"/>
  <c r="A64" i="7"/>
  <c r="A65" i="7"/>
  <c r="A66" i="7"/>
  <c r="A67" i="7"/>
  <c r="A68" i="7"/>
  <c r="A69" i="7"/>
  <c r="A70" i="7"/>
  <c r="A71" i="7"/>
  <c r="A72" i="7"/>
  <c r="A73" i="7"/>
  <c r="A74" i="7"/>
  <c r="A75" i="7"/>
  <c r="A76" i="7"/>
  <c r="A77" i="7"/>
  <c r="A78" i="7"/>
  <c r="A79" i="7"/>
  <c r="A8" i="7"/>
  <c r="AG4" i="9" l="1"/>
  <c r="AG19" i="12"/>
  <c r="AG34" i="12" s="1"/>
  <c r="AG18" i="12"/>
  <c r="K18" i="9"/>
  <c r="AG18" i="9" s="1"/>
  <c r="AG15" i="12"/>
  <c r="K15" i="9"/>
  <c r="AG15" i="9" s="1"/>
  <c r="AG28" i="12"/>
  <c r="K28" i="9"/>
  <c r="AG28" i="9" s="1"/>
  <c r="AG22" i="12"/>
  <c r="K22" i="9"/>
  <c r="AG22" i="9" s="1"/>
  <c r="AG24" i="12"/>
  <c r="K24" i="9"/>
  <c r="AG24" i="9" s="1"/>
  <c r="AG26" i="9"/>
  <c r="K7" i="12"/>
  <c r="K7" i="9" s="1"/>
  <c r="AG4" i="12"/>
  <c r="AG10" i="12"/>
  <c r="K16" i="12"/>
  <c r="AG25" i="12"/>
  <c r="AG26" i="12"/>
  <c r="F57" i="7"/>
  <c r="AG7" i="9" l="1"/>
  <c r="AG16" i="12"/>
  <c r="K16" i="9"/>
  <c r="AG16" i="9" s="1"/>
  <c r="AG7" i="12"/>
  <c r="K8" i="12"/>
  <c r="K8" i="9" s="1"/>
  <c r="L80" i="7"/>
  <c r="K80" i="7"/>
  <c r="I72" i="7"/>
  <c r="I71" i="7"/>
  <c r="I70" i="7"/>
  <c r="I69" i="7"/>
  <c r="I68" i="7"/>
  <c r="I67" i="7"/>
  <c r="I66" i="7"/>
  <c r="I65" i="7"/>
  <c r="I64" i="7"/>
  <c r="I63" i="7"/>
  <c r="I62" i="7"/>
  <c r="F62" i="7"/>
  <c r="C61" i="7"/>
  <c r="I59" i="7"/>
  <c r="F59" i="7"/>
  <c r="C58" i="7"/>
  <c r="A58" i="7" s="1"/>
  <c r="I56" i="7"/>
  <c r="F56" i="7"/>
  <c r="C55" i="7"/>
  <c r="I53" i="7"/>
  <c r="F53" i="7"/>
  <c r="C52" i="7"/>
  <c r="A52" i="7" s="1"/>
  <c r="I50" i="7"/>
  <c r="I49" i="7"/>
  <c r="I48" i="7"/>
  <c r="I47" i="7"/>
  <c r="F47" i="7"/>
  <c r="C46" i="7"/>
  <c r="C45" i="7"/>
  <c r="A45" i="7" s="1"/>
  <c r="I43" i="7"/>
  <c r="I42" i="7"/>
  <c r="F42" i="7"/>
  <c r="C41" i="7"/>
  <c r="I39" i="7"/>
  <c r="I37" i="7"/>
  <c r="C37" i="7"/>
  <c r="A37" i="7" s="1"/>
  <c r="I36" i="7"/>
  <c r="I35" i="7"/>
  <c r="I34" i="7"/>
  <c r="I33" i="7"/>
  <c r="F33" i="7"/>
  <c r="I30" i="7"/>
  <c r="F30" i="7"/>
  <c r="C29" i="7"/>
  <c r="I27" i="7"/>
  <c r="F27" i="7"/>
  <c r="C25" i="7"/>
  <c r="I23" i="7"/>
  <c r="F23" i="7"/>
  <c r="C21" i="7"/>
  <c r="I19" i="7"/>
  <c r="F19" i="7"/>
  <c r="I15" i="7"/>
  <c r="F15" i="7"/>
  <c r="C13" i="7"/>
  <c r="I11" i="7"/>
  <c r="F11" i="7"/>
  <c r="C9" i="7"/>
  <c r="D1" i="7"/>
  <c r="AG8" i="9" l="1"/>
  <c r="J63" i="7"/>
  <c r="J35" i="7"/>
  <c r="AG8" i="12"/>
  <c r="K9" i="9"/>
  <c r="C59" i="7"/>
  <c r="A59" i="7" s="1"/>
  <c r="A29" i="7"/>
  <c r="C30" i="7"/>
  <c r="A30" i="7" s="1"/>
  <c r="A25" i="7"/>
  <c r="C26" i="7"/>
  <c r="C10" i="7"/>
  <c r="A9" i="7"/>
  <c r="A21" i="7"/>
  <c r="C22" i="7"/>
  <c r="C47" i="7"/>
  <c r="A47" i="7" s="1"/>
  <c r="A46" i="7"/>
  <c r="J37" i="7"/>
  <c r="C14" i="7"/>
  <c r="A13" i="7"/>
  <c r="C38" i="7"/>
  <c r="A38" i="7" s="1"/>
  <c r="C62" i="7"/>
  <c r="A62" i="7" s="1"/>
  <c r="A61" i="7"/>
  <c r="C56" i="7"/>
  <c r="A56" i="7" s="1"/>
  <c r="A55" i="7"/>
  <c r="C42" i="7"/>
  <c r="A42" i="7" s="1"/>
  <c r="A41" i="7"/>
  <c r="C53" i="7"/>
  <c r="A53" i="7" s="1"/>
  <c r="J34" i="7"/>
  <c r="J36" i="7"/>
  <c r="J48" i="7"/>
  <c r="J50" i="7"/>
  <c r="J59" i="7"/>
  <c r="M59" i="7" s="1"/>
  <c r="J65" i="7"/>
  <c r="J67" i="7"/>
  <c r="J69" i="7"/>
  <c r="J71" i="7"/>
  <c r="J10" i="7"/>
  <c r="J12" i="7"/>
  <c r="J14" i="7"/>
  <c r="J19" i="7"/>
  <c r="N19" i="7" s="1"/>
  <c r="J17" i="7"/>
  <c r="J23" i="7"/>
  <c r="N23" i="7" s="1"/>
  <c r="J21" i="7"/>
  <c r="J27" i="7"/>
  <c r="N27" i="7" s="1"/>
  <c r="J25" i="7"/>
  <c r="J29" i="7"/>
  <c r="J33" i="7"/>
  <c r="M33" i="7" s="1"/>
  <c r="J31" i="7"/>
  <c r="J42" i="7"/>
  <c r="M42" i="7" s="1"/>
  <c r="J40" i="7"/>
  <c r="J46" i="7"/>
  <c r="J44" i="7"/>
  <c r="J52" i="7"/>
  <c r="J56" i="7"/>
  <c r="M56" i="7" s="1"/>
  <c r="J54" i="7"/>
  <c r="J57" i="7"/>
  <c r="J61" i="7"/>
  <c r="J11" i="7"/>
  <c r="N11" i="7" s="1"/>
  <c r="J43" i="7"/>
  <c r="J49" i="7"/>
  <c r="J64" i="7"/>
  <c r="J66" i="7"/>
  <c r="J68" i="7"/>
  <c r="J70" i="7"/>
  <c r="J72" i="7"/>
  <c r="R24" i="9" s="1"/>
  <c r="J8" i="7"/>
  <c r="J9" i="7"/>
  <c r="J15" i="7"/>
  <c r="M15" i="7" s="1"/>
  <c r="J13" i="7"/>
  <c r="J18" i="7"/>
  <c r="J16" i="7"/>
  <c r="J22" i="7"/>
  <c r="J20" i="7"/>
  <c r="J26" i="7"/>
  <c r="J24" i="7"/>
  <c r="J28" i="7"/>
  <c r="J32" i="7"/>
  <c r="J30" i="7"/>
  <c r="M30" i="7" s="1"/>
  <c r="J41" i="7"/>
  <c r="J47" i="7"/>
  <c r="N47" i="7" s="1"/>
  <c r="J45" i="7"/>
  <c r="J53" i="7"/>
  <c r="M53" i="7" s="1"/>
  <c r="J51" i="7"/>
  <c r="J55" i="7"/>
  <c r="J58" i="7"/>
  <c r="J62" i="7"/>
  <c r="N62" i="7" s="1"/>
  <c r="J60" i="7"/>
  <c r="M47" i="7"/>
  <c r="J39" i="7"/>
  <c r="AG9" i="9" l="1"/>
  <c r="N30" i="7"/>
  <c r="N42" i="7"/>
  <c r="M62" i="7"/>
  <c r="N59" i="7"/>
  <c r="M23" i="7"/>
  <c r="N56" i="7"/>
  <c r="N15" i="7"/>
  <c r="AG9" i="12"/>
  <c r="K11" i="12"/>
  <c r="K11" i="9" s="1"/>
  <c r="AG11" i="9" s="1"/>
  <c r="J38" i="7"/>
  <c r="M38" i="7" s="1"/>
  <c r="N53" i="7"/>
  <c r="N33" i="7"/>
  <c r="M27" i="7"/>
  <c r="M19" i="7"/>
  <c r="M11" i="7"/>
  <c r="C15" i="7"/>
  <c r="A15" i="7" s="1"/>
  <c r="A14" i="7"/>
  <c r="C23" i="7"/>
  <c r="A23" i="7" s="1"/>
  <c r="A22" i="7"/>
  <c r="C27" i="7"/>
  <c r="A27" i="7" s="1"/>
  <c r="A26" i="7"/>
  <c r="C11" i="7"/>
  <c r="A11" i="7" s="1"/>
  <c r="A10" i="7"/>
  <c r="N38" i="7"/>
  <c r="M72" i="7"/>
  <c r="N72" i="7"/>
  <c r="M68" i="7"/>
  <c r="N68" i="7"/>
  <c r="M64" i="7"/>
  <c r="N64" i="7"/>
  <c r="M43" i="7"/>
  <c r="N43" i="7"/>
  <c r="M70" i="7"/>
  <c r="N70" i="7"/>
  <c r="M66" i="7"/>
  <c r="N66" i="7"/>
  <c r="M49" i="7"/>
  <c r="N49" i="7"/>
  <c r="M35" i="7"/>
  <c r="N35" i="7"/>
  <c r="M69" i="7"/>
  <c r="N69" i="7"/>
  <c r="M65" i="7"/>
  <c r="N65" i="7"/>
  <c r="M48" i="7"/>
  <c r="N48" i="7"/>
  <c r="M34" i="7"/>
  <c r="N34" i="7"/>
  <c r="M71" i="7"/>
  <c r="N71" i="7"/>
  <c r="M67" i="7"/>
  <c r="N67" i="7"/>
  <c r="M63" i="7"/>
  <c r="N63" i="7"/>
  <c r="M50" i="7"/>
  <c r="N50" i="7"/>
  <c r="N39" i="7"/>
  <c r="M39" i="7"/>
  <c r="R27" i="12" l="1"/>
  <c r="R19" i="12"/>
  <c r="R20" i="12"/>
  <c r="T8" i="9"/>
  <c r="S11" i="12"/>
  <c r="S26" i="12"/>
  <c r="R24" i="12"/>
  <c r="S28" i="12"/>
  <c r="T28" i="12"/>
  <c r="T24" i="12"/>
  <c r="T5" i="12"/>
  <c r="R21" i="12"/>
  <c r="R11" i="12"/>
  <c r="R32" i="12"/>
  <c r="R15" i="12"/>
  <c r="R7" i="12"/>
  <c r="T3" i="12"/>
  <c r="T10" i="12"/>
  <c r="S25" i="12"/>
  <c r="J80" i="7"/>
  <c r="R35" i="9"/>
  <c r="S34" i="12"/>
  <c r="R17" i="12"/>
  <c r="R5" i="12"/>
  <c r="S32" i="12"/>
  <c r="R23" i="12"/>
  <c r="R3" i="12"/>
  <c r="T19" i="12"/>
  <c r="R6" i="12"/>
  <c r="T22" i="12"/>
  <c r="T15" i="12"/>
  <c r="T20" i="12"/>
  <c r="S8" i="12"/>
  <c r="T29" i="12"/>
  <c r="T8" i="12"/>
  <c r="S20" i="12"/>
  <c r="T4" i="12"/>
  <c r="S5" i="12"/>
  <c r="T32" i="12"/>
  <c r="R13" i="12"/>
  <c r="R14" i="12"/>
  <c r="T11" i="12"/>
  <c r="R10" i="12"/>
  <c r="S22" i="12"/>
  <c r="R27" i="9"/>
  <c r="R9" i="12"/>
  <c r="R26" i="12"/>
  <c r="S35" i="12"/>
  <c r="R4" i="12"/>
  <c r="R29" i="12"/>
  <c r="R28" i="12"/>
  <c r="R36" i="12"/>
  <c r="S21" i="12"/>
  <c r="R40" i="12"/>
  <c r="S3" i="12"/>
  <c r="S4" i="12"/>
  <c r="R33" i="12"/>
  <c r="S33" i="12"/>
  <c r="T26" i="12"/>
  <c r="S7" i="12"/>
  <c r="T34" i="12"/>
  <c r="T36" i="12"/>
  <c r="T25" i="12"/>
  <c r="S23" i="12"/>
  <c r="S40" i="12"/>
  <c r="S9" i="12"/>
  <c r="T7" i="12"/>
  <c r="T23" i="12"/>
  <c r="T35" i="12"/>
  <c r="T16" i="12"/>
  <c r="R16" i="12"/>
  <c r="R35" i="12"/>
  <c r="R25" i="12"/>
  <c r="S17" i="12"/>
  <c r="R17" i="9"/>
  <c r="R33" i="9"/>
  <c r="R34" i="12"/>
  <c r="R22" i="12"/>
  <c r="AG11" i="12"/>
  <c r="K17" i="12"/>
  <c r="S16" i="12"/>
  <c r="S15" i="12"/>
  <c r="S19" i="12"/>
  <c r="T14" i="12"/>
  <c r="T9" i="12"/>
  <c r="T17" i="12"/>
  <c r="S6" i="12"/>
  <c r="T6" i="12"/>
  <c r="T33" i="12"/>
  <c r="T13" i="12"/>
  <c r="S27" i="12"/>
  <c r="S24" i="12"/>
  <c r="S10" i="12"/>
  <c r="S29" i="12"/>
  <c r="R8" i="12"/>
  <c r="T21" i="12"/>
  <c r="S13" i="12"/>
  <c r="S14" i="12"/>
  <c r="T40" i="12"/>
  <c r="T27" i="12"/>
  <c r="T18" i="12"/>
  <c r="U18" i="12" s="1"/>
  <c r="S36" i="12"/>
  <c r="T32" i="9"/>
  <c r="R10" i="9"/>
  <c r="T28" i="9"/>
  <c r="T18" i="9"/>
  <c r="S15" i="9"/>
  <c r="T14" i="9"/>
  <c r="R11" i="9"/>
  <c r="R5" i="9"/>
  <c r="R26" i="9"/>
  <c r="R12" i="9"/>
  <c r="R29" i="9"/>
  <c r="R25" i="9"/>
  <c r="S6" i="9"/>
  <c r="R21" i="9"/>
  <c r="T33" i="9"/>
  <c r="T35" i="9"/>
  <c r="T24" i="9"/>
  <c r="T23" i="9"/>
  <c r="S3" i="9"/>
  <c r="S16" i="9"/>
  <c r="R4" i="9"/>
  <c r="T25" i="9"/>
  <c r="T20" i="9"/>
  <c r="S32" i="9"/>
  <c r="S35" i="9"/>
  <c r="T3" i="9"/>
  <c r="T22" i="9"/>
  <c r="T15" i="9"/>
  <c r="S5" i="9"/>
  <c r="R32" i="9"/>
  <c r="S26" i="9"/>
  <c r="T6" i="9"/>
  <c r="R19" i="9"/>
  <c r="R23" i="9"/>
  <c r="T34" i="9"/>
  <c r="R8" i="9"/>
  <c r="R9" i="9"/>
  <c r="S8" i="9"/>
  <c r="T26" i="9"/>
  <c r="S19" i="9"/>
  <c r="S27" i="9"/>
  <c r="R13" i="9"/>
  <c r="T13" i="9"/>
  <c r="T11" i="9"/>
  <c r="T40" i="9"/>
  <c r="S34" i="9"/>
  <c r="R40" i="9"/>
  <c r="S29" i="9"/>
  <c r="T27" i="9"/>
  <c r="S25" i="9"/>
  <c r="R18" i="9"/>
  <c r="S17" i="9"/>
  <c r="T36" i="9"/>
  <c r="S14" i="9"/>
  <c r="T21" i="9"/>
  <c r="S4" i="9"/>
  <c r="T17" i="9"/>
  <c r="R22" i="9"/>
  <c r="S18" i="9"/>
  <c r="S28" i="9"/>
  <c r="T16" i="9"/>
  <c r="R16" i="9"/>
  <c r="S13" i="9"/>
  <c r="S20" i="9"/>
  <c r="T12" i="9"/>
  <c r="S23" i="9"/>
  <c r="T19" i="9"/>
  <c r="S22" i="9"/>
  <c r="S40" i="9"/>
  <c r="R15" i="9"/>
  <c r="R3" i="9"/>
  <c r="S24" i="9"/>
  <c r="R28" i="9"/>
  <c r="R34" i="9"/>
  <c r="S9" i="9"/>
  <c r="S21" i="9"/>
  <c r="S12" i="9"/>
  <c r="S11" i="9"/>
  <c r="S10" i="9"/>
  <c r="T10" i="9"/>
  <c r="T29" i="9"/>
  <c r="T9" i="9"/>
  <c r="R6" i="9"/>
  <c r="S33" i="9"/>
  <c r="T7" i="9"/>
  <c r="R36" i="9"/>
  <c r="S36" i="9"/>
  <c r="T4" i="9"/>
  <c r="R20" i="9"/>
  <c r="T5" i="9"/>
  <c r="M80" i="7"/>
  <c r="N80" i="7"/>
  <c r="K29" i="5"/>
  <c r="M29" i="5" s="1"/>
  <c r="K23" i="5"/>
  <c r="M23" i="5" s="1"/>
  <c r="K28" i="5"/>
  <c r="M28" i="5" s="1"/>
  <c r="K22" i="5"/>
  <c r="M22" i="5" s="1"/>
  <c r="K27" i="5"/>
  <c r="K21" i="5"/>
  <c r="B12" i="5"/>
  <c r="B11" i="5"/>
  <c r="J10" i="5"/>
  <c r="L10" i="5" s="1"/>
  <c r="L9" i="5"/>
  <c r="L8" i="5"/>
  <c r="AG17" i="12" l="1"/>
  <c r="K17" i="9"/>
  <c r="AG17" i="9" s="1"/>
  <c r="AM24" i="9"/>
  <c r="AS24" i="9" s="1"/>
  <c r="AT24" i="9" s="1"/>
  <c r="AM6" i="9"/>
  <c r="AX6" i="9" s="1"/>
  <c r="AS6" i="9"/>
  <c r="AT6" i="9" s="1"/>
  <c r="AS8" i="9"/>
  <c r="AT8" i="9" s="1"/>
  <c r="AS10" i="9"/>
  <c r="AT10" i="9" s="1"/>
  <c r="AL6" i="9"/>
  <c r="AJ6" i="9"/>
  <c r="AO6" i="9"/>
  <c r="AJ22" i="9"/>
  <c r="AL22" i="9" s="1"/>
  <c r="AM22" i="9"/>
  <c r="AO22" i="9" s="1"/>
  <c r="AJ13" i="9"/>
  <c r="AL13" i="9" s="1"/>
  <c r="AM13" i="9"/>
  <c r="AS13" i="9" s="1"/>
  <c r="AT13" i="9" s="1"/>
  <c r="AM25" i="9"/>
  <c r="AO25" i="9" s="1"/>
  <c r="AJ25" i="9"/>
  <c r="AL25" i="9" s="1"/>
  <c r="AM26" i="9"/>
  <c r="AO26" i="9" s="1"/>
  <c r="AJ26" i="9"/>
  <c r="AL26" i="9" s="1"/>
  <c r="AM11" i="9"/>
  <c r="AJ11" i="9"/>
  <c r="AL11" i="9" s="1"/>
  <c r="AJ20" i="9"/>
  <c r="AL20" i="9" s="1"/>
  <c r="AM20" i="9"/>
  <c r="AO20" i="9" s="1"/>
  <c r="AM3" i="9"/>
  <c r="AS3" i="9" s="1"/>
  <c r="AT3" i="9" s="1"/>
  <c r="AJ3" i="9"/>
  <c r="AL3" i="9" s="1"/>
  <c r="AJ9" i="9"/>
  <c r="AL9" i="9" s="1"/>
  <c r="AM9" i="9"/>
  <c r="AJ23" i="9"/>
  <c r="AL23" i="9" s="1"/>
  <c r="AM23" i="9"/>
  <c r="AO23" i="9" s="1"/>
  <c r="AM29" i="9"/>
  <c r="AS29" i="9" s="1"/>
  <c r="AT29" i="9" s="1"/>
  <c r="AJ29" i="9"/>
  <c r="AL29" i="9" s="1"/>
  <c r="AM7" i="9"/>
  <c r="AJ7" i="9"/>
  <c r="AL7" i="9" s="1"/>
  <c r="AL10" i="9"/>
  <c r="AJ10" i="9"/>
  <c r="AO10" i="9"/>
  <c r="AM10" i="9"/>
  <c r="AX10" i="9" s="1"/>
  <c r="AM27" i="9"/>
  <c r="AO27" i="9" s="1"/>
  <c r="AJ27" i="9"/>
  <c r="AL27" i="9" s="1"/>
  <c r="AM15" i="9"/>
  <c r="AJ15" i="9"/>
  <c r="AL15" i="9" s="1"/>
  <c r="AJ24" i="9"/>
  <c r="AL24" i="9" s="1"/>
  <c r="AJ28" i="9"/>
  <c r="AL28" i="9" s="1"/>
  <c r="AM28" i="9"/>
  <c r="AO28" i="9" s="1"/>
  <c r="AJ19" i="9"/>
  <c r="AL19" i="9" s="1"/>
  <c r="AM19" i="9"/>
  <c r="AS19" i="9" s="1"/>
  <c r="AT19" i="9" s="1"/>
  <c r="AJ4" i="9"/>
  <c r="AL4" i="9" s="1"/>
  <c r="AM4" i="9"/>
  <c r="AM21" i="9"/>
  <c r="AO21" i="9" s="1"/>
  <c r="AJ21" i="9"/>
  <c r="AL21" i="9" s="1"/>
  <c r="AJ12" i="9"/>
  <c r="AL12" i="9" s="1"/>
  <c r="AM12" i="9"/>
  <c r="AM5" i="9"/>
  <c r="AS5" i="9" s="1"/>
  <c r="AT5" i="9" s="1"/>
  <c r="AJ5" i="9"/>
  <c r="AL5" i="9" s="1"/>
  <c r="AM17" i="9"/>
  <c r="AO17" i="9" s="1"/>
  <c r="AJ17" i="9"/>
  <c r="AL17" i="9" s="1"/>
  <c r="AM14" i="9"/>
  <c r="AO14" i="9" s="1"/>
  <c r="AJ14" i="9"/>
  <c r="AL14" i="9" s="1"/>
  <c r="AJ16" i="9"/>
  <c r="AL16" i="9" s="1"/>
  <c r="AM16" i="9"/>
  <c r="AS16" i="9" s="1"/>
  <c r="AT16" i="9" s="1"/>
  <c r="AM18" i="9"/>
  <c r="AO18" i="9" s="1"/>
  <c r="AJ18" i="9"/>
  <c r="AL18" i="9" s="1"/>
  <c r="AO8" i="9"/>
  <c r="AL8" i="9"/>
  <c r="AM8" i="9"/>
  <c r="AX8" i="9" s="1"/>
  <c r="AJ8" i="9"/>
  <c r="K24" i="5"/>
  <c r="I13" i="5" s="1"/>
  <c r="K30" i="5"/>
  <c r="B13" i="5" s="1"/>
  <c r="M27" i="5"/>
  <c r="M30" i="5" s="1"/>
  <c r="G12" i="12" s="1"/>
  <c r="J7" i="5"/>
  <c r="L7" i="5" s="1"/>
  <c r="M21" i="5"/>
  <c r="M24" i="5" s="1"/>
  <c r="J12" i="12" s="1"/>
  <c r="I30" i="5"/>
  <c r="J6" i="5"/>
  <c r="AO24" i="9" l="1"/>
  <c r="G30" i="12"/>
  <c r="G30" i="9"/>
  <c r="J30" i="12"/>
  <c r="J30" i="9"/>
  <c r="AO29" i="9"/>
  <c r="AO19" i="9"/>
  <c r="AS20" i="9"/>
  <c r="AT20" i="9" s="1"/>
  <c r="AS18" i="9"/>
  <c r="AT18" i="9" s="1"/>
  <c r="AS25" i="9"/>
  <c r="AT25" i="9" s="1"/>
  <c r="AO12" i="9"/>
  <c r="AX12" i="9"/>
  <c r="AO4" i="9"/>
  <c r="AX4" i="9"/>
  <c r="AO15" i="9"/>
  <c r="AX15" i="9"/>
  <c r="AO9" i="9"/>
  <c r="AX9" i="9"/>
  <c r="AO3" i="9"/>
  <c r="AO11" i="9"/>
  <c r="AX11" i="9"/>
  <c r="AS27" i="9"/>
  <c r="AT27" i="9" s="1"/>
  <c r="AS11" i="9"/>
  <c r="AT11" i="9" s="1"/>
  <c r="AS17" i="9"/>
  <c r="AT17" i="9" s="1"/>
  <c r="AO16" i="9"/>
  <c r="AX16" i="9"/>
  <c r="AS23" i="9"/>
  <c r="AT23" i="9" s="1"/>
  <c r="AS15" i="9"/>
  <c r="AT15" i="9" s="1"/>
  <c r="AS26" i="9"/>
  <c r="AT26" i="9" s="1"/>
  <c r="AS12" i="9"/>
  <c r="AT12" i="9" s="1"/>
  <c r="AS4" i="9"/>
  <c r="AT4" i="9" s="1"/>
  <c r="AO5" i="9"/>
  <c r="AX5" i="9"/>
  <c r="AO13" i="9"/>
  <c r="AX13" i="9"/>
  <c r="AS9" i="9"/>
  <c r="AT9" i="9" s="1"/>
  <c r="AS28" i="9"/>
  <c r="AT28" i="9" s="1"/>
  <c r="AS21" i="9"/>
  <c r="AT21" i="9" s="1"/>
  <c r="AS22" i="9"/>
  <c r="AT22" i="9" s="1"/>
  <c r="AX14" i="9"/>
  <c r="AS14" i="9"/>
  <c r="AT14" i="9" s="1"/>
  <c r="AX7" i="9"/>
  <c r="AS7" i="9"/>
  <c r="AT7" i="9" s="1"/>
  <c r="AO7" i="9"/>
  <c r="K11" i="5"/>
  <c r="I19" i="5" s="1"/>
  <c r="I12" i="12" s="1"/>
  <c r="J28" i="12"/>
  <c r="J18" i="12"/>
  <c r="J14" i="12"/>
  <c r="J8" i="12"/>
  <c r="J10" i="12"/>
  <c r="J25" i="12"/>
  <c r="J9" i="12"/>
  <c r="J5" i="12"/>
  <c r="J3" i="12"/>
  <c r="J22" i="12"/>
  <c r="J19" i="12"/>
  <c r="J13" i="12"/>
  <c r="J40" i="12"/>
  <c r="J23" i="12"/>
  <c r="J35" i="12"/>
  <c r="J34" i="12"/>
  <c r="J33" i="12"/>
  <c r="J32" i="12"/>
  <c r="J26" i="12"/>
  <c r="J15" i="12"/>
  <c r="J11" i="12"/>
  <c r="J6" i="12"/>
  <c r="J36" i="12"/>
  <c r="J20" i="12"/>
  <c r="J27" i="12"/>
  <c r="J16" i="12"/>
  <c r="J24" i="12"/>
  <c r="J21" i="12"/>
  <c r="J17" i="12"/>
  <c r="J7" i="12"/>
  <c r="J4" i="12"/>
  <c r="J29" i="12"/>
  <c r="G15" i="12"/>
  <c r="G16" i="12"/>
  <c r="G17" i="12"/>
  <c r="G40" i="12"/>
  <c r="G33" i="12"/>
  <c r="G28" i="12"/>
  <c r="G23" i="12"/>
  <c r="G21" i="12"/>
  <c r="G7" i="12"/>
  <c r="G5" i="12"/>
  <c r="G14" i="12"/>
  <c r="G29" i="12"/>
  <c r="G19" i="12"/>
  <c r="G11" i="12"/>
  <c r="G6" i="12"/>
  <c r="G34" i="12"/>
  <c r="G26" i="12"/>
  <c r="G8" i="12"/>
  <c r="G35" i="12"/>
  <c r="G22" i="12"/>
  <c r="G9" i="12"/>
  <c r="G27" i="12"/>
  <c r="G20" i="12"/>
  <c r="G4" i="12"/>
  <c r="G10" i="12"/>
  <c r="G3" i="12"/>
  <c r="G24" i="12"/>
  <c r="G36" i="12"/>
  <c r="G32" i="12"/>
  <c r="G25" i="12"/>
  <c r="G18" i="12"/>
  <c r="G13" i="12"/>
  <c r="J40" i="9"/>
  <c r="J28" i="9"/>
  <c r="J32" i="9"/>
  <c r="J23" i="9"/>
  <c r="J20" i="9"/>
  <c r="J16" i="9"/>
  <c r="J14" i="9"/>
  <c r="J13" i="9"/>
  <c r="J8" i="9"/>
  <c r="J5" i="9"/>
  <c r="J21" i="9"/>
  <c r="J35" i="9"/>
  <c r="J26" i="9"/>
  <c r="J22" i="9"/>
  <c r="J19" i="9"/>
  <c r="J15" i="9"/>
  <c r="J12" i="9"/>
  <c r="J11" i="9"/>
  <c r="J7" i="9"/>
  <c r="J4" i="9"/>
  <c r="J3" i="9"/>
  <c r="J10" i="9"/>
  <c r="J29" i="9"/>
  <c r="J36" i="9"/>
  <c r="J33" i="9"/>
  <c r="J24" i="9"/>
  <c r="J17" i="9"/>
  <c r="J9" i="9"/>
  <c r="J6" i="9"/>
  <c r="J27" i="9"/>
  <c r="J34" i="9"/>
  <c r="J25" i="9"/>
  <c r="J18" i="9"/>
  <c r="G35" i="9"/>
  <c r="G26" i="9"/>
  <c r="G22" i="9"/>
  <c r="G19" i="9"/>
  <c r="G15" i="9"/>
  <c r="G12" i="9"/>
  <c r="G11" i="9"/>
  <c r="G7" i="9"/>
  <c r="G4" i="9"/>
  <c r="G29" i="9"/>
  <c r="G36" i="9"/>
  <c r="G24" i="9"/>
  <c r="G17" i="9"/>
  <c r="G9" i="9"/>
  <c r="G6" i="9"/>
  <c r="G27" i="9"/>
  <c r="G34" i="9"/>
  <c r="G25" i="9"/>
  <c r="G21" i="9"/>
  <c r="G18" i="9"/>
  <c r="G10" i="9"/>
  <c r="G33" i="9"/>
  <c r="G40" i="9"/>
  <c r="G28" i="9"/>
  <c r="G32" i="9"/>
  <c r="G23" i="9"/>
  <c r="G20" i="9"/>
  <c r="G16" i="9"/>
  <c r="G14" i="9"/>
  <c r="G13" i="9"/>
  <c r="G8" i="9"/>
  <c r="G5" i="9"/>
  <c r="G3" i="9"/>
  <c r="J13" i="5"/>
  <c r="L13" i="5" s="1"/>
  <c r="C13" i="5"/>
  <c r="L6" i="5"/>
  <c r="I30" i="9" l="1"/>
  <c r="F30" i="13" s="1"/>
  <c r="F4" i="14" s="1"/>
  <c r="I30" i="12"/>
  <c r="I36" i="12"/>
  <c r="I33" i="12"/>
  <c r="I29" i="12"/>
  <c r="I27" i="12"/>
  <c r="I25" i="12"/>
  <c r="I23" i="12"/>
  <c r="I14" i="12"/>
  <c r="I13" i="12"/>
  <c r="I10" i="12"/>
  <c r="I3" i="12"/>
  <c r="I40" i="12"/>
  <c r="I15" i="12"/>
  <c r="I8" i="12"/>
  <c r="I7" i="12"/>
  <c r="I4" i="12"/>
  <c r="I35" i="12"/>
  <c r="I32" i="12"/>
  <c r="I21" i="12"/>
  <c r="I20" i="12"/>
  <c r="I19" i="12"/>
  <c r="I18" i="12"/>
  <c r="I28" i="12"/>
  <c r="I26" i="12"/>
  <c r="I24" i="12"/>
  <c r="I22" i="12"/>
  <c r="I17" i="12"/>
  <c r="I11" i="12"/>
  <c r="I34" i="12"/>
  <c r="I16" i="12"/>
  <c r="I9" i="12"/>
  <c r="I6" i="12"/>
  <c r="I5" i="12"/>
  <c r="E13" i="5"/>
  <c r="I40" i="9"/>
  <c r="I28" i="9"/>
  <c r="F28" i="13" s="1"/>
  <c r="F10" i="14" s="1"/>
  <c r="I27" i="9"/>
  <c r="F27" i="13" s="1"/>
  <c r="F8" i="14" s="1"/>
  <c r="I32" i="9"/>
  <c r="I23" i="9"/>
  <c r="P23" i="9" s="1"/>
  <c r="I18" i="9"/>
  <c r="F18" i="13" s="1"/>
  <c r="F15" i="14" s="1"/>
  <c r="I10" i="9"/>
  <c r="F10" i="13" s="1"/>
  <c r="F25" i="14" s="1"/>
  <c r="I5" i="9"/>
  <c r="F5" i="13" s="1"/>
  <c r="F6" i="14" s="1"/>
  <c r="I11" i="9"/>
  <c r="F11" i="13" s="1"/>
  <c r="F26" i="14" s="1"/>
  <c r="I7" i="9"/>
  <c r="F7" i="13" s="1"/>
  <c r="F9" i="14" s="1"/>
  <c r="I29" i="9"/>
  <c r="F29" i="13" s="1"/>
  <c r="I33" i="9"/>
  <c r="I24" i="9"/>
  <c r="P24" i="9" s="1"/>
  <c r="I19" i="9"/>
  <c r="F19" i="13" s="1"/>
  <c r="F18" i="14" s="1"/>
  <c r="I15" i="9"/>
  <c r="F15" i="13" s="1"/>
  <c r="F3" i="14" s="1"/>
  <c r="I12" i="9"/>
  <c r="F12" i="13" s="1"/>
  <c r="I6" i="9"/>
  <c r="F6" i="13" s="1"/>
  <c r="F23" i="14" s="1"/>
  <c r="I3" i="9"/>
  <c r="F3" i="13" s="1"/>
  <c r="I34" i="9"/>
  <c r="I26" i="9"/>
  <c r="P26" i="9" s="1"/>
  <c r="I16" i="9"/>
  <c r="F16" i="13" s="1"/>
  <c r="F11" i="14" s="1"/>
  <c r="I13" i="9"/>
  <c r="F13" i="13" s="1"/>
  <c r="F16" i="14" s="1"/>
  <c r="I8" i="9"/>
  <c r="F8" i="13" s="1"/>
  <c r="F22" i="14" s="1"/>
  <c r="I4" i="9"/>
  <c r="F4" i="13" s="1"/>
  <c r="F5" i="14" s="1"/>
  <c r="I35" i="9"/>
  <c r="I25" i="9"/>
  <c r="P25" i="9" s="1"/>
  <c r="I36" i="9"/>
  <c r="I21" i="9"/>
  <c r="P21" i="9" s="1"/>
  <c r="I17" i="9"/>
  <c r="F17" i="13" s="1"/>
  <c r="F14" i="14" s="1"/>
  <c r="I9" i="9"/>
  <c r="F9" i="13" s="1"/>
  <c r="F12" i="14" s="1"/>
  <c r="I22" i="9"/>
  <c r="P22" i="9" s="1"/>
  <c r="I20" i="9"/>
  <c r="P20" i="9" s="1"/>
  <c r="I14" i="9"/>
  <c r="F14" i="13" s="1"/>
  <c r="F29" i="14" s="1"/>
  <c r="F2" i="14" l="1"/>
  <c r="C2" i="14" s="1"/>
  <c r="E29" i="13"/>
  <c r="E3" i="13"/>
  <c r="F7" i="14"/>
  <c r="F13" i="14"/>
  <c r="C13" i="14" s="1"/>
  <c r="N30" i="13"/>
  <c r="R30" i="13" s="1"/>
  <c r="E30" i="13"/>
  <c r="C4" i="14"/>
  <c r="C12" i="14"/>
  <c r="E9" i="13"/>
  <c r="C22" i="14"/>
  <c r="E8" i="13"/>
  <c r="C11" i="14"/>
  <c r="E16" i="13"/>
  <c r="C23" i="14"/>
  <c r="E6" i="13"/>
  <c r="C3" i="14"/>
  <c r="E15" i="13"/>
  <c r="C26" i="14"/>
  <c r="E11" i="13"/>
  <c r="C25" i="14"/>
  <c r="E10" i="13"/>
  <c r="C8" i="14"/>
  <c r="E27" i="13"/>
  <c r="E14" i="13"/>
  <c r="C29" i="14"/>
  <c r="C14" i="14"/>
  <c r="E17" i="13"/>
  <c r="C5" i="14"/>
  <c r="E4" i="13"/>
  <c r="C16" i="14"/>
  <c r="E13" i="13"/>
  <c r="C7" i="14"/>
  <c r="E12" i="13"/>
  <c r="C18" i="14"/>
  <c r="E19" i="13"/>
  <c r="C9" i="14"/>
  <c r="E7" i="13"/>
  <c r="C6" i="14"/>
  <c r="E5" i="13"/>
  <c r="C15" i="14"/>
  <c r="E18" i="13"/>
  <c r="C10" i="14"/>
  <c r="E28" i="13"/>
  <c r="N6" i="13"/>
  <c r="R6" i="13" s="1"/>
  <c r="N3" i="13"/>
  <c r="N17" i="13"/>
  <c r="R17" i="13" s="1"/>
  <c r="N13" i="13"/>
  <c r="R13" i="13" s="1"/>
  <c r="N19" i="13"/>
  <c r="R19" i="13" s="1"/>
  <c r="N18" i="13"/>
  <c r="R18" i="13" s="1"/>
  <c r="N9" i="13"/>
  <c r="N8" i="13"/>
  <c r="N15" i="13"/>
  <c r="R15" i="13" s="1"/>
  <c r="N10" i="13"/>
  <c r="R10" i="13" s="1"/>
  <c r="N4" i="13"/>
  <c r="R4" i="13" s="1"/>
  <c r="N12" i="13"/>
  <c r="N5" i="13"/>
  <c r="R5" i="13" s="1"/>
  <c r="N11" i="13"/>
  <c r="R11" i="13" s="1"/>
  <c r="N14" i="13"/>
  <c r="R14" i="13" s="1"/>
  <c r="N7" i="13"/>
  <c r="R7" i="13" s="1"/>
  <c r="N28" i="13"/>
  <c r="R28" i="13" s="1"/>
  <c r="N29" i="13"/>
  <c r="R29" i="13" s="1"/>
  <c r="N27" i="13"/>
  <c r="R27" i="13" s="1"/>
  <c r="N16" i="13"/>
  <c r="R16" i="13" s="1"/>
  <c r="F25" i="13"/>
  <c r="F17" i="14" s="1"/>
  <c r="F23" i="13"/>
  <c r="F24" i="14" s="1"/>
  <c r="F24" i="13"/>
  <c r="F28" i="14" s="1"/>
  <c r="F21" i="13"/>
  <c r="F20" i="14" s="1"/>
  <c r="F20" i="13"/>
  <c r="F19" i="14" s="1"/>
  <c r="R8" i="13"/>
  <c r="F26" i="13"/>
  <c r="F27" i="14" s="1"/>
  <c r="F22" i="13"/>
  <c r="F21" i="14" s="1"/>
  <c r="P13" i="9"/>
  <c r="P16" i="9"/>
  <c r="P19" i="9"/>
  <c r="P17" i="9"/>
  <c r="P18" i="9"/>
  <c r="P15" i="9"/>
  <c r="P6" i="9"/>
  <c r="P3" i="9"/>
  <c r="P9" i="9"/>
  <c r="P11" i="9"/>
  <c r="P12" i="9"/>
  <c r="P8" i="9"/>
  <c r="P10" i="9"/>
  <c r="P14" i="9"/>
  <c r="P4" i="9"/>
  <c r="P7" i="9"/>
  <c r="P5" i="9"/>
  <c r="R12" i="13" l="1"/>
  <c r="C27" i="14"/>
  <c r="E26" i="13"/>
  <c r="C19" i="14"/>
  <c r="E20" i="13"/>
  <c r="C28" i="14"/>
  <c r="E24" i="13"/>
  <c r="C17" i="14"/>
  <c r="E25" i="13"/>
  <c r="C21" i="14"/>
  <c r="E22" i="13"/>
  <c r="R9" i="13"/>
  <c r="C20" i="14"/>
  <c r="E21" i="13"/>
  <c r="C24" i="14"/>
  <c r="E23" i="13"/>
  <c r="R3" i="13"/>
  <c r="N26" i="13"/>
  <c r="R26" i="13" s="1"/>
  <c r="N23" i="13"/>
  <c r="R23" i="13" s="1"/>
  <c r="N22" i="13"/>
  <c r="R22" i="13" s="1"/>
  <c r="N24" i="13"/>
  <c r="R24" i="13" s="1"/>
  <c r="N21" i="13"/>
  <c r="R21" i="13" s="1"/>
  <c r="N20" i="13"/>
  <c r="R20" i="13" s="1"/>
  <c r="N25" i="13"/>
  <c r="R25" i="13" s="1"/>
  <c r="AE37" i="9" l="1"/>
  <c r="AF37" i="9"/>
  <c r="AE37" i="12"/>
  <c r="AF37" i="12"/>
  <c r="AI37" i="12" l="1"/>
  <c r="AI37" i="9"/>
  <c r="B9" i="5" l="1"/>
  <c r="C9" i="5" s="1"/>
  <c r="E9" i="5" s="1"/>
  <c r="B10" i="5"/>
  <c r="C10" i="5" s="1"/>
  <c r="E10" i="5" s="1"/>
  <c r="B6" i="5" l="1"/>
  <c r="B7" i="5"/>
  <c r="C7" i="5" s="1"/>
  <c r="E7" i="5" s="1"/>
  <c r="B8" i="5"/>
  <c r="E8" i="5" s="1"/>
  <c r="C6" i="5" l="1"/>
  <c r="E6" i="5" s="1"/>
  <c r="D11" i="5" l="1"/>
  <c r="E19" i="5" s="1"/>
  <c r="H12" i="12" l="1"/>
  <c r="F20" i="5"/>
  <c r="H30" i="9"/>
  <c r="H32" i="12"/>
  <c r="H17" i="9"/>
  <c r="H12" i="9"/>
  <c r="H23" i="12"/>
  <c r="H7" i="12"/>
  <c r="H28" i="9"/>
  <c r="H8" i="12"/>
  <c r="H40" i="12"/>
  <c r="H26" i="9"/>
  <c r="H15" i="9"/>
  <c r="H14" i="9"/>
  <c r="H21" i="12"/>
  <c r="H3" i="12"/>
  <c r="H35" i="9"/>
  <c r="H25" i="9"/>
  <c r="H20" i="9"/>
  <c r="H28" i="12"/>
  <c r="H16" i="12"/>
  <c r="H5" i="9"/>
  <c r="H3" i="9"/>
  <c r="H33" i="12"/>
  <c r="H6" i="12"/>
  <c r="H13" i="12"/>
  <c r="H18" i="9"/>
  <c r="H15" i="12"/>
  <c r="H25" i="12"/>
  <c r="H4" i="9"/>
  <c r="H11" i="9"/>
  <c r="H36" i="12"/>
  <c r="H27" i="12"/>
  <c r="H9" i="9"/>
  <c r="H7" i="9"/>
  <c r="H30" i="12"/>
  <c r="H19" i="12"/>
  <c r="H29" i="12"/>
  <c r="H27" i="9"/>
  <c r="H8" i="9"/>
  <c r="H35" i="12"/>
  <c r="H22" i="9"/>
  <c r="H13" i="9"/>
  <c r="H22" i="12"/>
  <c r="H9" i="12"/>
  <c r="H40" i="9"/>
  <c r="H16" i="9"/>
  <c r="H19" i="9"/>
  <c r="H24" i="12"/>
  <c r="H11" i="12"/>
  <c r="H29" i="9"/>
  <c r="H34" i="9"/>
  <c r="H26" i="12"/>
  <c r="H4" i="12"/>
  <c r="H36" i="9"/>
  <c r="H33" i="9"/>
  <c r="H24" i="9"/>
  <c r="H5" i="12"/>
  <c r="H20" i="12"/>
  <c r="H10" i="9"/>
  <c r="H34" i="12"/>
  <c r="H10" i="12"/>
  <c r="H14" i="12"/>
  <c r="H23" i="9"/>
  <c r="H21" i="9"/>
  <c r="H17" i="12"/>
  <c r="H18" i="12"/>
  <c r="H32" i="9"/>
  <c r="H6" i="9"/>
  <c r="G6" i="13" l="1"/>
  <c r="G21" i="13"/>
  <c r="G24" i="13"/>
  <c r="G29" i="13"/>
  <c r="G16" i="13"/>
  <c r="G13" i="13"/>
  <c r="G27" i="13"/>
  <c r="G7" i="13"/>
  <c r="G11" i="13"/>
  <c r="G18" i="13"/>
  <c r="G3" i="13"/>
  <c r="G20" i="13"/>
  <c r="G23" i="13"/>
  <c r="G10" i="13"/>
  <c r="G19" i="13"/>
  <c r="G22" i="13"/>
  <c r="G8" i="13"/>
  <c r="G9" i="13"/>
  <c r="G4" i="13"/>
  <c r="G5" i="13"/>
  <c r="G25" i="13"/>
  <c r="G14" i="13"/>
  <c r="G26" i="13"/>
  <c r="G12" i="13"/>
  <c r="G15" i="13"/>
  <c r="G28" i="13"/>
  <c r="G17" i="13"/>
  <c r="G30" i="13"/>
  <c r="B15" i="5"/>
  <c r="B14" i="5"/>
  <c r="C14" i="5" l="1"/>
  <c r="E14" i="5" s="1"/>
  <c r="B17" i="5"/>
  <c r="C15" i="5"/>
  <c r="E15" i="5" s="1"/>
  <c r="L28" i="13"/>
  <c r="L12" i="13"/>
  <c r="L14" i="13"/>
  <c r="L5" i="13"/>
  <c r="L9" i="13"/>
  <c r="L22" i="13"/>
  <c r="L10" i="13"/>
  <c r="L20" i="13"/>
  <c r="L18" i="13"/>
  <c r="L7" i="13"/>
  <c r="L13" i="13"/>
  <c r="L21" i="13"/>
  <c r="L30" i="13"/>
  <c r="L17" i="13"/>
  <c r="L15" i="13"/>
  <c r="L26" i="13"/>
  <c r="L25" i="13"/>
  <c r="L4" i="13"/>
  <c r="L8" i="13"/>
  <c r="L19" i="13"/>
  <c r="L23" i="13"/>
  <c r="L3" i="13"/>
  <c r="L11" i="13"/>
  <c r="L27" i="13"/>
  <c r="L16" i="13"/>
  <c r="L29" i="13"/>
  <c r="L24" i="13"/>
  <c r="L6" i="13"/>
  <c r="E17" i="5" l="1"/>
  <c r="D16" i="5"/>
  <c r="C17" i="5"/>
  <c r="C20" i="5" s="1"/>
  <c r="I14" i="5" l="1"/>
  <c r="I15" i="5"/>
  <c r="J15" i="5" s="1"/>
  <c r="J14" i="5" l="1"/>
  <c r="I17" i="5"/>
  <c r="L14" i="5"/>
  <c r="L15" i="5"/>
  <c r="F35" i="12"/>
  <c r="F34" i="9"/>
  <c r="F36" i="9"/>
  <c r="F33" i="12"/>
  <c r="F34" i="12"/>
  <c r="F32" i="12"/>
  <c r="F35" i="9"/>
  <c r="F33" i="9"/>
  <c r="F36" i="12"/>
  <c r="F32" i="9"/>
  <c r="F40" i="9"/>
  <c r="F40" i="12"/>
  <c r="L17" i="5" l="1"/>
  <c r="J17" i="5"/>
  <c r="E34" i="9"/>
  <c r="E36" i="12"/>
  <c r="D36" i="12" s="1"/>
  <c r="E40" i="9"/>
  <c r="E32" i="12"/>
  <c r="D32" i="12" s="1"/>
  <c r="E34" i="12"/>
  <c r="D34" i="12" s="1"/>
  <c r="E35" i="9"/>
  <c r="E32" i="9"/>
  <c r="E35" i="12"/>
  <c r="D35" i="12" s="1"/>
  <c r="E36" i="9"/>
  <c r="E40" i="12"/>
  <c r="D40" i="12" s="1"/>
  <c r="E33" i="9"/>
  <c r="E33" i="12"/>
  <c r="D33" i="12" s="1"/>
  <c r="M3" i="12" l="1"/>
  <c r="T3" i="13" l="1"/>
  <c r="F3" i="12"/>
  <c r="M4" i="12"/>
  <c r="M3" i="9"/>
  <c r="H3" i="13" l="1"/>
  <c r="J3" i="13" s="1"/>
  <c r="F3" i="9"/>
  <c r="E3" i="9" s="1"/>
  <c r="M4" i="9"/>
  <c r="B3" i="9"/>
  <c r="T4" i="13"/>
  <c r="F4" i="12"/>
  <c r="M5" i="12"/>
  <c r="D3" i="9" l="1"/>
  <c r="T5" i="13"/>
  <c r="M6" i="12"/>
  <c r="F5" i="12"/>
  <c r="E3" i="12"/>
  <c r="AF3" i="9"/>
  <c r="AF33" i="9" s="1"/>
  <c r="AE3" i="9"/>
  <c r="AE33" i="9" s="1"/>
  <c r="O3" i="13"/>
  <c r="P3" i="13" s="1"/>
  <c r="C3" i="13"/>
  <c r="AI3" i="9"/>
  <c r="AI33" i="9" s="1"/>
  <c r="F4" i="9"/>
  <c r="E4" i="9" s="1"/>
  <c r="H4" i="13"/>
  <c r="J4" i="13" s="1"/>
  <c r="M5" i="9"/>
  <c r="D4" i="9"/>
  <c r="K3" i="13"/>
  <c r="X3" i="13" l="1"/>
  <c r="E7" i="14"/>
  <c r="B4" i="9"/>
  <c r="Q3" i="13"/>
  <c r="T6" i="13"/>
  <c r="F6" i="12"/>
  <c r="M7" i="12"/>
  <c r="AI4" i="9"/>
  <c r="C4" i="13"/>
  <c r="H5" i="13"/>
  <c r="J5" i="13" s="1"/>
  <c r="F5" i="9"/>
  <c r="E5" i="9" s="1"/>
  <c r="M6" i="9"/>
  <c r="B5" i="9"/>
  <c r="D5" i="9"/>
  <c r="E4" i="12"/>
  <c r="AF4" i="9"/>
  <c r="AE4" i="9"/>
  <c r="O4" i="13"/>
  <c r="P4" i="13" s="1"/>
  <c r="Q4" i="13" s="1"/>
  <c r="S3" i="13"/>
  <c r="U3" i="13" s="1"/>
  <c r="P3" i="12"/>
  <c r="AF3" i="12"/>
  <c r="AF33" i="12" s="1"/>
  <c r="AE3" i="12"/>
  <c r="AE33" i="12" s="1"/>
  <c r="D3" i="12"/>
  <c r="B3" i="12"/>
  <c r="X4" i="13" l="1"/>
  <c r="E5" i="14"/>
  <c r="D3" i="13"/>
  <c r="AI3" i="12"/>
  <c r="AI33" i="12" s="1"/>
  <c r="V3" i="13"/>
  <c r="AI5" i="9"/>
  <c r="C5" i="13"/>
  <c r="H6" i="13"/>
  <c r="J6" i="13" s="1"/>
  <c r="F6" i="9"/>
  <c r="E6" i="9" s="1"/>
  <c r="M7" i="9"/>
  <c r="B6" i="9"/>
  <c r="K5" i="13"/>
  <c r="S4" i="13"/>
  <c r="U4" i="13" s="1"/>
  <c r="P4" i="12"/>
  <c r="AF4" i="12"/>
  <c r="AE4" i="12"/>
  <c r="B4" i="12"/>
  <c r="D4" i="12"/>
  <c r="E5" i="12"/>
  <c r="AF5" i="9"/>
  <c r="AE5" i="9"/>
  <c r="O5" i="13"/>
  <c r="P5" i="13" s="1"/>
  <c r="Q5" i="13" s="1"/>
  <c r="T7" i="13"/>
  <c r="M8" i="12"/>
  <c r="F7" i="12"/>
  <c r="K4" i="13"/>
  <c r="X5" i="13" l="1"/>
  <c r="E6" i="14"/>
  <c r="Y3" i="13"/>
  <c r="D7" i="14"/>
  <c r="S5" i="13"/>
  <c r="U5" i="13" s="1"/>
  <c r="AF5" i="12"/>
  <c r="P5" i="12"/>
  <c r="AE5" i="12"/>
  <c r="D5" i="12"/>
  <c r="B5" i="12"/>
  <c r="D6" i="9"/>
  <c r="F7" i="9"/>
  <c r="E7" i="9" s="1"/>
  <c r="M8" i="9"/>
  <c r="H7" i="13"/>
  <c r="J7" i="13" s="1"/>
  <c r="T8" i="13"/>
  <c r="M9" i="12"/>
  <c r="F8" i="12"/>
  <c r="D4" i="13"/>
  <c r="AI4" i="12"/>
  <c r="E6" i="12"/>
  <c r="AF6" i="9"/>
  <c r="AE6" i="9"/>
  <c r="O6" i="13"/>
  <c r="P6" i="13" s="1"/>
  <c r="Y4" i="13" l="1"/>
  <c r="D5" i="14"/>
  <c r="D7" i="9"/>
  <c r="S6" i="13"/>
  <c r="U6" i="13" s="1"/>
  <c r="AF6" i="12"/>
  <c r="P6" i="12"/>
  <c r="AE6" i="12"/>
  <c r="D6" i="12"/>
  <c r="B6" i="12"/>
  <c r="T9" i="13"/>
  <c r="M10" i="12"/>
  <c r="F9" i="12"/>
  <c r="AI7" i="9"/>
  <c r="C7" i="13"/>
  <c r="E7" i="12"/>
  <c r="AF7" i="9"/>
  <c r="AE7" i="9"/>
  <c r="O7" i="13"/>
  <c r="P7" i="13" s="1"/>
  <c r="Q7" i="13" s="1"/>
  <c r="V4" i="13"/>
  <c r="D5" i="13"/>
  <c r="AI5" i="12"/>
  <c r="V5" i="13"/>
  <c r="B7" i="9"/>
  <c r="F8" i="9"/>
  <c r="E8" i="9" s="1"/>
  <c r="M9" i="9"/>
  <c r="H8" i="13"/>
  <c r="J8" i="13" s="1"/>
  <c r="AI6" i="9"/>
  <c r="C6" i="13"/>
  <c r="E23" i="14" s="1"/>
  <c r="Y5" i="13" l="1"/>
  <c r="D6" i="14"/>
  <c r="X7" i="13"/>
  <c r="E9" i="14"/>
  <c r="D8" i="9"/>
  <c r="E8" i="12"/>
  <c r="AF8" i="9"/>
  <c r="AE8" i="9"/>
  <c r="O8" i="13"/>
  <c r="P8" i="13" s="1"/>
  <c r="K7" i="13"/>
  <c r="T10" i="13"/>
  <c r="M11" i="12"/>
  <c r="F10" i="12"/>
  <c r="X6" i="13"/>
  <c r="K6" i="13"/>
  <c r="AI8" i="9"/>
  <c r="C8" i="13"/>
  <c r="B8" i="9"/>
  <c r="M10" i="9"/>
  <c r="F9" i="9"/>
  <c r="E9" i="9" s="1"/>
  <c r="H9" i="13"/>
  <c r="J9" i="13" s="1"/>
  <c r="B9" i="9"/>
  <c r="Q6" i="13"/>
  <c r="S7" i="13"/>
  <c r="U7" i="13" s="1"/>
  <c r="P7" i="12"/>
  <c r="AF7" i="12"/>
  <c r="AE7" i="12"/>
  <c r="B7" i="12"/>
  <c r="D7" i="12"/>
  <c r="D6" i="13"/>
  <c r="AI6" i="12"/>
  <c r="V6" i="13"/>
  <c r="Y6" i="13" l="1"/>
  <c r="D23" i="14"/>
  <c r="D9" i="9"/>
  <c r="X8" i="13"/>
  <c r="E22" i="14"/>
  <c r="D7" i="13"/>
  <c r="AI7" i="12"/>
  <c r="E9" i="12"/>
  <c r="AF9" i="9"/>
  <c r="AE9" i="9"/>
  <c r="O9" i="13"/>
  <c r="P9" i="13" s="1"/>
  <c r="M12" i="12"/>
  <c r="T11" i="13"/>
  <c r="F11" i="12"/>
  <c r="Q8" i="13"/>
  <c r="K8" i="13"/>
  <c r="AI9" i="9"/>
  <c r="C9" i="13"/>
  <c r="F10" i="9"/>
  <c r="E10" i="9" s="1"/>
  <c r="M11" i="9"/>
  <c r="H10" i="13"/>
  <c r="J10" i="13" s="1"/>
  <c r="S8" i="13"/>
  <c r="U8" i="13" s="1"/>
  <c r="AF8" i="12"/>
  <c r="P8" i="12"/>
  <c r="AE8" i="12"/>
  <c r="D8" i="12"/>
  <c r="B8" i="12"/>
  <c r="Y7" i="13" l="1"/>
  <c r="D9" i="14"/>
  <c r="D10" i="9"/>
  <c r="AI10" i="9" s="1"/>
  <c r="X9" i="13"/>
  <c r="E12" i="14"/>
  <c r="V7" i="13"/>
  <c r="D8" i="13"/>
  <c r="AI8" i="12"/>
  <c r="V8" i="13"/>
  <c r="C10" i="13"/>
  <c r="E10" i="12"/>
  <c r="AF10" i="9"/>
  <c r="AE10" i="9"/>
  <c r="O10" i="13"/>
  <c r="P10" i="13" s="1"/>
  <c r="Q10" i="13" s="1"/>
  <c r="B10" i="9"/>
  <c r="M12" i="9"/>
  <c r="F11" i="9"/>
  <c r="E11" i="9" s="1"/>
  <c r="H11" i="13"/>
  <c r="J11" i="13" s="1"/>
  <c r="B11" i="9"/>
  <c r="D11" i="9"/>
  <c r="K9" i="13"/>
  <c r="M13" i="12"/>
  <c r="F12" i="12"/>
  <c r="T12" i="13"/>
  <c r="Q9" i="13"/>
  <c r="S9" i="13"/>
  <c r="U9" i="13" s="1"/>
  <c r="AF9" i="12"/>
  <c r="P9" i="12"/>
  <c r="AE9" i="12"/>
  <c r="D9" i="12"/>
  <c r="B9" i="12"/>
  <c r="X10" i="13" l="1"/>
  <c r="E25" i="14"/>
  <c r="Y8" i="13"/>
  <c r="D22" i="14"/>
  <c r="E11" i="12"/>
  <c r="AF11" i="9"/>
  <c r="AE11" i="9"/>
  <c r="O11" i="13"/>
  <c r="P11" i="13" s="1"/>
  <c r="K10" i="13"/>
  <c r="AI9" i="12"/>
  <c r="D9" i="13"/>
  <c r="M14" i="12"/>
  <c r="F13" i="12"/>
  <c r="T13" i="13"/>
  <c r="AI11" i="9"/>
  <c r="C11" i="13"/>
  <c r="M13" i="9"/>
  <c r="F12" i="9"/>
  <c r="E12" i="9" s="1"/>
  <c r="H12" i="13"/>
  <c r="J12" i="13" s="1"/>
  <c r="B12" i="9"/>
  <c r="S10" i="13"/>
  <c r="U10" i="13" s="1"/>
  <c r="P10" i="12"/>
  <c r="AF10" i="12"/>
  <c r="AE10" i="12"/>
  <c r="D10" i="12"/>
  <c r="B10" i="12"/>
  <c r="D12" i="9" l="1"/>
  <c r="X11" i="13"/>
  <c r="E26" i="14"/>
  <c r="K11" i="13"/>
  <c r="Y9" i="13"/>
  <c r="D12" i="14"/>
  <c r="AI12" i="9"/>
  <c r="C12" i="13"/>
  <c r="K12" i="13"/>
  <c r="M14" i="9"/>
  <c r="F13" i="9"/>
  <c r="E13" i="9" s="1"/>
  <c r="B13" i="9" s="1"/>
  <c r="H13" i="13"/>
  <c r="J13" i="13" s="1"/>
  <c r="M15" i="12"/>
  <c r="T14" i="13"/>
  <c r="F14" i="12"/>
  <c r="V9" i="13"/>
  <c r="Q11" i="13"/>
  <c r="D10" i="13"/>
  <c r="AI10" i="12"/>
  <c r="V10" i="13"/>
  <c r="E12" i="12"/>
  <c r="AF12" i="9"/>
  <c r="AE12" i="9"/>
  <c r="O12" i="13"/>
  <c r="P12" i="13" s="1"/>
  <c r="Q12" i="13" s="1"/>
  <c r="S11" i="13"/>
  <c r="U11" i="13" s="1"/>
  <c r="AF11" i="12"/>
  <c r="P11" i="12"/>
  <c r="AE11" i="12"/>
  <c r="D11" i="12"/>
  <c r="B11" i="12"/>
  <c r="Y10" i="13" l="1"/>
  <c r="D25" i="14"/>
  <c r="D13" i="9"/>
  <c r="X12" i="13"/>
  <c r="E13" i="14"/>
  <c r="AI11" i="12"/>
  <c r="D11" i="13"/>
  <c r="V11" i="13" s="1"/>
  <c r="AF12" i="12"/>
  <c r="P12" i="12"/>
  <c r="S12" i="13"/>
  <c r="U12" i="13" s="1"/>
  <c r="AE12" i="12"/>
  <c r="D12" i="12"/>
  <c r="B12" i="12"/>
  <c r="M16" i="12"/>
  <c r="T15" i="13"/>
  <c r="F15" i="12"/>
  <c r="AI13" i="9"/>
  <c r="C13" i="13"/>
  <c r="M15" i="9"/>
  <c r="F14" i="9"/>
  <c r="E14" i="9" s="1"/>
  <c r="B14" i="9" s="1"/>
  <c r="H14" i="13"/>
  <c r="J14" i="13" s="1"/>
  <c r="D14" i="9"/>
  <c r="E13" i="12"/>
  <c r="AF13" i="9"/>
  <c r="AE13" i="9"/>
  <c r="O13" i="13"/>
  <c r="P13" i="13" s="1"/>
  <c r="X13" i="13" l="1"/>
  <c r="E16" i="14"/>
  <c r="Q13" i="13"/>
  <c r="K13" i="13"/>
  <c r="Y11" i="13"/>
  <c r="D26" i="14"/>
  <c r="S13" i="13"/>
  <c r="U13" i="13" s="1"/>
  <c r="AF13" i="12"/>
  <c r="P13" i="12"/>
  <c r="AE13" i="12"/>
  <c r="B13" i="12"/>
  <c r="D13" i="12"/>
  <c r="AI14" i="9"/>
  <c r="AI36" i="9" s="1"/>
  <c r="C14" i="13"/>
  <c r="M16" i="9"/>
  <c r="F15" i="9"/>
  <c r="E15" i="9" s="1"/>
  <c r="H15" i="13"/>
  <c r="J15" i="13" s="1"/>
  <c r="D15" i="9"/>
  <c r="M17" i="12"/>
  <c r="T16" i="13"/>
  <c r="F16" i="12"/>
  <c r="D12" i="13"/>
  <c r="V12" i="13" s="1"/>
  <c r="AI12" i="12"/>
  <c r="E14" i="12"/>
  <c r="AF14" i="9"/>
  <c r="AF36" i="9" s="1"/>
  <c r="AE14" i="9"/>
  <c r="AE36" i="9" s="1"/>
  <c r="O14" i="13"/>
  <c r="P14" i="13" s="1"/>
  <c r="Y12" i="13" l="1"/>
  <c r="D13" i="14"/>
  <c r="X14" i="13"/>
  <c r="E29" i="14"/>
  <c r="Q14" i="13"/>
  <c r="K14" i="13"/>
  <c r="S14" i="13"/>
  <c r="U14" i="13" s="1"/>
  <c r="AF14" i="12"/>
  <c r="AF36" i="12" s="1"/>
  <c r="P14" i="12"/>
  <c r="AE14" i="12"/>
  <c r="AE36" i="12" s="1"/>
  <c r="B14" i="12"/>
  <c r="D14" i="12"/>
  <c r="AI15" i="9"/>
  <c r="C15" i="13"/>
  <c r="B15" i="9"/>
  <c r="E15" i="12"/>
  <c r="AF15" i="9"/>
  <c r="AE15" i="9"/>
  <c r="O15" i="13"/>
  <c r="P15" i="13" s="1"/>
  <c r="D13" i="13"/>
  <c r="V13" i="13" s="1"/>
  <c r="AI13" i="12"/>
  <c r="M18" i="12"/>
  <c r="T17" i="13"/>
  <c r="F17" i="12"/>
  <c r="M17" i="9"/>
  <c r="F16" i="9"/>
  <c r="E16" i="9" s="1"/>
  <c r="H16" i="13"/>
  <c r="J16" i="13" s="1"/>
  <c r="D16" i="9"/>
  <c r="Y13" i="13" l="1"/>
  <c r="D16" i="14"/>
  <c r="X15" i="13"/>
  <c r="E3" i="14"/>
  <c r="K15" i="13"/>
  <c r="Q15" i="13"/>
  <c r="AI16" i="9"/>
  <c r="C16" i="13"/>
  <c r="B16" i="9"/>
  <c r="E16" i="12"/>
  <c r="AF16" i="9"/>
  <c r="AE16" i="9"/>
  <c r="O16" i="13"/>
  <c r="P16" i="13" s="1"/>
  <c r="K16" i="13"/>
  <c r="M18" i="9"/>
  <c r="F17" i="9"/>
  <c r="E17" i="9" s="1"/>
  <c r="H17" i="13"/>
  <c r="J17" i="13" s="1"/>
  <c r="D17" i="9"/>
  <c r="M19" i="12"/>
  <c r="T18" i="13"/>
  <c r="F18" i="12"/>
  <c r="S15" i="13"/>
  <c r="U15" i="13" s="1"/>
  <c r="P15" i="12"/>
  <c r="AF15" i="12"/>
  <c r="AE15" i="12"/>
  <c r="B15" i="12"/>
  <c r="D15" i="12"/>
  <c r="AI14" i="12"/>
  <c r="AI36" i="12" s="1"/>
  <c r="D14" i="13"/>
  <c r="X16" i="13" l="1"/>
  <c r="E11" i="14"/>
  <c r="Y14" i="13"/>
  <c r="D29" i="14"/>
  <c r="Q16" i="13"/>
  <c r="AI17" i="9"/>
  <c r="C17" i="13"/>
  <c r="B17" i="9"/>
  <c r="E17" i="12"/>
  <c r="AF17" i="9"/>
  <c r="AE17" i="9"/>
  <c r="O17" i="13"/>
  <c r="P17" i="13" s="1"/>
  <c r="Q17" i="13" s="1"/>
  <c r="D15" i="13"/>
  <c r="AI15" i="12"/>
  <c r="M20" i="12"/>
  <c r="F19" i="12"/>
  <c r="T19" i="13"/>
  <c r="K17" i="13"/>
  <c r="M19" i="9"/>
  <c r="F18" i="9"/>
  <c r="E18" i="9" s="1"/>
  <c r="D18" i="9" s="1"/>
  <c r="H18" i="13"/>
  <c r="J18" i="13" s="1"/>
  <c r="V14" i="13"/>
  <c r="S16" i="13"/>
  <c r="U16" i="13" s="1"/>
  <c r="P16" i="12"/>
  <c r="AF16" i="12"/>
  <c r="AE16" i="12"/>
  <c r="D16" i="12"/>
  <c r="B16" i="12"/>
  <c r="Y15" i="13" l="1"/>
  <c r="D3" i="14"/>
  <c r="X17" i="13"/>
  <c r="E14" i="14"/>
  <c r="D16" i="13"/>
  <c r="AI16" i="12"/>
  <c r="M20" i="9"/>
  <c r="F19" i="9"/>
  <c r="E19" i="9" s="1"/>
  <c r="H19" i="13"/>
  <c r="J19" i="13" s="1"/>
  <c r="D19" i="9"/>
  <c r="M21" i="12"/>
  <c r="T20" i="13"/>
  <c r="F20" i="12"/>
  <c r="S17" i="13"/>
  <c r="U17" i="13" s="1"/>
  <c r="P17" i="12"/>
  <c r="AF17" i="12"/>
  <c r="AE17" i="12"/>
  <c r="D17" i="12"/>
  <c r="B17" i="12"/>
  <c r="V15" i="13"/>
  <c r="AI18" i="9"/>
  <c r="C18" i="13"/>
  <c r="B18" i="9"/>
  <c r="E18" i="12"/>
  <c r="AF18" i="9"/>
  <c r="AE18" i="9"/>
  <c r="O18" i="13"/>
  <c r="P18" i="13" s="1"/>
  <c r="Q18" i="13" l="1"/>
  <c r="X18" i="13"/>
  <c r="E15" i="14"/>
  <c r="K18" i="13"/>
  <c r="Y16" i="13"/>
  <c r="D11" i="14"/>
  <c r="D17" i="13"/>
  <c r="AI17" i="12"/>
  <c r="V17" i="13"/>
  <c r="AI19" i="9"/>
  <c r="AI34" i="9" s="1"/>
  <c r="C19" i="13"/>
  <c r="B19" i="9"/>
  <c r="E19" i="12"/>
  <c r="AF19" i="9"/>
  <c r="AF34" i="9" s="1"/>
  <c r="AE19" i="9"/>
  <c r="AE34" i="9" s="1"/>
  <c r="O19" i="13"/>
  <c r="P19" i="13" s="1"/>
  <c r="S18" i="13"/>
  <c r="U18" i="13" s="1"/>
  <c r="P18" i="12"/>
  <c r="U19" i="12" s="1"/>
  <c r="AF18" i="12"/>
  <c r="AE18" i="12"/>
  <c r="D18" i="12"/>
  <c r="B18" i="12"/>
  <c r="V16" i="13"/>
  <c r="M22" i="12"/>
  <c r="T21" i="13"/>
  <c r="F21" i="12"/>
  <c r="K19" i="13"/>
  <c r="M21" i="9"/>
  <c r="F20" i="9"/>
  <c r="E20" i="9" s="1"/>
  <c r="D20" i="9" s="1"/>
  <c r="H20" i="13"/>
  <c r="J20" i="13" s="1"/>
  <c r="X19" i="13" l="1"/>
  <c r="E18" i="14"/>
  <c r="Y17" i="13"/>
  <c r="D14" i="14"/>
  <c r="Q19" i="13"/>
  <c r="M22" i="9"/>
  <c r="F21" i="9"/>
  <c r="E21" i="9" s="1"/>
  <c r="H21" i="13"/>
  <c r="J21" i="13" s="1"/>
  <c r="D21" i="9"/>
  <c r="M23" i="12"/>
  <c r="T22" i="13"/>
  <c r="F22" i="12"/>
  <c r="AI20" i="9"/>
  <c r="AI35" i="9" s="1"/>
  <c r="C20" i="13"/>
  <c r="B20" i="9"/>
  <c r="E20" i="12"/>
  <c r="AF20" i="9"/>
  <c r="AF35" i="9" s="1"/>
  <c r="AE20" i="9"/>
  <c r="AE35" i="9" s="1"/>
  <c r="O20" i="13"/>
  <c r="P20" i="13" s="1"/>
  <c r="D18" i="13"/>
  <c r="AI18" i="12"/>
  <c r="V18" i="13"/>
  <c r="S19" i="13"/>
  <c r="U19" i="13" s="1"/>
  <c r="P19" i="12"/>
  <c r="AF19" i="12"/>
  <c r="AF34" i="12" s="1"/>
  <c r="AE19" i="12"/>
  <c r="AE34" i="12" s="1"/>
  <c r="B19" i="12"/>
  <c r="D19" i="12"/>
  <c r="Y18" i="13" l="1"/>
  <c r="D15" i="14"/>
  <c r="X20" i="13"/>
  <c r="E19" i="14"/>
  <c r="Q20" i="13"/>
  <c r="D19" i="13"/>
  <c r="AI19" i="12"/>
  <c r="AI34" i="12" s="1"/>
  <c r="S20" i="13"/>
  <c r="U20" i="13" s="1"/>
  <c r="P20" i="12"/>
  <c r="AF20" i="12"/>
  <c r="AF35" i="12" s="1"/>
  <c r="AE20" i="12"/>
  <c r="AE35" i="12" s="1"/>
  <c r="D20" i="12"/>
  <c r="B20" i="12"/>
  <c r="M24" i="12"/>
  <c r="F23" i="12"/>
  <c r="T23" i="13"/>
  <c r="M23" i="9"/>
  <c r="F22" i="9"/>
  <c r="E22" i="9" s="1"/>
  <c r="D22" i="9" s="1"/>
  <c r="H22" i="13"/>
  <c r="J22" i="13" s="1"/>
  <c r="AI21" i="9"/>
  <c r="C21" i="13"/>
  <c r="B21" i="9"/>
  <c r="E21" i="12"/>
  <c r="AF21" i="9"/>
  <c r="AE21" i="9"/>
  <c r="O21" i="13"/>
  <c r="P21" i="13" s="1"/>
  <c r="K20" i="13"/>
  <c r="Y19" i="13" l="1"/>
  <c r="D18" i="14"/>
  <c r="X21" i="13"/>
  <c r="E20" i="14"/>
  <c r="V19" i="13"/>
  <c r="Q21" i="13"/>
  <c r="AI22" i="9"/>
  <c r="C22" i="13"/>
  <c r="B22" i="9"/>
  <c r="E22" i="12"/>
  <c r="AF22" i="9"/>
  <c r="AE22" i="9"/>
  <c r="O22" i="13"/>
  <c r="P22" i="13" s="1"/>
  <c r="K21" i="13"/>
  <c r="S21" i="13"/>
  <c r="U21" i="13" s="1"/>
  <c r="P21" i="12"/>
  <c r="AF21" i="12"/>
  <c r="AE21" i="12"/>
  <c r="B21" i="12"/>
  <c r="D21" i="12"/>
  <c r="M24" i="9"/>
  <c r="F23" i="9"/>
  <c r="E23" i="9" s="1"/>
  <c r="H23" i="13"/>
  <c r="J23" i="13" s="1"/>
  <c r="D23" i="9"/>
  <c r="M25" i="12"/>
  <c r="T24" i="13"/>
  <c r="F24" i="12"/>
  <c r="AI20" i="12"/>
  <c r="AI35" i="12" s="1"/>
  <c r="D20" i="13"/>
  <c r="Y20" i="13" l="1"/>
  <c r="D19" i="14"/>
  <c r="X22" i="13"/>
  <c r="E21" i="14"/>
  <c r="K22" i="13"/>
  <c r="Q22" i="13"/>
  <c r="V20" i="13"/>
  <c r="AI23" i="9"/>
  <c r="C23" i="13"/>
  <c r="B23" i="9"/>
  <c r="E23" i="12"/>
  <c r="AF23" i="9"/>
  <c r="AE23" i="9"/>
  <c r="O23" i="13"/>
  <c r="P23" i="13" s="1"/>
  <c r="Q23" i="13" s="1"/>
  <c r="M26" i="12"/>
  <c r="T25" i="13"/>
  <c r="F25" i="12"/>
  <c r="K23" i="13"/>
  <c r="M25" i="9"/>
  <c r="F24" i="9"/>
  <c r="E24" i="9" s="1"/>
  <c r="D24" i="9" s="1"/>
  <c r="H24" i="13"/>
  <c r="J24" i="13" s="1"/>
  <c r="AI21" i="12"/>
  <c r="D21" i="13"/>
  <c r="S22" i="13"/>
  <c r="U22" i="13" s="1"/>
  <c r="P22" i="12"/>
  <c r="AF22" i="12"/>
  <c r="AE22" i="12"/>
  <c r="B22" i="12"/>
  <c r="D22" i="12"/>
  <c r="Y21" i="13" l="1"/>
  <c r="D20" i="14"/>
  <c r="X23" i="13"/>
  <c r="E24" i="14"/>
  <c r="D22" i="13"/>
  <c r="AI22" i="12"/>
  <c r="AI24" i="9"/>
  <c r="C24" i="13"/>
  <c r="B24" i="9"/>
  <c r="E24" i="12"/>
  <c r="AF24" i="9"/>
  <c r="AE24" i="9"/>
  <c r="O24" i="13"/>
  <c r="P24" i="13" s="1"/>
  <c r="V21" i="13"/>
  <c r="S23" i="13"/>
  <c r="U23" i="13" s="1"/>
  <c r="P23" i="12"/>
  <c r="AF23" i="12"/>
  <c r="AE23" i="12"/>
  <c r="D23" i="12"/>
  <c r="B23" i="12"/>
  <c r="V22" i="13"/>
  <c r="K24" i="13"/>
  <c r="M26" i="9"/>
  <c r="F25" i="9"/>
  <c r="E25" i="9" s="1"/>
  <c r="D25" i="9" s="1"/>
  <c r="H25" i="13"/>
  <c r="J25" i="13" s="1"/>
  <c r="M27" i="12"/>
  <c r="T26" i="13"/>
  <c r="F26" i="12"/>
  <c r="X24" i="13" l="1"/>
  <c r="E28" i="14"/>
  <c r="Y22" i="13"/>
  <c r="D21" i="14"/>
  <c r="M28" i="12"/>
  <c r="T27" i="13"/>
  <c r="F27" i="12"/>
  <c r="M27" i="9"/>
  <c r="F26" i="9"/>
  <c r="E26" i="9" s="1"/>
  <c r="H26" i="13"/>
  <c r="J26" i="13" s="1"/>
  <c r="D26" i="9"/>
  <c r="AI23" i="12"/>
  <c r="D23" i="13"/>
  <c r="V23" i="13"/>
  <c r="Q24" i="13"/>
  <c r="AI25" i="9"/>
  <c r="C25" i="13"/>
  <c r="B25" i="9"/>
  <c r="E25" i="12"/>
  <c r="AF25" i="9"/>
  <c r="AE25" i="9"/>
  <c r="O25" i="13"/>
  <c r="P25" i="13" s="1"/>
  <c r="Q25" i="13" s="1"/>
  <c r="S24" i="13"/>
  <c r="U24" i="13" s="1"/>
  <c r="P24" i="12"/>
  <c r="AF24" i="12"/>
  <c r="AE24" i="12"/>
  <c r="D24" i="12"/>
  <c r="B24" i="12"/>
  <c r="X25" i="13" l="1"/>
  <c r="E17" i="14"/>
  <c r="Y23" i="13"/>
  <c r="D24" i="14"/>
  <c r="D24" i="13"/>
  <c r="AI24" i="12"/>
  <c r="V24" i="13"/>
  <c r="S25" i="13"/>
  <c r="U25" i="13" s="1"/>
  <c r="P25" i="12"/>
  <c r="AF25" i="12"/>
  <c r="AE25" i="12"/>
  <c r="D25" i="12"/>
  <c r="B25" i="12"/>
  <c r="AI26" i="9"/>
  <c r="C26" i="13"/>
  <c r="B26" i="9"/>
  <c r="E26" i="12"/>
  <c r="AF26" i="9"/>
  <c r="AE26" i="9"/>
  <c r="O26" i="13"/>
  <c r="P26" i="13" s="1"/>
  <c r="Q26" i="13" s="1"/>
  <c r="K25" i="13"/>
  <c r="K26" i="13"/>
  <c r="M28" i="9"/>
  <c r="F27" i="9"/>
  <c r="E27" i="9" s="1"/>
  <c r="D27" i="9" s="1"/>
  <c r="H27" i="13"/>
  <c r="J27" i="13" s="1"/>
  <c r="M29" i="12"/>
  <c r="T28" i="13"/>
  <c r="F28" i="12"/>
  <c r="X26" i="13" l="1"/>
  <c r="E27" i="14"/>
  <c r="Y24" i="13"/>
  <c r="D28" i="14"/>
  <c r="AI27" i="9"/>
  <c r="C27" i="13"/>
  <c r="M30" i="12"/>
  <c r="F29" i="12"/>
  <c r="F30" i="12" s="1"/>
  <c r="T29" i="13"/>
  <c r="K27" i="13"/>
  <c r="M29" i="9"/>
  <c r="F28" i="9"/>
  <c r="E28" i="9" s="1"/>
  <c r="H28" i="13"/>
  <c r="J28" i="13" s="1"/>
  <c r="D28" i="9"/>
  <c r="S26" i="13"/>
  <c r="U26" i="13" s="1"/>
  <c r="AF26" i="12"/>
  <c r="P26" i="12"/>
  <c r="AE26" i="12"/>
  <c r="B26" i="12"/>
  <c r="D26" i="12"/>
  <c r="B27" i="9"/>
  <c r="E27" i="12"/>
  <c r="AF27" i="9"/>
  <c r="AE27" i="9"/>
  <c r="O27" i="13"/>
  <c r="P27" i="13" s="1"/>
  <c r="AI25" i="12"/>
  <c r="D25" i="13"/>
  <c r="X27" i="13" l="1"/>
  <c r="E8" i="14"/>
  <c r="Y25" i="13"/>
  <c r="D17" i="14"/>
  <c r="Q27" i="13"/>
  <c r="V25" i="13"/>
  <c r="S27" i="13"/>
  <c r="U27" i="13" s="1"/>
  <c r="P27" i="12"/>
  <c r="AF27" i="12"/>
  <c r="AE27" i="12"/>
  <c r="D27" i="12"/>
  <c r="B27" i="12"/>
  <c r="D26" i="13"/>
  <c r="AI26" i="12"/>
  <c r="AI28" i="9"/>
  <c r="C28" i="13"/>
  <c r="B28" i="9"/>
  <c r="E28" i="12"/>
  <c r="AF28" i="9"/>
  <c r="AE28" i="9"/>
  <c r="O28" i="13"/>
  <c r="P28" i="13" s="1"/>
  <c r="V26" i="13"/>
  <c r="M30" i="9"/>
  <c r="F29" i="9"/>
  <c r="E29" i="9" s="1"/>
  <c r="D29" i="9" s="1"/>
  <c r="H29" i="13"/>
  <c r="J29" i="13" s="1"/>
  <c r="T30" i="13"/>
  <c r="X28" i="13" l="1"/>
  <c r="E10" i="14"/>
  <c r="K28" i="13"/>
  <c r="Q28" i="13"/>
  <c r="Y26" i="13"/>
  <c r="D27" i="14"/>
  <c r="AI29" i="9"/>
  <c r="C29" i="13"/>
  <c r="B29" i="9"/>
  <c r="AF29" i="9"/>
  <c r="E29" i="12"/>
  <c r="AE29" i="9"/>
  <c r="O29" i="13"/>
  <c r="P29" i="13" s="1"/>
  <c r="AI27" i="12"/>
  <c r="D27" i="13"/>
  <c r="K29" i="13"/>
  <c r="M31" i="9"/>
  <c r="M32" i="9" s="1"/>
  <c r="F30" i="9"/>
  <c r="E30" i="9" s="1"/>
  <c r="D30" i="9" s="1"/>
  <c r="C30" i="13" s="1"/>
  <c r="H30" i="13"/>
  <c r="J30" i="13" s="1"/>
  <c r="S28" i="13"/>
  <c r="U28" i="13" s="1"/>
  <c r="AF28" i="12"/>
  <c r="P28" i="12"/>
  <c r="AE28" i="12"/>
  <c r="B28" i="12"/>
  <c r="D28" i="12"/>
  <c r="X30" i="13" l="1"/>
  <c r="E4" i="14"/>
  <c r="X29" i="13"/>
  <c r="E2" i="14"/>
  <c r="K30" i="13"/>
  <c r="Y27" i="13"/>
  <c r="D8" i="14"/>
  <c r="Q29" i="13"/>
  <c r="M33" i="9"/>
  <c r="D32" i="9"/>
  <c r="V27" i="13"/>
  <c r="D28" i="13"/>
  <c r="AI28" i="12"/>
  <c r="B30" i="9"/>
  <c r="O30" i="13"/>
  <c r="P30" i="13" s="1"/>
  <c r="Q30" i="13" s="1"/>
  <c r="S29" i="13"/>
  <c r="U29" i="13" s="1"/>
  <c r="E30" i="12"/>
  <c r="P29" i="12"/>
  <c r="D29" i="12"/>
  <c r="D29" i="13" s="1"/>
  <c r="B29" i="12"/>
  <c r="Y28" i="13" l="1"/>
  <c r="D10" i="14"/>
  <c r="Y29" i="13"/>
  <c r="D2" i="14"/>
  <c r="X31" i="13"/>
  <c r="C31" i="13" s="1"/>
  <c r="S30" i="13"/>
  <c r="U30" i="13" s="1"/>
  <c r="V30" i="13" s="1"/>
  <c r="D30" i="12"/>
  <c r="D30" i="13" s="1"/>
  <c r="V28" i="13"/>
  <c r="V29" i="13"/>
  <c r="M34" i="9"/>
  <c r="D33" i="9"/>
  <c r="Y30" i="13" l="1"/>
  <c r="Y31" i="13" s="1"/>
  <c r="D31" i="13" s="1"/>
  <c r="D4" i="14"/>
  <c r="M35" i="9"/>
  <c r="D34" i="9"/>
  <c r="M36" i="9" l="1"/>
  <c r="D35" i="9"/>
  <c r="M37" i="9" l="1"/>
  <c r="M38" i="9" s="1"/>
  <c r="M39" i="9" s="1"/>
  <c r="M40" i="9" s="1"/>
  <c r="D36" i="9"/>
  <c r="M41" i="9" l="1"/>
  <c r="M42" i="9" s="1"/>
  <c r="M43" i="9" s="1"/>
  <c r="M44" i="9" s="1"/>
  <c r="D40" i="9"/>
</calcChain>
</file>

<file path=xl/comments1.xml><?xml version="1.0" encoding="utf-8"?>
<comments xmlns="http://schemas.openxmlformats.org/spreadsheetml/2006/main">
  <authors>
    <author>ilan1958</author>
    <author>יהודה מלול</author>
  </authors>
  <commentList>
    <comment ref="L5" authorId="0">
      <text>
        <r>
          <rPr>
            <b/>
            <sz val="9"/>
            <color indexed="81"/>
            <rFont val="Tahoma"/>
            <family val="2"/>
          </rPr>
          <t>ilan1958:</t>
        </r>
        <r>
          <rPr>
            <sz val="9"/>
            <color indexed="81"/>
            <rFont val="Tahoma"/>
            <family val="2"/>
          </rPr>
          <t xml:space="preserve">
לפי נתונים שהתקבלו מהרשות בשימוע
</t>
        </r>
      </text>
    </comment>
    <comment ref="K6" authorId="1">
      <text>
        <r>
          <rPr>
            <b/>
            <sz val="8"/>
            <color indexed="81"/>
            <rFont val="Tahoma"/>
            <family val="2"/>
          </rPr>
          <t>יהודה מלול:</t>
        </r>
        <r>
          <rPr>
            <sz val="8"/>
            <color indexed="81"/>
            <rFont val="Tahoma"/>
            <family val="2"/>
          </rPr>
          <t xml:space="preserve">
על פי נתוני זכרון</t>
        </r>
      </text>
    </comment>
    <comment ref="K9" authorId="0">
      <text>
        <r>
          <rPr>
            <b/>
            <sz val="9"/>
            <color indexed="81"/>
            <rFont val="Tahoma"/>
            <family val="2"/>
          </rPr>
          <t>ilan1958:</t>
        </r>
        <r>
          <rPr>
            <sz val="9"/>
            <color indexed="81"/>
            <rFont val="Tahoma"/>
            <family val="2"/>
          </rPr>
          <t xml:space="preserve">
תעריף איגוד ערים חיפה 
</t>
        </r>
      </text>
    </comment>
    <comment ref="L9" authorId="0">
      <text>
        <r>
          <rPr>
            <b/>
            <sz val="9"/>
            <color indexed="81"/>
            <rFont val="Tahoma"/>
            <family val="2"/>
          </rPr>
          <t>ilan1958:</t>
        </r>
        <r>
          <rPr>
            <sz val="9"/>
            <color indexed="81"/>
            <rFont val="Tahoma"/>
            <family val="2"/>
          </rPr>
          <t xml:space="preserve">
על פי מידע מטירת הכרמל באמצעות ארז מילנר דרוש חישוב הולכה
</t>
        </r>
      </text>
    </comment>
    <comment ref="L11" authorId="0">
      <text>
        <r>
          <rPr>
            <b/>
            <sz val="9"/>
            <color indexed="81"/>
            <rFont val="Tahoma"/>
            <family val="2"/>
          </rPr>
          <t>ilan1958:</t>
        </r>
        <r>
          <rPr>
            <sz val="9"/>
            <color indexed="81"/>
            <rFont val="Tahoma"/>
            <family val="2"/>
          </rPr>
          <t xml:space="preserve">
הולכה למט"ש קו כיסלון 
נתוני עלות מהרשןת חלקי כמות מים
</t>
        </r>
      </text>
    </comment>
    <comment ref="L12" authorId="0">
      <text>
        <r>
          <rPr>
            <b/>
            <sz val="9"/>
            <color indexed="81"/>
            <rFont val="Tahoma"/>
            <family val="2"/>
          </rPr>
          <t>ilan1958:</t>
        </r>
        <r>
          <rPr>
            <sz val="9"/>
            <color indexed="81"/>
            <rFont val="Tahoma"/>
            <family val="2"/>
          </rPr>
          <t xml:space="preserve">
הולכה בקו משותף מי 
הרצליה הערכה בהעדר נתונים מלאים
</t>
        </r>
      </text>
    </comment>
    <comment ref="K14" authorId="1">
      <text>
        <r>
          <rPr>
            <b/>
            <sz val="8"/>
            <color indexed="81"/>
            <rFont val="Tahoma"/>
            <family val="2"/>
          </rPr>
          <t>יהודה מלול:</t>
        </r>
        <r>
          <rPr>
            <sz val="8"/>
            <color indexed="81"/>
            <rFont val="Tahoma"/>
            <family val="2"/>
          </rPr>
          <t xml:space="preserve">
איילון+הון+הולכה</t>
        </r>
      </text>
    </comment>
    <comment ref="K21" authorId="0">
      <text>
        <r>
          <rPr>
            <b/>
            <sz val="9"/>
            <color indexed="81"/>
            <rFont val="Tahoma"/>
            <family val="2"/>
          </rPr>
          <t>ilan1958:</t>
        </r>
        <r>
          <rPr>
            <sz val="9"/>
            <color indexed="81"/>
            <rFont val="Tahoma"/>
            <family val="2"/>
          </rPr>
          <t xml:space="preserve">
טיהור באיגודן
לפי נתוני אורבניקס שהתקבלו בשימוע 
</t>
        </r>
      </text>
    </comment>
    <comment ref="L21" authorId="0">
      <text>
        <r>
          <rPr>
            <b/>
            <sz val="9"/>
            <color indexed="81"/>
            <rFont val="Tahoma"/>
            <family val="2"/>
          </rPr>
          <t>ilan1958:</t>
        </r>
        <r>
          <rPr>
            <sz val="9"/>
            <color indexed="81"/>
            <rFont val="Tahoma"/>
            <family val="2"/>
          </rPr>
          <t xml:space="preserve">
הולכה באיגודן
לפי נתוני אורבניקס שהתקבלו בשימוע
</t>
        </r>
      </text>
    </comment>
    <comment ref="L23" authorId="0">
      <text>
        <r>
          <rPr>
            <b/>
            <sz val="9"/>
            <color indexed="81"/>
            <rFont val="Tahoma"/>
            <family val="2"/>
          </rPr>
          <t>ilan1958:</t>
        </r>
        <r>
          <rPr>
            <sz val="9"/>
            <color indexed="81"/>
            <rFont val="Tahoma"/>
            <family val="2"/>
          </rPr>
          <t xml:space="preserve">
על בסיס נתונים שהתקבלו מהרשות בשימוע </t>
        </r>
      </text>
    </comment>
  </commentList>
</comments>
</file>

<file path=xl/comments2.xml><?xml version="1.0" encoding="utf-8"?>
<comments xmlns="http://schemas.openxmlformats.org/spreadsheetml/2006/main">
  <authors>
    <author>BackUp</author>
  </authors>
  <commentList>
    <comment ref="F36" authorId="0">
      <text>
        <r>
          <rPr>
            <b/>
            <sz val="9"/>
            <color indexed="81"/>
            <rFont val="Tahoma"/>
            <family val="2"/>
          </rPr>
          <t>BackUp:</t>
        </r>
        <r>
          <rPr>
            <sz val="9"/>
            <color indexed="81"/>
            <rFont val="Tahoma"/>
            <family val="2"/>
          </rPr>
          <t xml:space="preserve">
החל משנת 2011</t>
        </r>
      </text>
    </comment>
    <comment ref="F57" authorId="0">
      <text>
        <r>
          <rPr>
            <b/>
            <sz val="9"/>
            <color indexed="81"/>
            <rFont val="Tahoma"/>
            <family val="2"/>
          </rPr>
          <t>BackUp:</t>
        </r>
        <r>
          <rPr>
            <sz val="9"/>
            <color indexed="81"/>
            <rFont val="Tahoma"/>
            <family val="2"/>
          </rPr>
          <t xml:space="preserve">
כולל ביב מאסף</t>
        </r>
      </text>
    </comment>
  </commentList>
</comments>
</file>

<file path=xl/sharedStrings.xml><?xml version="1.0" encoding="utf-8"?>
<sst xmlns="http://schemas.openxmlformats.org/spreadsheetml/2006/main" count="1250" uniqueCount="631">
  <si>
    <t>איגודן</t>
  </si>
  <si>
    <t>בית שאן</t>
  </si>
  <si>
    <t>נשגב</t>
  </si>
  <si>
    <t>חדרה</t>
  </si>
  <si>
    <t>בית שמש</t>
  </si>
  <si>
    <t>הרצליה</t>
  </si>
  <si>
    <t>גדרה</t>
  </si>
  <si>
    <t>זמר</t>
  </si>
  <si>
    <t>קלנסואה</t>
  </si>
  <si>
    <t>קריית מלאכי</t>
  </si>
  <si>
    <t>כפר שמריהו</t>
  </si>
  <si>
    <t>מיתר</t>
  </si>
  <si>
    <t>שהם</t>
  </si>
  <si>
    <t>אליכין</t>
  </si>
  <si>
    <t>טייבה</t>
  </si>
  <si>
    <t>כפר תבור</t>
  </si>
  <si>
    <t>להבים</t>
  </si>
  <si>
    <t>נהריה</t>
  </si>
  <si>
    <t xml:space="preserve">נשר </t>
  </si>
  <si>
    <t>סביון</t>
  </si>
  <si>
    <t>עומר</t>
  </si>
  <si>
    <t>שדרות</t>
  </si>
  <si>
    <t>מעיליא</t>
  </si>
  <si>
    <t>קציר-חריש</t>
  </si>
  <si>
    <t>ראש פינה</t>
  </si>
  <si>
    <t>פחת גביה</t>
  </si>
  <si>
    <t>פחת</t>
  </si>
  <si>
    <t>סה"כ תעריף</t>
  </si>
  <si>
    <t>ממוצע</t>
  </si>
  <si>
    <t xml:space="preserve">שם רשות מקומית </t>
  </si>
  <si>
    <t xml:space="preserve">תעריף מכירה גבוה </t>
  </si>
  <si>
    <t xml:space="preserve">תעריף מים גבוה </t>
  </si>
  <si>
    <t>מצטרף לתאגיד</t>
  </si>
  <si>
    <t>אור עקיבא</t>
  </si>
  <si>
    <t>צורף לתאגיד</t>
  </si>
  <si>
    <t xml:space="preserve">מצטרף לתאגיד </t>
  </si>
  <si>
    <t>מט"ש</t>
  </si>
  <si>
    <t xml:space="preserve">בית שאן </t>
  </si>
  <si>
    <t xml:space="preserve">חדרה </t>
  </si>
  <si>
    <t xml:space="preserve">ניר עציון </t>
  </si>
  <si>
    <t xml:space="preserve">סוג </t>
  </si>
  <si>
    <t>שניוני</t>
  </si>
  <si>
    <t xml:space="preserve">שלישוני </t>
  </si>
  <si>
    <t>שנינ</t>
  </si>
  <si>
    <t>הערות 1</t>
  </si>
  <si>
    <t>הערות 2</t>
  </si>
  <si>
    <t xml:space="preserve">הולכה דרך אור יהודה לברר עלות </t>
  </si>
  <si>
    <t xml:space="preserve">הולכה דרך בית שמש לברר עלות </t>
  </si>
  <si>
    <t xml:space="preserve">הולכה דרך מיתב </t>
  </si>
  <si>
    <t xml:space="preserve">תעריף ביוב תאגיד סמוך </t>
  </si>
  <si>
    <t xml:space="preserve">תימורים </t>
  </si>
  <si>
    <t>קריית יערים</t>
  </si>
  <si>
    <t xml:space="preserve">שוקת </t>
  </si>
  <si>
    <t>זכרון יעקב</t>
  </si>
  <si>
    <t xml:space="preserve">שניוני </t>
  </si>
  <si>
    <t xml:space="preserve">מעין צבי </t>
  </si>
  <si>
    <t xml:space="preserve">מט"ש איילון לפי תקציב והולכה לפי כרטיסים </t>
  </si>
  <si>
    <t xml:space="preserve">להבים </t>
  </si>
  <si>
    <t>שלישוני</t>
  </si>
  <si>
    <t>השערה שלישוני ללא עלות הון ההקמה במימון ממ"י</t>
  </si>
  <si>
    <t>צח"ר</t>
  </si>
  <si>
    <t xml:space="preserve">מט"ש בהקמה </t>
  </si>
  <si>
    <t xml:space="preserve">יוני - אין חיבור עדיין אין עלות </t>
  </si>
  <si>
    <t xml:space="preserve">נתניה </t>
  </si>
  <si>
    <t xml:space="preserve">אין מידע - מט"ש לשאול את זאבי </t>
  </si>
  <si>
    <t xml:space="preserve">נהריה </t>
  </si>
  <si>
    <t xml:space="preserve">חיפה </t>
  </si>
  <si>
    <t xml:space="preserve">עומר </t>
  </si>
  <si>
    <t xml:space="preserve">שדרות </t>
  </si>
  <si>
    <t>עדיין לא פועל ?</t>
  </si>
  <si>
    <t xml:space="preserve">לבדוק עם פלג </t>
  </si>
  <si>
    <t xml:space="preserve">כמו קריית אונו צריך להפחית הון </t>
  </si>
  <si>
    <t xml:space="preserve">כמו מי שמש להפחית הון </t>
  </si>
  <si>
    <t>מספר</t>
  </si>
  <si>
    <t>אוכלוסיה</t>
  </si>
  <si>
    <t>תקבולים</t>
  </si>
  <si>
    <t>סה"כ</t>
  </si>
  <si>
    <t>צריכה</t>
  </si>
  <si>
    <t xml:space="preserve">סה"כ </t>
  </si>
  <si>
    <t xml:space="preserve">צר' סגולית </t>
  </si>
  <si>
    <t>צר' סגולית</t>
  </si>
  <si>
    <t>סידורי</t>
  </si>
  <si>
    <t>שם התאגיד</t>
  </si>
  <si>
    <t>צרכן</t>
  </si>
  <si>
    <t>שם הישוב</t>
  </si>
  <si>
    <t>הפקה</t>
  </si>
  <si>
    <t>קניה</t>
  </si>
  <si>
    <t>במגורים</t>
  </si>
  <si>
    <t>ביתית</t>
  </si>
  <si>
    <t>תעשייתית</t>
  </si>
  <si>
    <t>חקלאית</t>
  </si>
  <si>
    <t>מגורים</t>
  </si>
  <si>
    <t>כולל פחת</t>
  </si>
  <si>
    <t>נפש</t>
  </si>
  <si>
    <t>מ"ק</t>
  </si>
  <si>
    <t>%</t>
  </si>
  <si>
    <t>מ"ק/נ/שנה</t>
  </si>
  <si>
    <t xml:space="preserve">אלעין </t>
  </si>
  <si>
    <t xml:space="preserve">אבו סנאן </t>
  </si>
  <si>
    <t xml:space="preserve">ג'וליס </t>
  </si>
  <si>
    <t xml:space="preserve">כפר יסיף </t>
  </si>
  <si>
    <t xml:space="preserve">ירכא </t>
  </si>
  <si>
    <t>גדידה-אלמכר</t>
  </si>
  <si>
    <t xml:space="preserve">מזרעה </t>
  </si>
  <si>
    <t>יאנוח-ג'ת</t>
  </si>
  <si>
    <t xml:space="preserve">סה"כ תאגיד </t>
  </si>
  <si>
    <t xml:space="preserve">הגיחון </t>
  </si>
  <si>
    <t>ירושלים</t>
  </si>
  <si>
    <t xml:space="preserve">אבו גוש </t>
  </si>
  <si>
    <t xml:space="preserve">מבשרת ציון </t>
  </si>
  <si>
    <t xml:space="preserve">הרי נצרת </t>
  </si>
  <si>
    <t xml:space="preserve">איכסאל </t>
  </si>
  <si>
    <t xml:space="preserve">ריינה </t>
  </si>
  <si>
    <t>עילוט</t>
  </si>
  <si>
    <t xml:space="preserve">יפיע </t>
  </si>
  <si>
    <t xml:space="preserve">נצרת </t>
  </si>
  <si>
    <t>התנור</t>
  </si>
  <si>
    <t xml:space="preserve">מטולה </t>
  </si>
  <si>
    <t>קרית שמונה</t>
  </si>
  <si>
    <t>קצרין</t>
  </si>
  <si>
    <t>מסעדה</t>
  </si>
  <si>
    <t>מגדל שמס</t>
  </si>
  <si>
    <t>יובלים אשדוד</t>
  </si>
  <si>
    <t xml:space="preserve">אשדוד </t>
  </si>
  <si>
    <t xml:space="preserve">יובלים בשומרון 2003 </t>
  </si>
  <si>
    <t>אריאל</t>
  </si>
  <si>
    <t>קרני שומרון</t>
  </si>
  <si>
    <t>ימים</t>
  </si>
  <si>
    <t>קרית ים</t>
  </si>
  <si>
    <t xml:space="preserve">כפרי גליל תחתון </t>
  </si>
  <si>
    <t xml:space="preserve">דבוריה </t>
  </si>
  <si>
    <t xml:space="preserve">טורעאן </t>
  </si>
  <si>
    <t xml:space="preserve">שבלי </t>
  </si>
  <si>
    <t>בועיינה-נוג'ידאת</t>
  </si>
  <si>
    <t xml:space="preserve">כפר כנא </t>
  </si>
  <si>
    <t xml:space="preserve">משהד </t>
  </si>
  <si>
    <t>עין מאהל</t>
  </si>
  <si>
    <t>מי-נע</t>
  </si>
  <si>
    <t>נצרת עלית</t>
  </si>
  <si>
    <t>מגדל העמק</t>
  </si>
  <si>
    <t>עפולה</t>
  </si>
  <si>
    <t xml:space="preserve">מי אביבים 2010 </t>
  </si>
  <si>
    <t xml:space="preserve">תל אביב-יפו </t>
  </si>
  <si>
    <t>מי אונו</t>
  </si>
  <si>
    <t>קרית אונו</t>
  </si>
  <si>
    <t>מי אשקלון</t>
  </si>
  <si>
    <t>אשקלון</t>
  </si>
  <si>
    <t>נתיבות</t>
  </si>
  <si>
    <t>מי ברק</t>
  </si>
  <si>
    <t>בני ברק</t>
  </si>
  <si>
    <t xml:space="preserve">מי בת-ים </t>
  </si>
  <si>
    <t xml:space="preserve">בת ים </t>
  </si>
  <si>
    <t xml:space="preserve">מי גבעתיים </t>
  </si>
  <si>
    <t xml:space="preserve">גבעתיים </t>
  </si>
  <si>
    <t xml:space="preserve">מי הגליל </t>
  </si>
  <si>
    <t xml:space="preserve">סכנין </t>
  </si>
  <si>
    <t xml:space="preserve">נחף </t>
  </si>
  <si>
    <t xml:space="preserve">דיר חנא </t>
  </si>
  <si>
    <t xml:space="preserve">בענה </t>
  </si>
  <si>
    <t>עראבה</t>
  </si>
  <si>
    <t>מגד' אל כרום</t>
  </si>
  <si>
    <t>דיר אל עסד</t>
  </si>
  <si>
    <t>מי הוד השרון</t>
  </si>
  <si>
    <t>הוד השרון</t>
  </si>
  <si>
    <t>מי הרצליה</t>
  </si>
  <si>
    <t>מי חדרה</t>
  </si>
  <si>
    <t xml:space="preserve">מי יבנה </t>
  </si>
  <si>
    <t xml:space="preserve">יבנה </t>
  </si>
  <si>
    <t>גן יבנה</t>
  </si>
  <si>
    <t xml:space="preserve">מי כרמל </t>
  </si>
  <si>
    <t>מי לוד</t>
  </si>
  <si>
    <t>לוד</t>
  </si>
  <si>
    <t xml:space="preserve">מי מודיעין </t>
  </si>
  <si>
    <t xml:space="preserve">מודיעין </t>
  </si>
  <si>
    <t>מי נתניה (2003)</t>
  </si>
  <si>
    <t xml:space="preserve">מי עירון </t>
  </si>
  <si>
    <t xml:space="preserve">אום אל פחם </t>
  </si>
  <si>
    <t xml:space="preserve">כפר קרע </t>
  </si>
  <si>
    <t xml:space="preserve">ערערה </t>
  </si>
  <si>
    <t>בסמ"ה</t>
  </si>
  <si>
    <t xml:space="preserve">מעלה עירון </t>
  </si>
  <si>
    <t>באקה-ג'ת</t>
  </si>
  <si>
    <t xml:space="preserve">מי עכו </t>
  </si>
  <si>
    <t>עכו עיריה</t>
  </si>
  <si>
    <t>מי ציונה</t>
  </si>
  <si>
    <t>נס ציונה</t>
  </si>
  <si>
    <t>מזכרת בתיה</t>
  </si>
  <si>
    <t>קרית עקרון</t>
  </si>
  <si>
    <t>מי קרית ביאליק</t>
  </si>
  <si>
    <t>קרית ביאליק</t>
  </si>
  <si>
    <t xml:space="preserve">מי קרית גת (2008) </t>
  </si>
  <si>
    <t>קרית גת</t>
  </si>
  <si>
    <t xml:space="preserve">מי רהט </t>
  </si>
  <si>
    <t>רהט עיריה</t>
  </si>
  <si>
    <t>מי רמת גן</t>
  </si>
  <si>
    <t>רמת גן</t>
  </si>
  <si>
    <t xml:space="preserve">מי רעננה </t>
  </si>
  <si>
    <t>רעננה</t>
  </si>
  <si>
    <t xml:space="preserve">מי רקת </t>
  </si>
  <si>
    <t xml:space="preserve">טבריה </t>
  </si>
  <si>
    <t xml:space="preserve">מגדל </t>
  </si>
  <si>
    <t xml:space="preserve">כפר קמא </t>
  </si>
  <si>
    <t>מי שבע</t>
  </si>
  <si>
    <t>באר שבע</t>
  </si>
  <si>
    <t>אופקים</t>
  </si>
  <si>
    <t xml:space="preserve">מי שמש </t>
  </si>
  <si>
    <t xml:space="preserve">בית שמש </t>
  </si>
  <si>
    <t xml:space="preserve">מי שקמה </t>
  </si>
  <si>
    <t xml:space="preserve">אזור </t>
  </si>
  <si>
    <t>חולון</t>
  </si>
  <si>
    <t>בית דגן</t>
  </si>
  <si>
    <t>אור יהודה</t>
  </si>
  <si>
    <t>מי תקווה</t>
  </si>
  <si>
    <t>גני תקווה</t>
  </si>
  <si>
    <t>מיתב</t>
  </si>
  <si>
    <t>פתח תקוה</t>
  </si>
  <si>
    <t>אלעד</t>
  </si>
  <si>
    <t>כפר ברא</t>
  </si>
  <si>
    <t xml:space="preserve">מניב </t>
  </si>
  <si>
    <t xml:space="preserve">ראשון לציון </t>
  </si>
  <si>
    <t xml:space="preserve">מעיינות אתא </t>
  </si>
  <si>
    <t xml:space="preserve">קריית אתא </t>
  </si>
  <si>
    <t>מעיינות המשולש</t>
  </si>
  <si>
    <t>טירה</t>
  </si>
  <si>
    <t>ג'לג'יוליה</t>
  </si>
  <si>
    <t>כפר קאסם</t>
  </si>
  <si>
    <t xml:space="preserve">מעיינות הדרום </t>
  </si>
  <si>
    <t xml:space="preserve">ערד </t>
  </si>
  <si>
    <t>דימונה</t>
  </si>
  <si>
    <t xml:space="preserve">ירוחם </t>
  </si>
  <si>
    <t>מצפה רמון</t>
  </si>
  <si>
    <t>מעיינות העמקים</t>
  </si>
  <si>
    <t xml:space="preserve">יקנעם -עלית </t>
  </si>
  <si>
    <t>קרית טבעון</t>
  </si>
  <si>
    <t>רמת ישי</t>
  </si>
  <si>
    <t xml:space="preserve">מעינות השרון </t>
  </si>
  <si>
    <t xml:space="preserve">אבן יהודה </t>
  </si>
  <si>
    <t xml:space="preserve">כפר יונה </t>
  </si>
  <si>
    <t xml:space="preserve">פרדסיה </t>
  </si>
  <si>
    <t xml:space="preserve">צורן - קדימה </t>
  </si>
  <si>
    <t xml:space="preserve">תל מונד </t>
  </si>
  <si>
    <t xml:space="preserve">מעינות זיו </t>
  </si>
  <si>
    <t xml:space="preserve">מעלות </t>
  </si>
  <si>
    <t xml:space="preserve">כסרא-סמיע </t>
  </si>
  <si>
    <t xml:space="preserve">כפר ורדים </t>
  </si>
  <si>
    <t xml:space="preserve">שלומי </t>
  </si>
  <si>
    <t>נווה מדבר</t>
  </si>
  <si>
    <t>תל שבע</t>
  </si>
  <si>
    <t xml:space="preserve">חורה </t>
  </si>
  <si>
    <t>לקיה</t>
  </si>
  <si>
    <t>ערערה בנגב</t>
  </si>
  <si>
    <t>כסייפה</t>
  </si>
  <si>
    <t>שגב שלום</t>
  </si>
  <si>
    <t xml:space="preserve">סובב שפרעם </t>
  </si>
  <si>
    <t>בית זרזיר</t>
  </si>
  <si>
    <t xml:space="preserve">כפר מנדא </t>
  </si>
  <si>
    <t xml:space="preserve">כאבול </t>
  </si>
  <si>
    <t xml:space="preserve">שעב </t>
  </si>
  <si>
    <t xml:space="preserve">שפרעם </t>
  </si>
  <si>
    <t xml:space="preserve">תמרה </t>
  </si>
  <si>
    <t xml:space="preserve">בסמת טבעון </t>
  </si>
  <si>
    <t xml:space="preserve">אעבלין </t>
  </si>
  <si>
    <t xml:space="preserve">ביר אל-מכסור </t>
  </si>
  <si>
    <t xml:space="preserve">כאוכב אבו אלהיג'א </t>
  </si>
  <si>
    <t xml:space="preserve">עין אפק </t>
  </si>
  <si>
    <t>ראש העין</t>
  </si>
  <si>
    <t xml:space="preserve">עין כרמים </t>
  </si>
  <si>
    <t xml:space="preserve">כרמיאל </t>
  </si>
  <si>
    <t xml:space="preserve">עין נטפים </t>
  </si>
  <si>
    <t>אילת</t>
  </si>
  <si>
    <t xml:space="preserve">פלג הגליל </t>
  </si>
  <si>
    <t xml:space="preserve">חצור הגלילית </t>
  </si>
  <si>
    <t xml:space="preserve">גוש חלב </t>
  </si>
  <si>
    <t xml:space="preserve">טובא-זנגריה </t>
  </si>
  <si>
    <t xml:space="preserve">יסוד המעלה </t>
  </si>
  <si>
    <t xml:space="preserve">צפת </t>
  </si>
  <si>
    <t>בית ג'ן</t>
  </si>
  <si>
    <t>חורפיש</t>
  </si>
  <si>
    <t>מגאר</t>
  </si>
  <si>
    <t>סאג'ור</t>
  </si>
  <si>
    <t xml:space="preserve">עילבון </t>
  </si>
  <si>
    <t xml:space="preserve">פסוטה </t>
  </si>
  <si>
    <t xml:space="preserve">פקיעין </t>
  </si>
  <si>
    <t xml:space="preserve">רמה </t>
  </si>
  <si>
    <t>פלגי השרון</t>
  </si>
  <si>
    <t>כוכב יאיר</t>
  </si>
  <si>
    <t xml:space="preserve">פלגי מוצקין </t>
  </si>
  <si>
    <t xml:space="preserve">קריית מוצקין </t>
  </si>
  <si>
    <t>רכסים</t>
  </si>
  <si>
    <t xml:space="preserve">שרונים </t>
  </si>
  <si>
    <t xml:space="preserve">רמת השרון </t>
  </si>
  <si>
    <t>ת.מ.ר.</t>
  </si>
  <si>
    <t>רמלה</t>
  </si>
  <si>
    <t xml:space="preserve">אור עקיבא </t>
  </si>
  <si>
    <t xml:space="preserve"> אורנית</t>
  </si>
  <si>
    <t xml:space="preserve">אליכין </t>
  </si>
  <si>
    <t xml:space="preserve">אלפי מנשה </t>
  </si>
  <si>
    <t xml:space="preserve">אלקנה </t>
  </si>
  <si>
    <t>אפרת</t>
  </si>
  <si>
    <t xml:space="preserve">באר יעקב </t>
  </si>
  <si>
    <t>בוקעאתא</t>
  </si>
  <si>
    <t xml:space="preserve">בית אל </t>
  </si>
  <si>
    <t xml:space="preserve">בית אריה - עופרים </t>
  </si>
  <si>
    <t xml:space="preserve">ביתר עילית </t>
  </si>
  <si>
    <t xml:space="preserve">בני עי"ש </t>
  </si>
  <si>
    <t xml:space="preserve">בנימינה - גבעת עדה </t>
  </si>
  <si>
    <t xml:space="preserve">גבעת זאב </t>
  </si>
  <si>
    <t xml:space="preserve">גבעת שמואל </t>
  </si>
  <si>
    <t xml:space="preserve">גדרה </t>
  </si>
  <si>
    <t>גיסר אל זרקא</t>
  </si>
  <si>
    <t>דלית אל כרמל</t>
  </si>
  <si>
    <t>הר אדר</t>
  </si>
  <si>
    <t xml:space="preserve">זמר </t>
  </si>
  <si>
    <t>חריש</t>
  </si>
  <si>
    <t xml:space="preserve">טירת הכרמל </t>
  </si>
  <si>
    <t xml:space="preserve">יהוד </t>
  </si>
  <si>
    <t xml:space="preserve">כפר סבא </t>
  </si>
  <si>
    <t xml:space="preserve">כפר שמריהו </t>
  </si>
  <si>
    <t xml:space="preserve">כפר תבור </t>
  </si>
  <si>
    <t>מודיעין עלית</t>
  </si>
  <si>
    <t xml:space="preserve">מיתר </t>
  </si>
  <si>
    <t>מעלה אדומים</t>
  </si>
  <si>
    <t xml:space="preserve">מעלה אפרים </t>
  </si>
  <si>
    <t xml:space="preserve">*נהריה </t>
  </si>
  <si>
    <t xml:space="preserve">סביון </t>
  </si>
  <si>
    <t>עג'ר</t>
  </si>
  <si>
    <t>עוספיה</t>
  </si>
  <si>
    <t xml:space="preserve">עין קניה </t>
  </si>
  <si>
    <t xml:space="preserve">עמנואל  </t>
  </si>
  <si>
    <t xml:space="preserve">פרדיס </t>
  </si>
  <si>
    <t xml:space="preserve">פרדס חנה-כרכור </t>
  </si>
  <si>
    <t>*קדומים</t>
  </si>
  <si>
    <t xml:space="preserve">קלנסואה </t>
  </si>
  <si>
    <t xml:space="preserve">קרית ארבע חברון </t>
  </si>
  <si>
    <t xml:space="preserve">קרית יערים </t>
  </si>
  <si>
    <t xml:space="preserve">קרית מלאכי </t>
  </si>
  <si>
    <t xml:space="preserve">רחובות </t>
  </si>
  <si>
    <t xml:space="preserve">שהם </t>
  </si>
  <si>
    <t xml:space="preserve">יחס ביוב </t>
  </si>
  <si>
    <t xml:space="preserve">נתונים מגזבר אור עקיבא במייל </t>
  </si>
  <si>
    <t xml:space="preserve">התקבלו נתונים - לא סופי </t>
  </si>
  <si>
    <t xml:space="preserve">לפי נתוני המועצה מסמך בוכניק כללו תקורות וגביה ועלויות בפועל של עובדים </t>
  </si>
  <si>
    <t xml:space="preserve">התקבל תחשיב של בוכניק </t>
  </si>
  <si>
    <t xml:space="preserve">תחשיב עלות אחזקה עלות עובדים  חריגה </t>
  </si>
  <si>
    <t xml:space="preserve">מרווח חלוקה מים </t>
  </si>
  <si>
    <t xml:space="preserve">מרווח חלוקה ביוב </t>
  </si>
  <si>
    <t>קרן שיקום ביוב</t>
  </si>
  <si>
    <t xml:space="preserve">קרן שיקום מים </t>
  </si>
  <si>
    <t xml:space="preserve">פחת מים </t>
  </si>
  <si>
    <t xml:space="preserve">פחת גביה </t>
  </si>
  <si>
    <t>תערי, מלא</t>
  </si>
  <si>
    <t>מים</t>
  </si>
  <si>
    <t>ביוב</t>
  </si>
  <si>
    <t>הפרש</t>
  </si>
  <si>
    <t>הסבר להפרש</t>
  </si>
  <si>
    <t>עלויות הון</t>
  </si>
  <si>
    <t>פחת מערכת מים</t>
  </si>
  <si>
    <t>ריבית מערכת מים</t>
  </si>
  <si>
    <t>תשואה מערכת מים</t>
  </si>
  <si>
    <t>מלכ"ר - לא נדרש רווח עם זאת הנחנו כי שיעור ההלוואות (הון זר) ששימשו להשקעות גדול מבתאגיד בכ-20%</t>
  </si>
  <si>
    <t>זכויות מים</t>
  </si>
  <si>
    <t>החזר צרכנים</t>
  </si>
  <si>
    <t>הצרכנים זכאים לקיזוז עלויות ההון בגין היטלים ששילמו בעבר. עם זאת בתאגידים, היות והם נדרשו לשלם לרשויות המקומיות 40% מסך התשתיות (גם כאלו שנקנו בממון היטלים) נוטרל חלק מהקיזוז הנדרש. החל משנת 2010 כלל ההיטלים ששילמו הצרכנים בתאגידים מקוזזים. לגבי הספקים אומדן קיזוז ההיטלים נעשה ללא קיומן של הלוואות לרשויות בגי צרכנים גם על הלוואת הרשות לתאגיד</t>
  </si>
  <si>
    <t>עלויות תפעול</t>
  </si>
  <si>
    <t>רכיב תפעול מים</t>
  </si>
  <si>
    <t xml:space="preserve">הספק לא נדרש לאמות מידה של התאגיד. </t>
  </si>
  <si>
    <t>לפי יעד הפחת</t>
  </si>
  <si>
    <t>בגין קרן שיקום</t>
  </si>
  <si>
    <t>הנהלה</t>
  </si>
  <si>
    <t>גבייה</t>
  </si>
  <si>
    <t>יעד פחת מים</t>
  </si>
  <si>
    <t>יעד פחת גבייה</t>
  </si>
  <si>
    <t xml:space="preserve">שרותי תשתית </t>
  </si>
  <si>
    <t>פרדיס</t>
  </si>
  <si>
    <t>מס'</t>
  </si>
  <si>
    <t xml:space="preserve">הפחתה בגין רגולציה שונה </t>
  </si>
  <si>
    <t>הכרה מלאה לפי תאגידים</t>
  </si>
  <si>
    <t xml:space="preserve">חלק יחסי מרכיב </t>
  </si>
  <si>
    <t xml:space="preserve">סה"כ לרכיב </t>
  </si>
  <si>
    <t xml:space="preserve">ללא אמות מידה לשרות מלאות, ללא חובת הודעות לצרכנים , ללא חובת פיצויים לצרכנים ועוד </t>
  </si>
  <si>
    <t>ללא חובות דיווח , ללא חובת הכנת דו"חות כספיים מפורטים , ללא רישום עלויות מפורט ועוד</t>
  </si>
  <si>
    <t xml:space="preserve">אין מערכת ביוב </t>
  </si>
  <si>
    <t xml:space="preserve">אין מערכת ביוב עדיין </t>
  </si>
  <si>
    <t xml:space="preserve">ללא אמות מידה להפסקות מים, ללא חובות יידוע הפסקות מים, ללא חובות דיווח כמות גבוהה, גבוהה מאוד חריגה , ללא חובות קריאה ומתן הערכה , ללא פיצויים לצרכנים, אין מידע על בריכות אגירה מרביתם של היישובים הקטנים נסמכים על איגום של חברת מקורות  ועוד </t>
  </si>
  <si>
    <t xml:space="preserve">ללא אמות מידה הנדסיות, ללא חובות צילום ושטיפה מלאות, ללא חובת הגשת תוכניות, ללא חובת רישום תקלות , ללא חובת שאיבת בורות סופגים ועוד  בהפחתת - ביוביות ואנרגיה </t>
  </si>
  <si>
    <t>מדד יולי 2013</t>
  </si>
  <si>
    <t>תעריפי אגרות ביוב ומים למגורים למ"ק לרשויות שאינן מאוגדות</t>
  </si>
  <si>
    <t>תעריפי יולי 2013</t>
  </si>
  <si>
    <t>שם הרשות</t>
  </si>
  <si>
    <t>סוג הנכס</t>
  </si>
  <si>
    <t>סוג התשלום</t>
  </si>
  <si>
    <t xml:space="preserve">תעריף ביוב בש"ח למ"ק במחירי מדד הבסיס </t>
  </si>
  <si>
    <t>תאריך בסיס</t>
  </si>
  <si>
    <t>תאריך מדד בסיס</t>
  </si>
  <si>
    <t>מדד בסיס</t>
  </si>
  <si>
    <t>תעריף אגרת ביוב במחירי יולי 2013</t>
  </si>
  <si>
    <t>אגרת מים - כמות מוכרת</t>
  </si>
  <si>
    <t>אגרת מים - מעבר לכמות מוכרת</t>
  </si>
  <si>
    <t>סה"כ אגרת מים וביוב - כמות מוכרת</t>
  </si>
  <si>
    <t>סה"כ אגרת מים וביוב - מעבר לכמות מוכרת</t>
  </si>
  <si>
    <t>כל הנכסים</t>
  </si>
  <si>
    <t>אגרה</t>
  </si>
  <si>
    <t>החזר הון</t>
  </si>
  <si>
    <t>ס"ה</t>
  </si>
  <si>
    <t>יהוד-מונוסון</t>
  </si>
  <si>
    <t>ג'סר אל זרקא</t>
  </si>
  <si>
    <t>אגרת פחת</t>
  </si>
  <si>
    <t>מגורים ולשימוש</t>
  </si>
  <si>
    <t>אחר שאינו תעשייה</t>
  </si>
  <si>
    <t>רחובות</t>
  </si>
  <si>
    <t>בני עי"ש</t>
  </si>
  <si>
    <t>פרדס חנה-כרכור</t>
  </si>
  <si>
    <t>כל נכס פרט לנכס המשמש לתעשיה</t>
  </si>
  <si>
    <t>כל הנכסים פרט</t>
  </si>
  <si>
    <t>לתעשייה</t>
  </si>
  <si>
    <t xml:space="preserve">21.12.2000 לפי מועד תחילה </t>
  </si>
  <si>
    <t>שיקום המערכת</t>
  </si>
  <si>
    <t>סה</t>
  </si>
  <si>
    <t>בנימינה- גבעת עדה</t>
  </si>
  <si>
    <t>לכל נכס למעט תעשיה או מלאכה</t>
  </si>
  <si>
    <t>כל הנכסים למעט תעשיה</t>
  </si>
  <si>
    <t>גבעת שמואל</t>
  </si>
  <si>
    <t>לפי תאריך פרסום 10.12.2001</t>
  </si>
  <si>
    <t>מגורים,חקלאות</t>
  </si>
  <si>
    <t>לבניה</t>
  </si>
  <si>
    <t>קרן פחת</t>
  </si>
  <si>
    <t>נכס למגורים</t>
  </si>
  <si>
    <t>ביב מאסף</t>
  </si>
  <si>
    <t>עין קניה</t>
  </si>
  <si>
    <t>טירת כרמל</t>
  </si>
  <si>
    <t>נכס אחר</t>
  </si>
  <si>
    <t>באר יעקב</t>
  </si>
  <si>
    <t>כל נכס אחר למעט מסחר תעשיה ומלאכה</t>
  </si>
  <si>
    <t>מגורים או מלאכה</t>
  </si>
  <si>
    <t>28.9.1986 מועד תחילה</t>
  </si>
  <si>
    <t>לכל צריכה למעט חקלאות ובניה</t>
  </si>
  <si>
    <t xml:space="preserve">21.9.1978 מועד תחילה </t>
  </si>
  <si>
    <t>אוגוסט 1978 בלירות</t>
  </si>
  <si>
    <t>לכל מ"ק למעט חקלאות</t>
  </si>
  <si>
    <t>לפי תאריך פרסום 20.11.1988</t>
  </si>
  <si>
    <t>נשר</t>
  </si>
  <si>
    <t>26.4.1990 לפי תעריף תחילה</t>
  </si>
  <si>
    <t>האגרה נקובה בלירות - כנראה בטעות</t>
  </si>
  <si>
    <t>לפי מועד תיקונים 10.12.2001</t>
  </si>
  <si>
    <t>חוק העזר מתייחס להיטל ביוב ולא לאגרת ביוב</t>
  </si>
  <si>
    <t>פורדיס</t>
  </si>
  <si>
    <t>עספייה</t>
  </si>
  <si>
    <t>כעביה-טבאש</t>
  </si>
  <si>
    <t>הופק לאחרונה עבור ירחון מחירים מס' 9/2013</t>
  </si>
  <si>
    <r>
      <t xml:space="preserve">א. </t>
    </r>
    <r>
      <rPr>
        <b/>
        <u/>
        <sz val="11"/>
        <color indexed="48"/>
        <rFont val="Arial (Hebrew)"/>
        <charset val="177"/>
      </rPr>
      <t>מדד המחירים לצרכן</t>
    </r>
  </si>
  <si>
    <t>לוח 3.1 .- מדד המחירים לצרכן
לפי בסיס ספטמבר 1951 = 100.0</t>
  </si>
  <si>
    <t>שנה</t>
  </si>
  <si>
    <t>חודש</t>
  </si>
  <si>
    <t xml:space="preserve">רכיב ביוב ללא מט"ש חוקי עזר </t>
  </si>
  <si>
    <t>חוקי עזר</t>
  </si>
  <si>
    <t>דו"ח אדן - אוקטובר 2006</t>
  </si>
  <si>
    <t>למ"ק ביוב</t>
  </si>
  <si>
    <t>ירוד</t>
  </si>
  <si>
    <t>בסיסי</t>
  </si>
  <si>
    <t>ללא מגבלות</t>
  </si>
  <si>
    <t>איכות נדרשת (נחל)</t>
  </si>
  <si>
    <t>גודל מט"ש</t>
  </si>
  <si>
    <t>קטן</t>
  </si>
  <si>
    <t>גדול</t>
  </si>
  <si>
    <t>הון</t>
  </si>
  <si>
    <t>אנרגיה</t>
  </si>
  <si>
    <t>כימיכלים</t>
  </si>
  <si>
    <t>בוצה</t>
  </si>
  <si>
    <t>קבועות</t>
  </si>
  <si>
    <t>בתוספת 13%</t>
  </si>
  <si>
    <t>למ"ק מים</t>
  </si>
  <si>
    <t>תפעול בלבד</t>
  </si>
  <si>
    <t xml:space="preserve">תעריף גבוה כולל גביית קרן שיקום מים וביוב </t>
  </si>
  <si>
    <t xml:space="preserve">מרווח מים </t>
  </si>
  <si>
    <t>מרווח ביוב</t>
  </si>
  <si>
    <t xml:space="preserve">הולכה </t>
  </si>
  <si>
    <t xml:space="preserve">תעריף רכישה גבוה </t>
  </si>
  <si>
    <t>יישוב</t>
  </si>
  <si>
    <t>רכיב ביוב כולל מט"ש והולכה מודל מוצע</t>
  </si>
  <si>
    <t>מרווח לתאגיד ממוצע בשנת 2015</t>
  </si>
  <si>
    <t xml:space="preserve">ספק מועצה מקומית </t>
  </si>
  <si>
    <t xml:space="preserve">תעריף מים נמוך </t>
  </si>
  <si>
    <t>תעריף גבוה</t>
  </si>
  <si>
    <t>תעריף נמוך</t>
  </si>
  <si>
    <t>הפחתת תחזוקת מונים</t>
  </si>
  <si>
    <t>חלוקה</t>
  </si>
  <si>
    <t>חלוקה בניכוי קרן שיקום</t>
  </si>
  <si>
    <t>ביוב מנוכה</t>
  </si>
  <si>
    <t xml:space="preserve">תעריף צרכן למים וביוב לפני כמות מוכרת </t>
  </si>
  <si>
    <t xml:space="preserve">תעריף רשויות מקומיות </t>
  </si>
  <si>
    <t>תעריף רשות מקומית</t>
  </si>
  <si>
    <t xml:space="preserve">תעריף צרכן למים וביוב תאגיד </t>
  </si>
  <si>
    <t xml:space="preserve">תעריף צרכן למים וביוב תאגיד כמות מוכרת כולל מע"מ </t>
  </si>
  <si>
    <t xml:space="preserve">הפרש לכמות מוכרת </t>
  </si>
  <si>
    <t>הפרש לתעריף שולי</t>
  </si>
  <si>
    <t xml:space="preserve">תעריף ביוב כולל מע"מ מתווה חדש </t>
  </si>
  <si>
    <t xml:space="preserve">תעריף צרכן מים _+ ביוב בשתי שורות </t>
  </si>
  <si>
    <t xml:space="preserve">תעריף צרכן למים וביוב מעל כמות מוכרת </t>
  </si>
  <si>
    <t xml:space="preserve">תעריף ביוב שביקשו רשויות מסויימות </t>
  </si>
  <si>
    <t xml:space="preserve">ללא קרן שיקום </t>
  </si>
  <si>
    <t xml:space="preserve">כולל 29 אג' קרן שיקום </t>
  </si>
  <si>
    <t xml:space="preserve">כולל 1.04 קרן שיקום </t>
  </si>
  <si>
    <t xml:space="preserve">הפרש - בין תעריף נוכחי לתעריף עם ביוב מוצע </t>
  </si>
  <si>
    <t xml:space="preserve">הפרש בין תעריף קודם לצרכן לבין תעריף חדש לפי תאגידים </t>
  </si>
  <si>
    <t xml:space="preserve">תעריף למים רשויות + ביוב חדש כולל מע"מ ללא קטימה לפי תעריף תאגידים </t>
  </si>
  <si>
    <t>יחס קולחין למים</t>
  </si>
  <si>
    <t>ביוב לפני מע"מ</t>
  </si>
  <si>
    <t>ביוב כולל מע"מ</t>
  </si>
  <si>
    <t>בנימינה - גבעת עדה</t>
  </si>
  <si>
    <t>טירת הכרמל</t>
  </si>
  <si>
    <t>קרית יערים</t>
  </si>
  <si>
    <t xml:space="preserve">ראש פינה </t>
  </si>
  <si>
    <t xml:space="preserve">תעריף מכירה נמוך </t>
  </si>
  <si>
    <t>שם  הרשות המקומית</t>
  </si>
  <si>
    <t xml:space="preserve">אשכול חברתי-כלכלי 2008 (1 נמוך, 10 גבוה)   </t>
  </si>
  <si>
    <t>סוציו חדש</t>
  </si>
  <si>
    <t>מס' תושבים</t>
  </si>
  <si>
    <t>אבו גוש</t>
  </si>
  <si>
    <t>אבו סנאן</t>
  </si>
  <si>
    <t>אבן יהודה</t>
  </si>
  <si>
    <t>אום אל-פחם</t>
  </si>
  <si>
    <t>אורנית</t>
  </si>
  <si>
    <t>אזור</t>
  </si>
  <si>
    <t xml:space="preserve">אילת </t>
  </si>
  <si>
    <t>אכסאל</t>
  </si>
  <si>
    <t>אלפי מנשה</t>
  </si>
  <si>
    <t>אלקנה</t>
  </si>
  <si>
    <t xml:space="preserve">אעבלין  </t>
  </si>
  <si>
    <t>אפרתה</t>
  </si>
  <si>
    <t>אשדוד</t>
  </si>
  <si>
    <t xml:space="preserve">אשקלון </t>
  </si>
  <si>
    <t>באקה אל-גרביה</t>
  </si>
  <si>
    <t>ביר אל מכסור</t>
  </si>
  <si>
    <t>בית אל</t>
  </si>
  <si>
    <t>בית אריה</t>
  </si>
  <si>
    <t>בית ג'אן</t>
  </si>
  <si>
    <t>ביתר עילית</t>
  </si>
  <si>
    <t>בני עייש</t>
  </si>
  <si>
    <t>בענה</t>
  </si>
  <si>
    <t>ג'דידה אלמכר</t>
  </si>
  <si>
    <t xml:space="preserve">ג'לג'וליה </t>
  </si>
  <si>
    <t>גוש חלב</t>
  </si>
  <si>
    <t>באקה ג'את</t>
  </si>
  <si>
    <t>גבעת זאב</t>
  </si>
  <si>
    <t>דבורייה</t>
  </si>
  <si>
    <t>דיר אלאסד</t>
  </si>
  <si>
    <t>דיר חנא</t>
  </si>
  <si>
    <t>זרזיר</t>
  </si>
  <si>
    <t>חורה</t>
  </si>
  <si>
    <t>חיפה</t>
  </si>
  <si>
    <t>חצור הגלילית</t>
  </si>
  <si>
    <t>טבריה</t>
  </si>
  <si>
    <t>טובא-זנגרייה</t>
  </si>
  <si>
    <t>טורעאן</t>
  </si>
  <si>
    <t>טמרה</t>
  </si>
  <si>
    <t>יאנוח ג'ת</t>
  </si>
  <si>
    <t>יבניאל</t>
  </si>
  <si>
    <t>יבנה</t>
  </si>
  <si>
    <t>יהוד מונוסון</t>
  </si>
  <si>
    <t>יסוד המעלה</t>
  </si>
  <si>
    <t>יפיע</t>
  </si>
  <si>
    <t>יקנעם עילית</t>
  </si>
  <si>
    <t>ירוחם</t>
  </si>
  <si>
    <t xml:space="preserve">ירושלים </t>
  </si>
  <si>
    <t>ירכא</t>
  </si>
  <si>
    <t>כאוכב</t>
  </si>
  <si>
    <t>צור יגאל</t>
  </si>
  <si>
    <t>כסיפה</t>
  </si>
  <si>
    <t>כסרא-סמיע</t>
  </si>
  <si>
    <t>כעביה</t>
  </si>
  <si>
    <t>כפר ורדים</t>
  </si>
  <si>
    <t>כפר יאסיף</t>
  </si>
  <si>
    <t>כפר יונה</t>
  </si>
  <si>
    <t>כפר כמא</t>
  </si>
  <si>
    <t>כפר כנא</t>
  </si>
  <si>
    <t>כפר סבא</t>
  </si>
  <si>
    <t>כפר קרע</t>
  </si>
  <si>
    <t>כרמיאל</t>
  </si>
  <si>
    <t>מבשרת ציון</t>
  </si>
  <si>
    <t>מג'דל כרום</t>
  </si>
  <si>
    <t>מג'דל שמס</t>
  </si>
  <si>
    <t>מגדל</t>
  </si>
  <si>
    <t>מודיעין-מכבים-רעות</t>
  </si>
  <si>
    <t>מודיעין עילית</t>
  </si>
  <si>
    <t>מזרעה</t>
  </si>
  <si>
    <t>מעלה אפרים</t>
  </si>
  <si>
    <t>מעלה עירון</t>
  </si>
  <si>
    <t>מעלות-תרשיחא</t>
  </si>
  <si>
    <t>משהד</t>
  </si>
  <si>
    <t>נחף</t>
  </si>
  <si>
    <t>נצרת</t>
  </si>
  <si>
    <t xml:space="preserve">נצרת עילית </t>
  </si>
  <si>
    <t>נתניה</t>
  </si>
  <si>
    <t>סכנין</t>
  </si>
  <si>
    <t>ע'ג'ר</t>
  </si>
  <si>
    <t>..</t>
  </si>
  <si>
    <t>עילבון</t>
  </si>
  <si>
    <t>עין קיניא</t>
  </si>
  <si>
    <t>עכו</t>
  </si>
  <si>
    <t>עמנואל</t>
  </si>
  <si>
    <t>ערד</t>
  </si>
  <si>
    <t>ערערה</t>
  </si>
  <si>
    <t>פסוטה</t>
  </si>
  <si>
    <t>פקיעין</t>
  </si>
  <si>
    <t>פרדסיה</t>
  </si>
  <si>
    <t xml:space="preserve">פתח תקוה </t>
  </si>
  <si>
    <t>צפת</t>
  </si>
  <si>
    <t>קדומים</t>
  </si>
  <si>
    <t>קדימה צורן</t>
  </si>
  <si>
    <t xml:space="preserve">קרית אונו </t>
  </si>
  <si>
    <t>קריית ארבע</t>
  </si>
  <si>
    <t>קריית אתא</t>
  </si>
  <si>
    <t>קריית ביאליק</t>
  </si>
  <si>
    <t>קריית גת</t>
  </si>
  <si>
    <t>קריית טבעון</t>
  </si>
  <si>
    <t>קריית ים</t>
  </si>
  <si>
    <t>קריית מוצקין</t>
  </si>
  <si>
    <t>קריית עקרון</t>
  </si>
  <si>
    <t>ראמה</t>
  </si>
  <si>
    <t>ראשון לציון</t>
  </si>
  <si>
    <t>רהט</t>
  </si>
  <si>
    <t>ריינה</t>
  </si>
  <si>
    <t>רמת השרון</t>
  </si>
  <si>
    <t>שיבלי</t>
  </si>
  <si>
    <t>שלומי</t>
  </si>
  <si>
    <t>תל אביב-יפו</t>
  </si>
  <si>
    <t>תל מונד</t>
  </si>
  <si>
    <t>אשכול חברתי</t>
  </si>
  <si>
    <t>חלש</t>
  </si>
  <si>
    <t>מקורות נמוך</t>
  </si>
  <si>
    <t>מקורות גבוה</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</si>
</sst>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3" formatCode="_ * #,##0.00_ ;_ * \-#,##0.00_ ;_ * &quot;-&quot;??_ ;_ @_ "/>
    <numFmt numFmtId="164" formatCode="0.000"/>
    <numFmt numFmtId="165" formatCode="_ * #,##0.000_ ;_ * \-#,##0.000_ ;_ * &quot;-&quot;??_ ;_ @_ "/>
    <numFmt numFmtId="166" formatCode="0.0"/>
    <numFmt numFmtId="167" formatCode="0.0%"/>
    <numFmt numFmtId="168" formatCode="#,##0.000"/>
    <numFmt numFmtId="169" formatCode="#,##0.0000"/>
    <numFmt numFmtId="170" formatCode="#,##0.000000"/>
    <numFmt numFmtId="171" formatCode="_ * #,##0.00000_ ;_ * \-#,##0.00000_ ;_ * &quot;-&quot;??_ ;_ @_ "/>
    <numFmt numFmtId="172" formatCode="_ * #,##0.000_ ;_ * \-#,##0.000_ ;_ * &quot;-&quot;???_ ;_ @_ "/>
    <numFmt numFmtId="173" formatCode="0.00_ ;[Red]\-0.00\ "/>
    <numFmt numFmtId="174" formatCode="_ * #,##0_ ;_ * \-#,##0_ ;_ * &quot;-&quot;??_ ;_ @_ "/>
  </numFmts>
  <fonts count="31" x14ac:knownFonts="1">
    <font>
      <sz val="10"/>
      <name val="Arial"/>
      <charset val="177"/>
    </font>
    <font>
      <sz val="11"/>
      <color theme="1"/>
      <name val="Arial"/>
      <family val="2"/>
      <charset val="177"/>
      <scheme val="minor"/>
    </font>
    <font>
      <sz val="11"/>
      <color theme="1"/>
      <name val="Arial"/>
      <family val="2"/>
      <charset val="177"/>
      <scheme val="minor"/>
    </font>
    <font>
      <b/>
      <sz val="11"/>
      <color theme="3"/>
      <name val="Arial"/>
      <family val="2"/>
      <charset val="177"/>
      <scheme val="minor"/>
    </font>
    <font>
      <sz val="10"/>
      <name val="Arial"/>
      <family val="2"/>
    </font>
    <font>
      <b/>
      <sz val="10"/>
      <color theme="3"/>
      <name val="Arial"/>
      <family val="2"/>
      <charset val="177"/>
      <scheme val="minor"/>
    </font>
    <font>
      <b/>
      <sz val="10"/>
      <name val="Arial"/>
      <family val="2"/>
    </font>
    <font>
      <sz val="10"/>
      <color theme="1"/>
      <name val="Arial"/>
      <family val="2"/>
      <charset val="177"/>
      <scheme val="minor"/>
    </font>
    <font>
      <sz val="9"/>
      <color indexed="81"/>
      <name val="Tahoma"/>
      <family val="2"/>
    </font>
    <font>
      <b/>
      <sz val="9"/>
      <color indexed="81"/>
      <name val="Tahoma"/>
      <family val="2"/>
    </font>
    <font>
      <b/>
      <sz val="11"/>
      <color theme="1"/>
      <name val="Arial"/>
      <family val="2"/>
      <scheme val="minor"/>
    </font>
    <font>
      <sz val="11"/>
      <name val="Arial"/>
      <family val="2"/>
      <charset val="177"/>
      <scheme val="minor"/>
    </font>
    <font>
      <b/>
      <u/>
      <sz val="11"/>
      <color theme="1"/>
      <name val="Arial"/>
      <family val="2"/>
      <scheme val="minor"/>
    </font>
    <font>
      <b/>
      <sz val="12"/>
      <color theme="1"/>
      <name val="Arial"/>
      <family val="2"/>
      <scheme val="minor"/>
    </font>
    <font>
      <b/>
      <u/>
      <sz val="14"/>
      <color theme="1"/>
      <name val="Arial"/>
      <family val="2"/>
      <scheme val="minor"/>
    </font>
    <font>
      <b/>
      <u/>
      <sz val="11"/>
      <color theme="1"/>
      <name val="Arial"/>
      <family val="2"/>
      <charset val="177"/>
      <scheme val="minor"/>
    </font>
    <font>
      <b/>
      <u/>
      <sz val="12"/>
      <color theme="1"/>
      <name val="Arial"/>
      <family val="2"/>
      <scheme val="minor"/>
    </font>
    <font>
      <sz val="14"/>
      <color theme="1"/>
      <name val="Arial"/>
      <family val="2"/>
      <charset val="177"/>
      <scheme val="minor"/>
    </font>
    <font>
      <b/>
      <sz val="14"/>
      <color theme="1"/>
      <name val="Arial"/>
      <family val="2"/>
      <charset val="177"/>
      <scheme val="minor"/>
    </font>
    <font>
      <b/>
      <sz val="11"/>
      <color indexed="16"/>
      <name val="Arial (Hebrew)"/>
      <charset val="177"/>
    </font>
    <font>
      <sz val="11"/>
      <name val="Arial"/>
      <family val="2"/>
    </font>
    <font>
      <b/>
      <sz val="11"/>
      <color indexed="48"/>
      <name val="Arial (Hebrew)"/>
      <charset val="177"/>
    </font>
    <font>
      <b/>
      <u/>
      <sz val="11"/>
      <color indexed="48"/>
      <name val="Arial (Hebrew)"/>
      <charset val="177"/>
    </font>
    <font>
      <b/>
      <sz val="11"/>
      <name val="Arial (Hebrew)"/>
      <charset val="177"/>
    </font>
    <font>
      <b/>
      <sz val="11"/>
      <name val="Arial"/>
      <family val="2"/>
    </font>
    <font>
      <sz val="10"/>
      <name val="Arial"/>
      <family val="2"/>
    </font>
    <font>
      <b/>
      <sz val="12"/>
      <name val="Arial"/>
      <family val="2"/>
    </font>
    <font>
      <sz val="8"/>
      <color indexed="81"/>
      <name val="Tahoma"/>
      <family val="2"/>
    </font>
    <font>
      <b/>
      <sz val="8"/>
      <color indexed="81"/>
      <name val="Tahoma"/>
      <family val="2"/>
    </font>
    <font>
      <sz val="10"/>
      <color indexed="8"/>
      <name val="Arial"/>
      <family val="2"/>
    </font>
    <font>
      <sz val="12"/>
      <name val="Arial"/>
      <family val="2"/>
    </font>
  </fonts>
  <fills count="8">
    <fill>
      <patternFill patternType="none"/>
    </fill>
    <fill>
      <patternFill patternType="gray125"/>
    </fill>
    <fill>
      <patternFill patternType="solid">
        <fgColor rgb="FFFFFF00"/>
        <bgColor indexed="64"/>
      </patternFill>
    </fill>
    <fill>
      <patternFill patternType="solid">
        <fgColor theme="0" tint="-0.14996795556505021"/>
        <bgColor theme="4" tint="0.79998168889431442"/>
      </patternFill>
    </fill>
    <fill>
      <patternFill patternType="solid">
        <fgColor rgb="FFFFC000"/>
        <bgColor indexed="64"/>
      </patternFill>
    </fill>
    <fill>
      <patternFill patternType="solid">
        <fgColor theme="4" tint="0.59999389629810485"/>
        <bgColor indexed="64"/>
      </patternFill>
    </fill>
    <fill>
      <patternFill patternType="solid">
        <fgColor rgb="FFFF0000"/>
        <bgColor indexed="64"/>
      </patternFill>
    </fill>
    <fill>
      <patternFill patternType="solid">
        <fgColor theme="0" tint="-0.14996795556505021"/>
        <bgColor indexed="64"/>
      </patternFill>
    </fill>
  </fills>
  <borders count="55">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bottom style="double">
        <color indexed="64"/>
      </bottom>
      <diagonal/>
    </border>
    <border>
      <left/>
      <right style="thin">
        <color indexed="64"/>
      </right>
      <top style="double">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thin">
        <color indexed="64"/>
      </top>
      <bottom style="thin">
        <color indexed="64"/>
      </bottom>
      <diagonal/>
    </border>
    <border>
      <left/>
      <right style="thin">
        <color indexed="64"/>
      </right>
      <top/>
      <bottom style="double">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8">
    <xf numFmtId="0" fontId="0" fillId="0" borderId="0"/>
    <xf numFmtId="43" fontId="4" fillId="0" borderId="0" applyFont="0" applyFill="0" applyBorder="0" applyAlignment="0" applyProtection="0"/>
    <xf numFmtId="0" fontId="3" fillId="0" borderId="1" applyNumberFormat="0" applyFill="0" applyAlignment="0" applyProtection="0"/>
    <xf numFmtId="0" fontId="2" fillId="0" borderId="0"/>
    <xf numFmtId="0" fontId="1" fillId="0" borderId="0"/>
    <xf numFmtId="0" fontId="4" fillId="0" borderId="0"/>
    <xf numFmtId="9" fontId="25" fillId="0" borderId="0" applyFont="0" applyFill="0" applyBorder="0" applyAlignment="0" applyProtection="0"/>
    <xf numFmtId="0" fontId="29" fillId="0" borderId="0"/>
  </cellStyleXfs>
  <cellXfs count="332">
    <xf numFmtId="0" fontId="0" fillId="0" borderId="0" xfId="0"/>
    <xf numFmtId="0" fontId="5" fillId="3" borderId="2" xfId="2" applyFont="1" applyFill="1" applyBorder="1"/>
    <xf numFmtId="0" fontId="5" fillId="3" borderId="2" xfId="2" applyFont="1" applyFill="1" applyBorder="1" applyAlignment="1">
      <alignment horizontal="right"/>
    </xf>
    <xf numFmtId="0" fontId="7" fillId="0" borderId="6" xfId="3" applyFont="1" applyBorder="1"/>
    <xf numFmtId="0" fontId="7" fillId="0" borderId="7" xfId="3" applyFont="1" applyBorder="1"/>
    <xf numFmtId="3" fontId="7" fillId="0" borderId="7" xfId="3" applyNumberFormat="1" applyFont="1" applyBorder="1"/>
    <xf numFmtId="166" fontId="7" fillId="0" borderId="7" xfId="3" applyNumberFormat="1" applyFont="1" applyBorder="1" applyAlignment="1">
      <alignment horizontal="center"/>
    </xf>
    <xf numFmtId="166" fontId="7" fillId="0" borderId="8" xfId="3" applyNumberFormat="1" applyFont="1" applyBorder="1" applyAlignment="1">
      <alignment horizontal="center"/>
    </xf>
    <xf numFmtId="0" fontId="7" fillId="0" borderId="0" xfId="3" applyFont="1"/>
    <xf numFmtId="0" fontId="7" fillId="0" borderId="9" xfId="3" applyFont="1" applyBorder="1"/>
    <xf numFmtId="0" fontId="7" fillId="0" borderId="0" xfId="3" applyFont="1" applyBorder="1"/>
    <xf numFmtId="3" fontId="7" fillId="0" borderId="0" xfId="3" applyNumberFormat="1" applyFont="1" applyBorder="1"/>
    <xf numFmtId="166" fontId="7" fillId="0" borderId="0" xfId="3" applyNumberFormat="1" applyFont="1" applyBorder="1" applyAlignment="1">
      <alignment horizontal="center"/>
    </xf>
    <xf numFmtId="166" fontId="7" fillId="0" borderId="10" xfId="3" applyNumberFormat="1" applyFont="1" applyBorder="1" applyAlignment="1">
      <alignment horizontal="center"/>
    </xf>
    <xf numFmtId="0" fontId="7" fillId="0" borderId="11" xfId="3" applyFont="1" applyBorder="1"/>
    <xf numFmtId="0" fontId="7" fillId="0" borderId="12" xfId="3" applyFont="1" applyBorder="1"/>
    <xf numFmtId="3" fontId="7" fillId="0" borderId="12" xfId="3" applyNumberFormat="1" applyFont="1" applyBorder="1"/>
    <xf numFmtId="166" fontId="7" fillId="0" borderId="12" xfId="3" applyNumberFormat="1" applyFont="1" applyBorder="1" applyAlignment="1">
      <alignment horizontal="center"/>
    </xf>
    <xf numFmtId="166" fontId="7" fillId="0" borderId="13" xfId="3" applyNumberFormat="1" applyFont="1" applyBorder="1" applyAlignment="1">
      <alignment horizontal="center"/>
    </xf>
    <xf numFmtId="0" fontId="7" fillId="0" borderId="14" xfId="3" applyFont="1" applyBorder="1"/>
    <xf numFmtId="0" fontId="7" fillId="0" borderId="15" xfId="3" applyFont="1" applyBorder="1"/>
    <xf numFmtId="3" fontId="7" fillId="0" borderId="15" xfId="3" applyNumberFormat="1" applyFont="1" applyBorder="1"/>
    <xf numFmtId="166" fontId="7" fillId="0" borderId="15" xfId="3" applyNumberFormat="1" applyFont="1" applyBorder="1" applyAlignment="1">
      <alignment horizontal="center"/>
    </xf>
    <xf numFmtId="166" fontId="7" fillId="0" borderId="16" xfId="3" applyNumberFormat="1" applyFont="1" applyBorder="1" applyAlignment="1">
      <alignment horizontal="center"/>
    </xf>
    <xf numFmtId="3" fontId="7" fillId="0" borderId="0" xfId="3" applyNumberFormat="1" applyFont="1"/>
    <xf numFmtId="166" fontId="7" fillId="0" borderId="0" xfId="3" applyNumberFormat="1" applyFont="1" applyAlignment="1">
      <alignment horizontal="center"/>
    </xf>
    <xf numFmtId="3" fontId="7" fillId="0" borderId="7" xfId="3" applyNumberFormat="1" applyFont="1" applyBorder="1" applyAlignment="1">
      <alignment horizontal="center"/>
    </xf>
    <xf numFmtId="3" fontId="7" fillId="0" borderId="0" xfId="3" applyNumberFormat="1" applyFont="1" applyBorder="1" applyAlignment="1">
      <alignment horizontal="center"/>
    </xf>
    <xf numFmtId="0" fontId="7" fillId="0" borderId="0" xfId="3" applyFont="1" applyBorder="1" applyAlignment="1">
      <alignment horizontal="right"/>
    </xf>
    <xf numFmtId="3" fontId="7" fillId="0" borderId="15" xfId="3" applyNumberFormat="1" applyFont="1" applyBorder="1" applyAlignment="1">
      <alignment horizontal="center"/>
    </xf>
    <xf numFmtId="0" fontId="4" fillId="0" borderId="0" xfId="0" applyFont="1"/>
    <xf numFmtId="0" fontId="4" fillId="0" borderId="0" xfId="0" applyFont="1" applyAlignment="1">
      <alignment wrapText="1"/>
    </xf>
    <xf numFmtId="0" fontId="0" fillId="0" borderId="2" xfId="0" applyBorder="1"/>
    <xf numFmtId="0" fontId="10" fillId="4" borderId="2" xfId="0" applyFont="1" applyFill="1" applyBorder="1" applyAlignment="1">
      <alignment wrapText="1"/>
    </xf>
    <xf numFmtId="164" fontId="11" fillId="0" borderId="2" xfId="0" applyNumberFormat="1" applyFont="1" applyBorder="1"/>
    <xf numFmtId="0" fontId="12" fillId="0" borderId="2" xfId="0" applyFont="1" applyBorder="1" applyAlignment="1">
      <alignment vertical="top"/>
    </xf>
    <xf numFmtId="164" fontId="11" fillId="0" borderId="2" xfId="0" applyNumberFormat="1" applyFont="1" applyBorder="1" applyAlignment="1">
      <alignment vertical="top"/>
    </xf>
    <xf numFmtId="0" fontId="0" fillId="0" borderId="2" xfId="0" applyBorder="1" applyAlignment="1">
      <alignment vertical="top"/>
    </xf>
    <xf numFmtId="0" fontId="0" fillId="0" borderId="2" xfId="0" applyFill="1" applyBorder="1" applyAlignment="1">
      <alignment vertical="top" readingOrder="1"/>
    </xf>
    <xf numFmtId="43" fontId="0" fillId="0" borderId="2" xfId="1" applyFont="1" applyBorder="1" applyAlignment="1">
      <alignment vertical="top"/>
    </xf>
    <xf numFmtId="43" fontId="0" fillId="0" borderId="2" xfId="1" applyFont="1" applyBorder="1"/>
    <xf numFmtId="43" fontId="0" fillId="0" borderId="2" xfId="0" applyNumberFormat="1" applyBorder="1"/>
    <xf numFmtId="0" fontId="0" fillId="0" borderId="2" xfId="0" applyBorder="1" applyAlignment="1">
      <alignment vertical="top" wrapText="1"/>
    </xf>
    <xf numFmtId="0" fontId="12" fillId="0" borderId="2" xfId="0" applyFont="1" applyFill="1" applyBorder="1" applyAlignment="1">
      <alignment vertical="top" readingOrder="1"/>
    </xf>
    <xf numFmtId="165" fontId="0" fillId="0" borderId="2" xfId="0" applyNumberFormat="1" applyBorder="1"/>
    <xf numFmtId="2" fontId="0" fillId="0" borderId="2" xfId="0" applyNumberFormat="1" applyBorder="1"/>
    <xf numFmtId="0" fontId="0" fillId="0" borderId="2" xfId="0" applyBorder="1" applyAlignment="1">
      <alignment vertical="top" readingOrder="1"/>
    </xf>
    <xf numFmtId="43" fontId="0" fillId="5" borderId="2" xfId="1" applyFont="1" applyFill="1" applyBorder="1" applyAlignment="1">
      <alignment vertical="top"/>
    </xf>
    <xf numFmtId="43" fontId="0" fillId="5" borderId="17" xfId="1" applyFont="1" applyFill="1" applyBorder="1"/>
    <xf numFmtId="43" fontId="0" fillId="0" borderId="0" xfId="0" applyNumberFormat="1"/>
    <xf numFmtId="0" fontId="0" fillId="0" borderId="0" xfId="0" applyBorder="1" applyAlignment="1">
      <alignment readingOrder="1"/>
    </xf>
    <xf numFmtId="43" fontId="0" fillId="0" borderId="0" xfId="1" applyFont="1"/>
    <xf numFmtId="9" fontId="0" fillId="0" borderId="0" xfId="0" applyNumberFormat="1"/>
    <xf numFmtId="43" fontId="0" fillId="0" borderId="0" xfId="1" applyNumberFormat="1" applyFont="1"/>
    <xf numFmtId="167" fontId="0" fillId="2" borderId="2" xfId="0" applyNumberFormat="1" applyFill="1" applyBorder="1"/>
    <xf numFmtId="164" fontId="0" fillId="0" borderId="2" xfId="0" applyNumberFormat="1" applyFill="1" applyBorder="1"/>
    <xf numFmtId="2" fontId="0" fillId="0" borderId="2" xfId="0" applyNumberFormat="1" applyFill="1" applyBorder="1"/>
    <xf numFmtId="43" fontId="4" fillId="0" borderId="0" xfId="0" applyNumberFormat="1" applyFont="1"/>
    <xf numFmtId="0" fontId="1" fillId="0" borderId="0" xfId="4"/>
    <xf numFmtId="4" fontId="1" fillId="0" borderId="0" xfId="4" applyNumberFormat="1" applyAlignment="1">
      <alignment wrapText="1"/>
    </xf>
    <xf numFmtId="0" fontId="1" fillId="0" borderId="0" xfId="4" applyFill="1"/>
    <xf numFmtId="0" fontId="1" fillId="0" borderId="0" xfId="4" applyNumberFormat="1"/>
    <xf numFmtId="0" fontId="13" fillId="0" borderId="0" xfId="4" applyFont="1"/>
    <xf numFmtId="0" fontId="14" fillId="0" borderId="0" xfId="4" applyFont="1"/>
    <xf numFmtId="0" fontId="1" fillId="0" borderId="0" xfId="4" applyAlignment="1">
      <alignment wrapText="1"/>
    </xf>
    <xf numFmtId="14" fontId="1" fillId="0" borderId="0" xfId="4" applyNumberFormat="1"/>
    <xf numFmtId="0" fontId="1" fillId="0" borderId="18" xfId="4" applyBorder="1"/>
    <xf numFmtId="0" fontId="1" fillId="0" borderId="19" xfId="4" applyBorder="1"/>
    <xf numFmtId="0" fontId="1" fillId="0" borderId="19" xfId="4" applyBorder="1" applyAlignment="1">
      <alignment wrapText="1"/>
    </xf>
    <xf numFmtId="0" fontId="10" fillId="0" borderId="19" xfId="4" applyFont="1" applyFill="1" applyBorder="1"/>
    <xf numFmtId="0" fontId="1" fillId="0" borderId="19" xfId="4" applyNumberFormat="1" applyBorder="1"/>
    <xf numFmtId="0" fontId="1" fillId="0" borderId="21" xfId="4" applyNumberFormat="1" applyFont="1" applyBorder="1" applyAlignment="1">
      <alignment horizontal="center" vertical="top" wrapText="1"/>
    </xf>
    <xf numFmtId="0" fontId="15" fillId="0" borderId="22" xfId="4" applyNumberFormat="1" applyFont="1" applyBorder="1" applyAlignment="1">
      <alignment horizontal="center" vertical="top" wrapText="1"/>
    </xf>
    <xf numFmtId="0" fontId="15" fillId="0" borderId="22" xfId="4" applyNumberFormat="1" applyFont="1" applyFill="1" applyBorder="1" applyAlignment="1">
      <alignment horizontal="center" vertical="top" wrapText="1"/>
    </xf>
    <xf numFmtId="0" fontId="15" fillId="2" borderId="22" xfId="4" applyNumberFormat="1" applyFont="1" applyFill="1" applyBorder="1" applyAlignment="1">
      <alignment horizontal="center" vertical="top" wrapText="1"/>
    </xf>
    <xf numFmtId="0" fontId="16" fillId="2" borderId="22" xfId="4" applyNumberFormat="1" applyFont="1" applyFill="1" applyBorder="1" applyAlignment="1">
      <alignment horizontal="center" vertical="top" wrapText="1"/>
    </xf>
    <xf numFmtId="0" fontId="16" fillId="2" borderId="23" xfId="4" applyNumberFormat="1" applyFont="1" applyFill="1" applyBorder="1" applyAlignment="1">
      <alignment horizontal="center" vertical="top" wrapText="1"/>
    </xf>
    <xf numFmtId="0" fontId="1" fillId="0" borderId="0" xfId="4" applyNumberFormat="1" applyAlignment="1">
      <alignment vertical="top" wrapText="1"/>
    </xf>
    <xf numFmtId="0" fontId="1" fillId="0" borderId="18" xfId="4" applyFill="1" applyBorder="1" applyAlignment="1">
      <alignment horizontal="center"/>
    </xf>
    <xf numFmtId="0" fontId="1" fillId="0" borderId="19" xfId="4" applyFill="1" applyBorder="1" applyAlignment="1">
      <alignment horizontal="center"/>
    </xf>
    <xf numFmtId="0" fontId="1" fillId="0" borderId="19" xfId="4" applyFill="1" applyBorder="1" applyAlignment="1">
      <alignment horizontal="center" wrapText="1"/>
    </xf>
    <xf numFmtId="14" fontId="1" fillId="0" borderId="19" xfId="4" applyNumberFormat="1" applyFill="1" applyBorder="1" applyAlignment="1">
      <alignment horizontal="center"/>
    </xf>
    <xf numFmtId="0" fontId="1" fillId="0" borderId="19" xfId="4" applyNumberFormat="1" applyFill="1" applyBorder="1" applyAlignment="1">
      <alignment horizontal="center"/>
    </xf>
    <xf numFmtId="2" fontId="1" fillId="0" borderId="19" xfId="4" applyNumberFormat="1" applyFill="1" applyBorder="1" applyAlignment="1">
      <alignment horizontal="center"/>
    </xf>
    <xf numFmtId="168" fontId="1" fillId="2" borderId="19" xfId="4" applyNumberFormat="1" applyFill="1" applyBorder="1" applyAlignment="1">
      <alignment horizontal="center"/>
    </xf>
    <xf numFmtId="4" fontId="13" fillId="2" borderId="19" xfId="4" applyNumberFormat="1" applyFont="1" applyFill="1" applyBorder="1" applyAlignment="1">
      <alignment horizontal="center"/>
    </xf>
    <xf numFmtId="4" fontId="13" fillId="2" borderId="20" xfId="4" applyNumberFormat="1" applyFont="1" applyFill="1" applyBorder="1" applyAlignment="1">
      <alignment horizontal="center"/>
    </xf>
    <xf numFmtId="4" fontId="1" fillId="0" borderId="0" xfId="4" applyNumberFormat="1"/>
    <xf numFmtId="0" fontId="1" fillId="0" borderId="24" xfId="4" applyFill="1" applyBorder="1" applyAlignment="1">
      <alignment horizontal="center"/>
    </xf>
    <xf numFmtId="0" fontId="1" fillId="0" borderId="2" xfId="4" applyFill="1" applyBorder="1" applyAlignment="1">
      <alignment horizontal="center"/>
    </xf>
    <xf numFmtId="0" fontId="1" fillId="0" borderId="2" xfId="4" applyFill="1" applyBorder="1" applyAlignment="1">
      <alignment horizontal="center" wrapText="1"/>
    </xf>
    <xf numFmtId="14" fontId="1" fillId="0" borderId="2" xfId="4" applyNumberFormat="1" applyFill="1" applyBorder="1" applyAlignment="1">
      <alignment horizontal="center"/>
    </xf>
    <xf numFmtId="0" fontId="1" fillId="0" borderId="2" xfId="4" applyNumberFormat="1" applyFill="1" applyBorder="1" applyAlignment="1">
      <alignment horizontal="center"/>
    </xf>
    <xf numFmtId="2" fontId="1" fillId="0" borderId="2" xfId="4" applyNumberFormat="1" applyFill="1" applyBorder="1" applyAlignment="1">
      <alignment horizontal="center"/>
    </xf>
    <xf numFmtId="168" fontId="1" fillId="2" borderId="2" xfId="4" applyNumberFormat="1" applyFill="1" applyBorder="1" applyAlignment="1">
      <alignment horizontal="center"/>
    </xf>
    <xf numFmtId="4" fontId="13" fillId="2" borderId="2" xfId="4" applyNumberFormat="1" applyFont="1" applyFill="1" applyBorder="1" applyAlignment="1">
      <alignment horizontal="center"/>
    </xf>
    <xf numFmtId="4" fontId="13" fillId="2" borderId="25" xfId="4" applyNumberFormat="1" applyFont="1" applyFill="1" applyBorder="1" applyAlignment="1">
      <alignment horizontal="center"/>
    </xf>
    <xf numFmtId="0" fontId="1" fillId="0" borderId="21" xfId="4" applyFill="1" applyBorder="1" applyAlignment="1">
      <alignment horizontal="center"/>
    </xf>
    <xf numFmtId="0" fontId="10" fillId="0" borderId="22" xfId="4" applyFont="1" applyFill="1" applyBorder="1" applyAlignment="1">
      <alignment horizontal="center"/>
    </xf>
    <xf numFmtId="0" fontId="1" fillId="0" borderId="22" xfId="4" applyFill="1" applyBorder="1" applyAlignment="1">
      <alignment horizontal="center" wrapText="1"/>
    </xf>
    <xf numFmtId="0" fontId="1" fillId="0" borderId="22" xfId="4" applyFill="1" applyBorder="1" applyAlignment="1">
      <alignment horizontal="center"/>
    </xf>
    <xf numFmtId="17" fontId="1" fillId="0" borderId="22" xfId="4" applyNumberFormat="1" applyFill="1" applyBorder="1" applyAlignment="1">
      <alignment horizontal="center"/>
    </xf>
    <xf numFmtId="2" fontId="1" fillId="0" borderId="22" xfId="4" applyNumberFormat="1" applyFill="1" applyBorder="1" applyAlignment="1">
      <alignment horizontal="center"/>
    </xf>
    <xf numFmtId="168" fontId="1" fillId="2" borderId="22" xfId="4" applyNumberFormat="1" applyFill="1" applyBorder="1" applyAlignment="1">
      <alignment horizontal="center"/>
    </xf>
    <xf numFmtId="4" fontId="13" fillId="2" borderId="22" xfId="4" applyNumberFormat="1" applyFont="1" applyFill="1" applyBorder="1" applyAlignment="1">
      <alignment horizontal="center"/>
    </xf>
    <xf numFmtId="4" fontId="13" fillId="2" borderId="23" xfId="4" applyNumberFormat="1" applyFont="1" applyFill="1" applyBorder="1" applyAlignment="1">
      <alignment horizontal="center"/>
    </xf>
    <xf numFmtId="14" fontId="1" fillId="0" borderId="22" xfId="4" applyNumberFormat="1" applyFill="1" applyBorder="1" applyAlignment="1">
      <alignment horizontal="center"/>
    </xf>
    <xf numFmtId="17" fontId="1" fillId="0" borderId="19" xfId="4" applyNumberFormat="1" applyFill="1" applyBorder="1" applyAlignment="1">
      <alignment horizontal="center"/>
    </xf>
    <xf numFmtId="0" fontId="1" fillId="0" borderId="26" xfId="4" applyFill="1" applyBorder="1" applyAlignment="1">
      <alignment horizontal="center"/>
    </xf>
    <xf numFmtId="0" fontId="10" fillId="0" borderId="27" xfId="4" applyFont="1" applyFill="1" applyBorder="1" applyAlignment="1">
      <alignment horizontal="center"/>
    </xf>
    <xf numFmtId="0" fontId="1" fillId="0" borderId="27" xfId="4" applyFill="1" applyBorder="1" applyAlignment="1">
      <alignment horizontal="center" wrapText="1"/>
    </xf>
    <xf numFmtId="0" fontId="1" fillId="0" borderId="27" xfId="4" applyFill="1" applyBorder="1" applyAlignment="1">
      <alignment horizontal="center"/>
    </xf>
    <xf numFmtId="14" fontId="1" fillId="0" borderId="27" xfId="4" applyNumberFormat="1" applyFill="1" applyBorder="1" applyAlignment="1">
      <alignment horizontal="center"/>
    </xf>
    <xf numFmtId="17" fontId="1" fillId="0" borderId="27" xfId="4" applyNumberFormat="1" applyFill="1" applyBorder="1" applyAlignment="1">
      <alignment horizontal="center"/>
    </xf>
    <xf numFmtId="2" fontId="1" fillId="0" borderId="27" xfId="4" applyNumberFormat="1" applyFill="1" applyBorder="1" applyAlignment="1">
      <alignment horizontal="center"/>
    </xf>
    <xf numFmtId="168" fontId="1" fillId="2" borderId="27" xfId="4" applyNumberFormat="1" applyFill="1" applyBorder="1" applyAlignment="1">
      <alignment horizontal="center"/>
    </xf>
    <xf numFmtId="4" fontId="13" fillId="2" borderId="27" xfId="4" applyNumberFormat="1" applyFont="1" applyFill="1" applyBorder="1" applyAlignment="1">
      <alignment horizontal="center"/>
    </xf>
    <xf numFmtId="4" fontId="13" fillId="2" borderId="28" xfId="4" applyNumberFormat="1" applyFont="1" applyFill="1" applyBorder="1" applyAlignment="1">
      <alignment horizontal="center"/>
    </xf>
    <xf numFmtId="0" fontId="1" fillId="0" borderId="29" xfId="4" applyFill="1" applyBorder="1" applyAlignment="1">
      <alignment horizontal="center"/>
    </xf>
    <xf numFmtId="0" fontId="10" fillId="0" borderId="4" xfId="4" applyFont="1" applyFill="1" applyBorder="1" applyAlignment="1">
      <alignment horizontal="center"/>
    </xf>
    <xf numFmtId="0" fontId="1" fillId="0" borderId="4" xfId="4" applyFill="1" applyBorder="1" applyAlignment="1">
      <alignment horizontal="center" wrapText="1"/>
    </xf>
    <xf numFmtId="0" fontId="1" fillId="0" borderId="4" xfId="4" applyFill="1" applyBorder="1" applyAlignment="1">
      <alignment horizontal="center"/>
    </xf>
    <xf numFmtId="14" fontId="1" fillId="0" borderId="4" xfId="4" applyNumberFormat="1" applyFill="1" applyBorder="1" applyAlignment="1">
      <alignment horizontal="center"/>
    </xf>
    <xf numFmtId="17" fontId="1" fillId="0" borderId="4" xfId="4" applyNumberFormat="1" applyFill="1" applyBorder="1" applyAlignment="1">
      <alignment horizontal="center"/>
    </xf>
    <xf numFmtId="2" fontId="1" fillId="0" borderId="4" xfId="4" applyNumberFormat="1" applyFill="1" applyBorder="1" applyAlignment="1">
      <alignment horizontal="center"/>
    </xf>
    <xf numFmtId="168" fontId="1" fillId="2" borderId="4" xfId="4" applyNumberFormat="1" applyFill="1" applyBorder="1" applyAlignment="1">
      <alignment horizontal="center"/>
    </xf>
    <xf numFmtId="4" fontId="13" fillId="2" borderId="4" xfId="4" applyNumberFormat="1" applyFont="1" applyFill="1" applyBorder="1" applyAlignment="1">
      <alignment horizontal="center"/>
    </xf>
    <xf numFmtId="4" fontId="13" fillId="2" borderId="30" xfId="4" applyNumberFormat="1" applyFont="1" applyFill="1" applyBorder="1" applyAlignment="1">
      <alignment horizontal="center"/>
    </xf>
    <xf numFmtId="17" fontId="1" fillId="0" borderId="2" xfId="4" applyNumberFormat="1" applyFill="1" applyBorder="1" applyAlignment="1">
      <alignment horizontal="center"/>
    </xf>
    <xf numFmtId="168" fontId="1" fillId="2" borderId="3" xfId="4" applyNumberFormat="1" applyFill="1" applyBorder="1" applyAlignment="1">
      <alignment horizontal="center"/>
    </xf>
    <xf numFmtId="0" fontId="1" fillId="0" borderId="22" xfId="4" applyNumberFormat="1" applyFill="1" applyBorder="1" applyAlignment="1">
      <alignment horizontal="center"/>
    </xf>
    <xf numFmtId="4" fontId="1" fillId="2" borderId="22" xfId="4" applyNumberFormat="1" applyFill="1" applyBorder="1" applyAlignment="1">
      <alignment horizontal="center"/>
    </xf>
    <xf numFmtId="0" fontId="1" fillId="0" borderId="31" xfId="4" applyFill="1" applyBorder="1" applyAlignment="1">
      <alignment horizontal="center"/>
    </xf>
    <xf numFmtId="0" fontId="10" fillId="0" borderId="3" xfId="4" applyFont="1" applyFill="1" applyBorder="1" applyAlignment="1">
      <alignment horizontal="center"/>
    </xf>
    <xf numFmtId="0" fontId="1" fillId="0" borderId="3" xfId="4" applyFill="1" applyBorder="1" applyAlignment="1">
      <alignment horizontal="center" wrapText="1"/>
    </xf>
    <xf numFmtId="0" fontId="1" fillId="0" borderId="3" xfId="4" applyFill="1" applyBorder="1" applyAlignment="1">
      <alignment horizontal="center"/>
    </xf>
    <xf numFmtId="17" fontId="1" fillId="0" borderId="3" xfId="4" applyNumberFormat="1" applyFill="1" applyBorder="1" applyAlignment="1">
      <alignment horizontal="center"/>
    </xf>
    <xf numFmtId="2" fontId="1" fillId="0" borderId="3" xfId="4" applyNumberFormat="1" applyFill="1" applyBorder="1" applyAlignment="1">
      <alignment horizontal="center"/>
    </xf>
    <xf numFmtId="4" fontId="13" fillId="2" borderId="3" xfId="4" applyNumberFormat="1" applyFont="1" applyFill="1" applyBorder="1" applyAlignment="1">
      <alignment horizontal="center"/>
    </xf>
    <xf numFmtId="4" fontId="13" fillId="2" borderId="32" xfId="4" applyNumberFormat="1" applyFont="1" applyFill="1" applyBorder="1" applyAlignment="1">
      <alignment horizontal="center"/>
    </xf>
    <xf numFmtId="0" fontId="1" fillId="0" borderId="26" xfId="4" applyFont="1" applyFill="1" applyBorder="1" applyAlignment="1">
      <alignment horizontal="center"/>
    </xf>
    <xf numFmtId="0" fontId="1" fillId="0" borderId="27" xfId="4" applyFont="1" applyFill="1" applyBorder="1" applyAlignment="1">
      <alignment horizontal="center" wrapText="1"/>
    </xf>
    <xf numFmtId="0" fontId="1" fillId="0" borderId="27" xfId="4" applyFont="1" applyFill="1" applyBorder="1" applyAlignment="1">
      <alignment horizontal="center"/>
    </xf>
    <xf numFmtId="17" fontId="1" fillId="0" borderId="27" xfId="4" applyNumberFormat="1" applyFont="1" applyFill="1" applyBorder="1" applyAlignment="1">
      <alignment horizontal="center"/>
    </xf>
    <xf numFmtId="0" fontId="1" fillId="0" borderId="33" xfId="4" applyFill="1" applyBorder="1" applyAlignment="1">
      <alignment horizontal="center"/>
    </xf>
    <xf numFmtId="0" fontId="10" fillId="0" borderId="34" xfId="4" applyFont="1" applyFill="1" applyBorder="1" applyAlignment="1">
      <alignment horizontal="center"/>
    </xf>
    <xf numFmtId="0" fontId="1" fillId="0" borderId="34" xfId="4" applyFill="1" applyBorder="1" applyAlignment="1">
      <alignment horizontal="center" wrapText="1"/>
    </xf>
    <xf numFmtId="0" fontId="1" fillId="0" borderId="34" xfId="4" applyFill="1" applyBorder="1" applyAlignment="1">
      <alignment horizontal="center"/>
    </xf>
    <xf numFmtId="17" fontId="1" fillId="0" borderId="34" xfId="4" applyNumberFormat="1" applyFill="1" applyBorder="1" applyAlignment="1">
      <alignment horizontal="center"/>
    </xf>
    <xf numFmtId="2" fontId="1" fillId="0" borderId="34" xfId="4" applyNumberFormat="1" applyFill="1" applyBorder="1" applyAlignment="1">
      <alignment horizontal="center"/>
    </xf>
    <xf numFmtId="168" fontId="1" fillId="2" borderId="34" xfId="4" applyNumberFormat="1" applyFill="1" applyBorder="1" applyAlignment="1">
      <alignment horizontal="center"/>
    </xf>
    <xf numFmtId="4" fontId="13" fillId="2" borderId="34" xfId="4" applyNumberFormat="1" applyFont="1" applyFill="1" applyBorder="1" applyAlignment="1">
      <alignment horizontal="center"/>
    </xf>
    <xf numFmtId="4" fontId="13" fillId="2" borderId="35" xfId="4" applyNumberFormat="1" applyFont="1" applyFill="1" applyBorder="1" applyAlignment="1">
      <alignment horizontal="center"/>
    </xf>
    <xf numFmtId="0" fontId="1" fillId="0" borderId="19" xfId="4" applyFont="1" applyFill="1" applyBorder="1" applyAlignment="1">
      <alignment horizontal="center" wrapText="1"/>
    </xf>
    <xf numFmtId="0" fontId="1" fillId="0" borderId="19" xfId="4" applyFont="1" applyFill="1" applyBorder="1" applyAlignment="1">
      <alignment horizontal="center"/>
    </xf>
    <xf numFmtId="14" fontId="1" fillId="0" borderId="19" xfId="4" applyNumberFormat="1" applyFont="1" applyFill="1" applyBorder="1" applyAlignment="1">
      <alignment horizontal="center"/>
    </xf>
    <xf numFmtId="0" fontId="1" fillId="0" borderId="19" xfId="4" applyNumberFormat="1" applyFont="1" applyFill="1" applyBorder="1" applyAlignment="1">
      <alignment horizontal="center"/>
    </xf>
    <xf numFmtId="0" fontId="1" fillId="0" borderId="2" xfId="4" applyFont="1" applyFill="1" applyBorder="1" applyAlignment="1">
      <alignment horizontal="center"/>
    </xf>
    <xf numFmtId="14" fontId="1" fillId="0" borderId="2" xfId="4" applyNumberFormat="1" applyFont="1" applyFill="1" applyBorder="1" applyAlignment="1">
      <alignment horizontal="center"/>
    </xf>
    <xf numFmtId="0" fontId="1" fillId="0" borderId="2" xfId="4" applyNumberFormat="1" applyFont="1" applyFill="1" applyBorder="1" applyAlignment="1">
      <alignment horizontal="center"/>
    </xf>
    <xf numFmtId="0" fontId="1" fillId="0" borderId="22" xfId="4" applyFont="1" applyFill="1" applyBorder="1" applyAlignment="1">
      <alignment horizontal="center"/>
    </xf>
    <xf numFmtId="17" fontId="1" fillId="0" borderId="22" xfId="4" applyNumberFormat="1" applyFont="1" applyFill="1" applyBorder="1" applyAlignment="1">
      <alignment horizontal="center"/>
    </xf>
    <xf numFmtId="0" fontId="1" fillId="0" borderId="27" xfId="4" applyNumberFormat="1" applyFill="1" applyBorder="1" applyAlignment="1">
      <alignment horizontal="center"/>
    </xf>
    <xf numFmtId="14" fontId="1" fillId="0" borderId="34" xfId="4" applyNumberFormat="1" applyFill="1" applyBorder="1" applyAlignment="1">
      <alignment horizontal="center"/>
    </xf>
    <xf numFmtId="0" fontId="1" fillId="0" borderId="36" xfId="4" applyFill="1" applyBorder="1" applyAlignment="1">
      <alignment horizontal="center"/>
    </xf>
    <xf numFmtId="0" fontId="10" fillId="0" borderId="37" xfId="4" applyFont="1" applyFill="1" applyBorder="1" applyAlignment="1">
      <alignment horizontal="center"/>
    </xf>
    <xf numFmtId="0" fontId="1" fillId="0" borderId="37" xfId="4" applyFill="1" applyBorder="1" applyAlignment="1">
      <alignment horizontal="center" wrapText="1"/>
    </xf>
    <xf numFmtId="0" fontId="1" fillId="0" borderId="37" xfId="4" applyFill="1" applyBorder="1" applyAlignment="1">
      <alignment horizontal="center"/>
    </xf>
    <xf numFmtId="0" fontId="1" fillId="0" borderId="37" xfId="4" applyNumberFormat="1" applyFill="1" applyBorder="1" applyAlignment="1">
      <alignment horizontal="center"/>
    </xf>
    <xf numFmtId="2" fontId="1" fillId="0" borderId="37" xfId="4" applyNumberFormat="1" applyFill="1" applyBorder="1" applyAlignment="1">
      <alignment horizontal="center"/>
    </xf>
    <xf numFmtId="168" fontId="1" fillId="0" borderId="37" xfId="4" applyNumberFormat="1" applyFill="1" applyBorder="1" applyAlignment="1">
      <alignment horizontal="center"/>
    </xf>
    <xf numFmtId="4" fontId="13" fillId="0" borderId="37" xfId="4" applyNumberFormat="1" applyFont="1" applyFill="1" applyBorder="1" applyAlignment="1">
      <alignment horizontal="center"/>
    </xf>
    <xf numFmtId="4" fontId="13" fillId="0" borderId="38" xfId="4" applyNumberFormat="1" applyFont="1" applyFill="1" applyBorder="1" applyAlignment="1">
      <alignment horizontal="center"/>
    </xf>
    <xf numFmtId="0" fontId="1" fillId="0" borderId="39" xfId="4" applyFill="1" applyBorder="1" applyAlignment="1">
      <alignment horizontal="center"/>
    </xf>
    <xf numFmtId="0" fontId="10" fillId="0" borderId="0" xfId="4" applyFont="1" applyFill="1" applyBorder="1" applyAlignment="1">
      <alignment horizontal="center"/>
    </xf>
    <xf numFmtId="0" fontId="1" fillId="0" borderId="0" xfId="4" applyFill="1" applyBorder="1" applyAlignment="1">
      <alignment horizontal="center" wrapText="1"/>
    </xf>
    <xf numFmtId="0" fontId="1" fillId="0" borderId="0" xfId="4" applyFill="1" applyBorder="1" applyAlignment="1">
      <alignment horizontal="center"/>
    </xf>
    <xf numFmtId="0" fontId="1" fillId="0" borderId="0" xfId="4" applyNumberFormat="1" applyFill="1" applyBorder="1" applyAlignment="1">
      <alignment horizontal="center"/>
    </xf>
    <xf numFmtId="2" fontId="1" fillId="0" borderId="0" xfId="4" applyNumberFormat="1" applyFill="1" applyBorder="1" applyAlignment="1">
      <alignment horizontal="center"/>
    </xf>
    <xf numFmtId="168" fontId="1" fillId="0" borderId="0" xfId="4" applyNumberFormat="1" applyFill="1" applyBorder="1" applyAlignment="1">
      <alignment horizontal="center"/>
    </xf>
    <xf numFmtId="4" fontId="13" fillId="0" borderId="0" xfId="4" applyNumberFormat="1" applyFont="1" applyFill="1" applyBorder="1" applyAlignment="1">
      <alignment horizontal="center"/>
    </xf>
    <xf numFmtId="4" fontId="13" fillId="0" borderId="40" xfId="4" applyNumberFormat="1" applyFont="1" applyFill="1" applyBorder="1" applyAlignment="1">
      <alignment horizontal="center"/>
    </xf>
    <xf numFmtId="0" fontId="1" fillId="0" borderId="37" xfId="4" applyFont="1" applyFill="1" applyBorder="1" applyAlignment="1">
      <alignment horizontal="center"/>
    </xf>
    <xf numFmtId="0" fontId="1" fillId="0" borderId="37" xfId="4" applyNumberFormat="1" applyFont="1" applyFill="1" applyBorder="1" applyAlignment="1">
      <alignment horizontal="center"/>
    </xf>
    <xf numFmtId="0" fontId="1" fillId="0" borderId="41" xfId="4" applyFill="1" applyBorder="1" applyAlignment="1">
      <alignment horizontal="center"/>
    </xf>
    <xf numFmtId="0" fontId="10" fillId="0" borderId="42" xfId="4" applyFont="1" applyFill="1" applyBorder="1" applyAlignment="1">
      <alignment horizontal="center"/>
    </xf>
    <xf numFmtId="0" fontId="1" fillId="0" borderId="42" xfId="4" applyFill="1" applyBorder="1" applyAlignment="1">
      <alignment horizontal="center" wrapText="1"/>
    </xf>
    <xf numFmtId="0" fontId="1" fillId="0" borderId="42" xfId="4" applyFill="1" applyBorder="1" applyAlignment="1">
      <alignment horizontal="center"/>
    </xf>
    <xf numFmtId="0" fontId="1" fillId="0" borderId="42" xfId="4" applyNumberFormat="1" applyFill="1" applyBorder="1" applyAlignment="1">
      <alignment horizontal="center"/>
    </xf>
    <xf numFmtId="2" fontId="1" fillId="0" borderId="42" xfId="4" applyNumberFormat="1" applyFill="1" applyBorder="1" applyAlignment="1">
      <alignment horizontal="center"/>
    </xf>
    <xf numFmtId="168" fontId="1" fillId="0" borderId="42" xfId="4" applyNumberFormat="1" applyFill="1" applyBorder="1" applyAlignment="1">
      <alignment horizontal="center"/>
    </xf>
    <xf numFmtId="4" fontId="13" fillId="0" borderId="42" xfId="4" applyNumberFormat="1" applyFont="1" applyFill="1" applyBorder="1" applyAlignment="1">
      <alignment horizontal="center"/>
    </xf>
    <xf numFmtId="4" fontId="13" fillId="0" borderId="43" xfId="4" applyNumberFormat="1" applyFont="1" applyFill="1" applyBorder="1" applyAlignment="1">
      <alignment horizontal="center"/>
    </xf>
    <xf numFmtId="0" fontId="17" fillId="0" borderId="36" xfId="4" applyFont="1" applyBorder="1"/>
    <xf numFmtId="0" fontId="18" fillId="0" borderId="37" xfId="4" applyFont="1" applyBorder="1" applyAlignment="1">
      <alignment horizontal="center"/>
    </xf>
    <xf numFmtId="0" fontId="17" fillId="0" borderId="37" xfId="4" applyFont="1" applyBorder="1" applyAlignment="1">
      <alignment wrapText="1"/>
    </xf>
    <xf numFmtId="0" fontId="17" fillId="0" borderId="37" xfId="4" applyFont="1" applyBorder="1"/>
    <xf numFmtId="0" fontId="17" fillId="0" borderId="37" xfId="4" applyFont="1" applyFill="1" applyBorder="1"/>
    <xf numFmtId="0" fontId="17" fillId="0" borderId="37" xfId="4" applyNumberFormat="1" applyFont="1" applyBorder="1"/>
    <xf numFmtId="2" fontId="17" fillId="0" borderId="37" xfId="4" applyNumberFormat="1" applyFont="1" applyFill="1" applyBorder="1"/>
    <xf numFmtId="168" fontId="18" fillId="0" borderId="44" xfId="4" applyNumberFormat="1" applyFont="1" applyBorder="1" applyAlignment="1">
      <alignment horizontal="center"/>
    </xf>
    <xf numFmtId="4" fontId="17" fillId="0" borderId="0" xfId="4" applyNumberFormat="1" applyFont="1"/>
    <xf numFmtId="0" fontId="17" fillId="0" borderId="0" xfId="4" applyFont="1"/>
    <xf numFmtId="2" fontId="1" fillId="0" borderId="0" xfId="4" applyNumberFormat="1" applyFill="1" applyBorder="1"/>
    <xf numFmtId="4" fontId="13" fillId="0" borderId="0" xfId="4" applyNumberFormat="1" applyFont="1"/>
    <xf numFmtId="0" fontId="20" fillId="0" borderId="0" xfId="5" applyFont="1"/>
    <xf numFmtId="0" fontId="24" fillId="0" borderId="50" xfId="5" applyFont="1" applyBorder="1" applyAlignment="1">
      <alignment horizontal="center" vertical="center"/>
    </xf>
    <xf numFmtId="0" fontId="20" fillId="0" borderId="10" xfId="5" applyFont="1" applyBorder="1"/>
    <xf numFmtId="0" fontId="24" fillId="0" borderId="10" xfId="5" applyFont="1" applyBorder="1" applyAlignment="1"/>
    <xf numFmtId="3" fontId="20" fillId="0" borderId="0" xfId="5" applyNumberFormat="1" applyFont="1" applyAlignment="1"/>
    <xf numFmtId="3" fontId="20" fillId="0" borderId="10" xfId="5" applyNumberFormat="1" applyFont="1" applyBorder="1" applyAlignment="1"/>
    <xf numFmtId="0" fontId="24" fillId="0" borderId="0" xfId="5" applyFont="1" applyAlignment="1"/>
    <xf numFmtId="169" fontId="20" fillId="0" borderId="0" xfId="5" applyNumberFormat="1" applyFont="1" applyAlignment="1"/>
    <xf numFmtId="169" fontId="20" fillId="0" borderId="10" xfId="5" applyNumberFormat="1" applyFont="1" applyBorder="1" applyAlignment="1"/>
    <xf numFmtId="170" fontId="20" fillId="0" borderId="0" xfId="5" applyNumberFormat="1" applyFont="1" applyAlignment="1"/>
    <xf numFmtId="170" fontId="20" fillId="0" borderId="10" xfId="5" applyNumberFormat="1" applyFont="1" applyBorder="1" applyAlignment="1"/>
    <xf numFmtId="4" fontId="20" fillId="0" borderId="0" xfId="5" applyNumberFormat="1" applyFont="1" applyAlignment="1"/>
    <xf numFmtId="4" fontId="20" fillId="0" borderId="10" xfId="5" applyNumberFormat="1" applyFont="1" applyBorder="1" applyAlignment="1"/>
    <xf numFmtId="0" fontId="20" fillId="0" borderId="51" xfId="5" applyFont="1" applyBorder="1"/>
    <xf numFmtId="0" fontId="20" fillId="0" borderId="45" xfId="5" applyFont="1" applyBorder="1"/>
    <xf numFmtId="0" fontId="0" fillId="0" borderId="0" xfId="0" applyBorder="1" applyAlignment="1">
      <alignment horizontal="center"/>
    </xf>
    <xf numFmtId="0" fontId="0" fillId="0" borderId="18" xfId="0" applyBorder="1"/>
    <xf numFmtId="0" fontId="0" fillId="0" borderId="24" xfId="0" applyBorder="1"/>
    <xf numFmtId="0" fontId="6" fillId="0" borderId="0" xfId="0" applyFont="1" applyBorder="1" applyAlignment="1">
      <alignment horizontal="center"/>
    </xf>
    <xf numFmtId="0" fontId="6" fillId="0" borderId="2" xfId="0" applyFont="1" applyBorder="1" applyAlignment="1">
      <alignment horizontal="center"/>
    </xf>
    <xf numFmtId="0" fontId="6" fillId="0" borderId="25" xfId="0" applyFont="1" applyBorder="1" applyAlignment="1">
      <alignment horizontal="center"/>
    </xf>
    <xf numFmtId="0" fontId="6" fillId="0" borderId="24" xfId="0" applyFont="1" applyBorder="1"/>
    <xf numFmtId="0" fontId="0" fillId="0" borderId="25" xfId="0" applyBorder="1"/>
    <xf numFmtId="0" fontId="0" fillId="0" borderId="0" xfId="0" applyBorder="1"/>
    <xf numFmtId="167" fontId="0" fillId="0" borderId="2" xfId="6" applyNumberFormat="1" applyFont="1" applyBorder="1"/>
    <xf numFmtId="167" fontId="0" fillId="0" borderId="25" xfId="6" applyNumberFormat="1" applyFont="1" applyBorder="1"/>
    <xf numFmtId="0" fontId="6" fillId="0" borderId="21" xfId="0" applyFont="1" applyBorder="1"/>
    <xf numFmtId="167" fontId="0" fillId="0" borderId="22" xfId="6" applyNumberFormat="1" applyFont="1" applyBorder="1"/>
    <xf numFmtId="167" fontId="0" fillId="0" borderId="23" xfId="6" applyNumberFormat="1" applyFont="1" applyBorder="1"/>
    <xf numFmtId="0" fontId="26" fillId="0" borderId="21" xfId="0" applyFont="1" applyBorder="1"/>
    <xf numFmtId="0" fontId="6" fillId="0" borderId="22" xfId="0" applyFont="1" applyBorder="1"/>
    <xf numFmtId="0" fontId="6" fillId="0" borderId="23" xfId="0" applyFont="1" applyBorder="1"/>
    <xf numFmtId="0" fontId="6" fillId="0" borderId="0" xfId="0" applyFont="1" applyBorder="1"/>
    <xf numFmtId="0" fontId="6" fillId="0" borderId="0" xfId="0" applyFont="1"/>
    <xf numFmtId="2" fontId="0" fillId="0" borderId="25" xfId="0" applyNumberFormat="1" applyBorder="1"/>
    <xf numFmtId="2" fontId="0" fillId="0" borderId="0" xfId="0" applyNumberFormat="1" applyBorder="1"/>
    <xf numFmtId="2" fontId="6" fillId="0" borderId="22" xfId="0" applyNumberFormat="1" applyFont="1" applyBorder="1"/>
    <xf numFmtId="2" fontId="6" fillId="0" borderId="23" xfId="0" applyNumberFormat="1" applyFont="1" applyBorder="1"/>
    <xf numFmtId="2" fontId="6" fillId="0" borderId="0" xfId="0" applyNumberFormat="1" applyFont="1" applyBorder="1"/>
    <xf numFmtId="2" fontId="0" fillId="0" borderId="0" xfId="0" applyNumberFormat="1"/>
    <xf numFmtId="0" fontId="6" fillId="0" borderId="0" xfId="0" applyFont="1" applyFill="1" applyBorder="1"/>
    <xf numFmtId="164" fontId="0" fillId="0" borderId="0" xfId="0" applyNumberFormat="1" applyFill="1" applyBorder="1"/>
    <xf numFmtId="2" fontId="0" fillId="0" borderId="0" xfId="0" applyNumberFormat="1" applyFill="1" applyBorder="1"/>
    <xf numFmtId="0" fontId="0" fillId="0" borderId="0" xfId="0" applyFill="1" applyBorder="1"/>
    <xf numFmtId="0" fontId="5" fillId="0" borderId="2" xfId="2" applyFont="1" applyFill="1" applyBorder="1"/>
    <xf numFmtId="0" fontId="0" fillId="0" borderId="0" xfId="0" applyFill="1"/>
    <xf numFmtId="164" fontId="0" fillId="0" borderId="0" xfId="0" applyNumberFormat="1" applyFill="1"/>
    <xf numFmtId="2" fontId="0" fillId="0" borderId="0" xfId="0" applyNumberFormat="1" applyFill="1"/>
    <xf numFmtId="0" fontId="5" fillId="0" borderId="5" xfId="2" applyFont="1" applyFill="1" applyBorder="1"/>
    <xf numFmtId="166" fontId="0" fillId="0" borderId="2" xfId="0" applyNumberFormat="1" applyFill="1" applyBorder="1"/>
    <xf numFmtId="0" fontId="0" fillId="0" borderId="2" xfId="0" applyFill="1" applyBorder="1"/>
    <xf numFmtId="165" fontId="0" fillId="0" borderId="0" xfId="1" applyNumberFormat="1" applyFont="1"/>
    <xf numFmtId="165" fontId="0" fillId="0" borderId="0" xfId="1" applyNumberFormat="1" applyFont="1" applyFill="1"/>
    <xf numFmtId="0" fontId="0" fillId="0" borderId="0" xfId="0" applyFill="1" applyBorder="1" applyAlignment="1">
      <alignment vertical="top"/>
    </xf>
    <xf numFmtId="0" fontId="0" fillId="0" borderId="0" xfId="0" applyFill="1" applyAlignment="1">
      <alignment horizontal="right"/>
    </xf>
    <xf numFmtId="0" fontId="1" fillId="6" borderId="27" xfId="4" applyFill="1" applyBorder="1" applyAlignment="1">
      <alignment horizontal="center"/>
    </xf>
    <xf numFmtId="173" fontId="0" fillId="0" borderId="0" xfId="0" applyNumberFormat="1" applyFill="1"/>
    <xf numFmtId="173" fontId="4" fillId="0" borderId="0" xfId="0" applyNumberFormat="1" applyFont="1" applyFill="1"/>
    <xf numFmtId="173" fontId="0" fillId="0" borderId="0" xfId="0" applyNumberFormat="1" applyFill="1" applyAlignment="1">
      <alignment horizontal="right"/>
    </xf>
    <xf numFmtId="173" fontId="4" fillId="0" borderId="0" xfId="0" applyNumberFormat="1" applyFont="1" applyFill="1" applyAlignment="1">
      <alignment horizontal="right" wrapText="1"/>
    </xf>
    <xf numFmtId="173" fontId="4" fillId="0" borderId="0" xfId="0" applyNumberFormat="1" applyFont="1" applyFill="1" applyAlignment="1">
      <alignment horizontal="right"/>
    </xf>
    <xf numFmtId="165" fontId="0" fillId="0" borderId="0" xfId="0" applyNumberFormat="1"/>
    <xf numFmtId="0" fontId="4" fillId="0" borderId="2" xfId="0" applyFont="1" applyFill="1" applyBorder="1"/>
    <xf numFmtId="0" fontId="6" fillId="0" borderId="2" xfId="0" applyFont="1" applyFill="1" applyBorder="1" applyAlignment="1">
      <alignment wrapText="1"/>
    </xf>
    <xf numFmtId="0" fontId="6" fillId="0" borderId="2" xfId="0" applyFont="1" applyFill="1" applyBorder="1"/>
    <xf numFmtId="0" fontId="4" fillId="0" borderId="2" xfId="0" applyFont="1" applyFill="1" applyBorder="1" applyAlignment="1">
      <alignment horizontal="center" vertical="center" wrapText="1"/>
    </xf>
    <xf numFmtId="0" fontId="4" fillId="0" borderId="2" xfId="0" applyFont="1" applyFill="1" applyBorder="1" applyAlignment="1">
      <alignment horizontal="center" wrapText="1"/>
    </xf>
    <xf numFmtId="165" fontId="0" fillId="0" borderId="2" xfId="1" applyNumberFormat="1" applyFont="1" applyFill="1" applyBorder="1"/>
    <xf numFmtId="0" fontId="0" fillId="0" borderId="0" xfId="0" applyFill="1" applyAlignment="1">
      <alignment wrapText="1"/>
    </xf>
    <xf numFmtId="166" fontId="0" fillId="0" borderId="0" xfId="0" applyNumberFormat="1" applyFill="1"/>
    <xf numFmtId="0" fontId="5" fillId="0" borderId="2" xfId="2" applyFont="1" applyFill="1" applyBorder="1" applyAlignment="1">
      <alignment horizontal="right"/>
    </xf>
    <xf numFmtId="0" fontId="4" fillId="0" borderId="0" xfId="0" applyFont="1" applyFill="1"/>
    <xf numFmtId="9" fontId="0" fillId="0" borderId="0" xfId="0" applyNumberFormat="1" applyFill="1"/>
    <xf numFmtId="171" fontId="0" fillId="0" borderId="0" xfId="1" applyNumberFormat="1" applyFont="1" applyFill="1"/>
    <xf numFmtId="43" fontId="0" fillId="0" borderId="0" xfId="1" applyFont="1" applyFill="1"/>
    <xf numFmtId="43" fontId="0" fillId="0" borderId="0" xfId="0" applyNumberFormat="1" applyFill="1"/>
    <xf numFmtId="171" fontId="0" fillId="0" borderId="0" xfId="0" applyNumberFormat="1" applyFill="1"/>
    <xf numFmtId="172" fontId="0" fillId="0" borderId="0" xfId="0" applyNumberFormat="1" applyFill="1"/>
    <xf numFmtId="174" fontId="0" fillId="0" borderId="0" xfId="1" applyNumberFormat="1" applyFont="1" applyFill="1"/>
    <xf numFmtId="0" fontId="7" fillId="0" borderId="0" xfId="3" applyFont="1" applyFill="1" applyBorder="1"/>
    <xf numFmtId="174" fontId="0" fillId="0" borderId="0" xfId="0" applyNumberFormat="1" applyFill="1"/>
    <xf numFmtId="0" fontId="0" fillId="0" borderId="0" xfId="0" applyFill="1" applyAlignment="1">
      <alignment horizontal="right" wrapText="1"/>
    </xf>
    <xf numFmtId="0" fontId="4" fillId="0" borderId="0" xfId="0" applyFont="1" applyFill="1" applyAlignment="1">
      <alignment wrapText="1"/>
    </xf>
    <xf numFmtId="173" fontId="4" fillId="0" borderId="0" xfId="0" applyNumberFormat="1" applyFont="1" applyFill="1" applyAlignment="1">
      <alignment horizontal="center" wrapText="1"/>
    </xf>
    <xf numFmtId="2" fontId="0" fillId="0" borderId="0" xfId="0" applyNumberFormat="1" applyFill="1" applyAlignment="1">
      <alignment horizontal="right"/>
    </xf>
    <xf numFmtId="0" fontId="24" fillId="7" borderId="2" xfId="0" applyFont="1" applyFill="1" applyBorder="1" applyAlignment="1">
      <alignment horizontal="center" vertical="top" wrapText="1" readingOrder="2"/>
    </xf>
    <xf numFmtId="0" fontId="20" fillId="7" borderId="0" xfId="0" applyFont="1" applyFill="1"/>
    <xf numFmtId="174" fontId="24" fillId="7" borderId="2" xfId="1" applyNumberFormat="1" applyFont="1" applyFill="1" applyBorder="1" applyAlignment="1">
      <alignment horizontal="center" vertical="top" wrapText="1" readingOrder="2"/>
    </xf>
    <xf numFmtId="174" fontId="4" fillId="0" borderId="0" xfId="1" applyNumberFormat="1" applyFont="1" applyFill="1" applyBorder="1"/>
    <xf numFmtId="0" fontId="20" fillId="0" borderId="2" xfId="7" applyNumberFormat="1" applyFont="1" applyFill="1" applyBorder="1" applyAlignment="1">
      <alignment horizontal="center" wrapText="1"/>
    </xf>
    <xf numFmtId="0" fontId="20" fillId="0" borderId="0" xfId="0" applyFont="1" applyFill="1"/>
    <xf numFmtId="174" fontId="20" fillId="0" borderId="2" xfId="1" applyNumberFormat="1" applyFont="1" applyFill="1" applyBorder="1"/>
    <xf numFmtId="0" fontId="20" fillId="0" borderId="2" xfId="0" applyFont="1" applyFill="1" applyBorder="1" applyAlignment="1">
      <alignment horizontal="right" vertical="top" readingOrder="2"/>
    </xf>
    <xf numFmtId="0" fontId="20" fillId="0" borderId="2" xfId="0" applyNumberFormat="1" applyFont="1" applyFill="1" applyBorder="1" applyAlignment="1">
      <alignment horizontal="right" readingOrder="2"/>
    </xf>
    <xf numFmtId="0" fontId="20" fillId="0" borderId="2" xfId="0" applyNumberFormat="1" applyFont="1" applyFill="1" applyBorder="1" applyAlignment="1">
      <alignment horizontal="center" readingOrder="2"/>
    </xf>
    <xf numFmtId="0" fontId="20" fillId="0" borderId="2" xfId="0" applyNumberFormat="1" applyFont="1" applyFill="1" applyBorder="1" applyAlignment="1">
      <alignment horizontal="center" readingOrder="1"/>
    </xf>
    <xf numFmtId="174" fontId="0" fillId="0" borderId="0" xfId="1" applyNumberFormat="1" applyFont="1" applyFill="1" applyBorder="1"/>
    <xf numFmtId="0" fontId="20" fillId="0" borderId="2" xfId="7" applyFont="1" applyFill="1" applyBorder="1" applyAlignment="1">
      <alignment horizontal="center" wrapText="1"/>
    </xf>
    <xf numFmtId="174" fontId="4" fillId="0" borderId="0" xfId="1" applyNumberFormat="1" applyFont="1" applyFill="1"/>
    <xf numFmtId="174" fontId="20" fillId="0" borderId="0" xfId="1" applyNumberFormat="1" applyFont="1" applyFill="1"/>
    <xf numFmtId="0" fontId="30" fillId="0" borderId="2" xfId="0" applyFont="1" applyFill="1" applyBorder="1"/>
    <xf numFmtId="0" fontId="30" fillId="0" borderId="2" xfId="0" applyFont="1" applyFill="1" applyBorder="1" applyAlignment="1">
      <alignment horizontal="center"/>
    </xf>
    <xf numFmtId="174" fontId="0" fillId="0" borderId="2" xfId="1" applyNumberFormat="1" applyFont="1" applyFill="1" applyBorder="1"/>
    <xf numFmtId="10" fontId="0" fillId="2" borderId="2" xfId="0" applyNumberFormat="1" applyFill="1" applyBorder="1"/>
    <xf numFmtId="0" fontId="0" fillId="0" borderId="2" xfId="0" applyFill="1" applyBorder="1" applyAlignment="1">
      <alignment horizontal="center"/>
    </xf>
    <xf numFmtId="0" fontId="19" fillId="0" borderId="0" xfId="5" applyFont="1" applyAlignment="1">
      <alignment vertical="top" readingOrder="2"/>
    </xf>
    <xf numFmtId="0" fontId="21" fillId="0" borderId="0" xfId="5" applyFont="1" applyBorder="1" applyAlignment="1">
      <alignment horizontal="center" wrapText="1" readingOrder="2"/>
    </xf>
    <xf numFmtId="0" fontId="19" fillId="0" borderId="45" xfId="5" applyFont="1" applyBorder="1" applyAlignment="1">
      <alignment horizontal="center" wrapText="1" readingOrder="2"/>
    </xf>
    <xf numFmtId="0" fontId="23" fillId="0" borderId="46" xfId="5" applyFont="1" applyBorder="1" applyAlignment="1">
      <alignment horizontal="center" vertical="center" readingOrder="2"/>
    </xf>
    <xf numFmtId="0" fontId="23" fillId="0" borderId="16" xfId="5" applyFont="1" applyBorder="1" applyAlignment="1">
      <alignment horizontal="center" vertical="center" readingOrder="2"/>
    </xf>
    <xf numFmtId="0" fontId="23" fillId="0" borderId="47" xfId="5" applyFont="1" applyBorder="1" applyAlignment="1">
      <alignment horizontal="center" vertical="center" readingOrder="2"/>
    </xf>
    <xf numFmtId="0" fontId="23" fillId="0" borderId="48" xfId="5" applyFont="1" applyBorder="1" applyAlignment="1">
      <alignment horizontal="center" vertical="center" readingOrder="2"/>
    </xf>
    <xf numFmtId="0" fontId="23" fillId="0" borderId="49" xfId="5" applyFont="1" applyBorder="1" applyAlignment="1">
      <alignment horizontal="center" vertical="center" readingOrder="2"/>
    </xf>
    <xf numFmtId="0" fontId="23" fillId="0" borderId="15" xfId="5" applyFont="1" applyBorder="1" applyAlignment="1">
      <alignment horizontal="center" vertical="center" readingOrder="2"/>
    </xf>
    <xf numFmtId="0" fontId="13" fillId="0" borderId="19" xfId="4" applyFont="1" applyBorder="1" applyAlignment="1">
      <alignment horizontal="center"/>
    </xf>
    <xf numFmtId="0" fontId="13" fillId="0" borderId="20" xfId="4" applyFont="1" applyBorder="1" applyAlignment="1">
      <alignment horizontal="center"/>
    </xf>
    <xf numFmtId="0" fontId="6" fillId="0" borderId="2" xfId="0" applyFont="1" applyBorder="1" applyAlignment="1">
      <alignment horizontal="center"/>
    </xf>
    <xf numFmtId="0" fontId="6" fillId="0" borderId="25" xfId="0" applyFont="1" applyBorder="1" applyAlignment="1">
      <alignment horizontal="center"/>
    </xf>
    <xf numFmtId="0" fontId="26" fillId="0" borderId="52" xfId="0" applyFont="1" applyBorder="1" applyAlignment="1">
      <alignment horizontal="center"/>
    </xf>
    <xf numFmtId="0" fontId="0" fillId="0" borderId="53" xfId="0" applyBorder="1" applyAlignment="1">
      <alignment horizontal="center"/>
    </xf>
    <xf numFmtId="0" fontId="0" fillId="0" borderId="54" xfId="0" applyBorder="1" applyAlignment="1">
      <alignment horizontal="center"/>
    </xf>
    <xf numFmtId="0" fontId="6" fillId="0" borderId="24" xfId="0" applyFont="1" applyBorder="1" applyAlignment="1">
      <alignment horizontal="center"/>
    </xf>
    <xf numFmtId="0" fontId="0" fillId="0" borderId="2" xfId="0" applyBorder="1" applyAlignment="1">
      <alignment horizontal="center"/>
    </xf>
    <xf numFmtId="0" fontId="0" fillId="0" borderId="25" xfId="0" applyBorder="1" applyAlignment="1">
      <alignment horizontal="center"/>
    </xf>
    <xf numFmtId="0" fontId="0" fillId="0" borderId="12" xfId="0" applyBorder="1" applyAlignment="1">
      <alignment horizontal="center"/>
    </xf>
    <xf numFmtId="0" fontId="6" fillId="0" borderId="19" xfId="0" applyFont="1" applyBorder="1" applyAlignment="1">
      <alignment horizontal="center"/>
    </xf>
    <xf numFmtId="0" fontId="0" fillId="0" borderId="20" xfId="0" applyBorder="1" applyAlignment="1">
      <alignment horizontal="center"/>
    </xf>
  </cellXfs>
  <cellStyles count="8">
    <cellStyle name="Comma" xfId="1" builtinId="3"/>
    <cellStyle name="Normal" xfId="0" builtinId="0"/>
    <cellStyle name="Normal 2" xfId="3"/>
    <cellStyle name="Normal 2 2" xfId="5"/>
    <cellStyle name="Normal 3" xfId="4"/>
    <cellStyle name="Normal_גיליון1" xfId="7"/>
    <cellStyle name="Percent 2" xfId="6"/>
    <cellStyle name="כותרת 3" xfId="2" builtin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514;&#1506;&#1512;&#1497;&#1508;&#1497;%202016%20&#1489;&#1506;&#1511;&#1489;&#1493;&#1514;%20&#1492;&#1513;&#1497;&#1502;&#1493;&#150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hirani\AppData\Local\Microsoft\Windows\Temporary%20Internet%20Files\Content.IE5\7UDDZJHF\&#1506;&#1493;&#1514;&#1511;%20&#1513;&#1500;%20&#1514;&#1506;&#1512;&#1497;&#1508;&#1497;%202016%2020%209%2020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hirani\AppData\Local\Microsoft\Windows\Temporary%20Internet%20Files\Content.Outlook\N5L7HHKF\&#1514;&#1506;&#1512;&#1497;&#1508;&#1497;%202016%2020.9.20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1500;&#1497;&#1488;&#1493;&#1512;&#1492;\AppData\Local\Microsoft\Windows\INetCache\Content.Outlook\KN12S159\&#1511;&#1489;&#1510;&#1497;&#1501;%20&#1500;&#1502;&#1513;&#1502;\&#1492;&#1510;&#1506;&#1492;%20&#1500;&#1511;&#1489;&#1497;&#1506;&#1514;%20&#1514;&#1506;&#1512;&#1497;&#1507;%20&#1500;&#1512;&#1513;&#1493;&#1497;&#1493;&#1514;%20&#1500;&#1500;&#1488;%20&#1514;&#1488;&#1490;&#1497;&#1491;%20(2)%20(4).xlsb"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495;&#1496;&#1497;&#1489;&#1514;%20&#1499;&#1500;&#1499;&#1500;&#1492;/&#1514;&#1506;&#1512;&#1497;&#1508;&#1497;&#1501;%202016/&#1506;&#1500;&#1493;&#1497;&#1493;&#1514;%20&#1492;&#1493;&#1503;%20&#1493;&#1514;&#1508;&#1506;&#1493;&#1500;%20&#1500;&#1505;&#1508;&#1511;&#1497;&#1501;%20&#1502;&#1511;&#1493;&#1502;&#1497;&#1497;&#150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ilan1958\AppData\Local\Microsoft\Windows\Temporary%20Internet%20Files\Content.Outlook\U5Y1TUSX\&#1506;&#1493;&#1514;&#1511;%20&#1513;&#1500;%20&#1506;&#1500;&#1493;&#1497;&#1493;&#1514;%20&#1492;&#1493;&#1503;%20&#1493;&#1514;&#1508;&#1506;&#1493;&#1500;%20&#1502;&#1497;&#1501;%20&#1493;&#1489;&#1497;&#1493;&#1489;%20&#1500;&#1505;&#1508;&#1511;%20&#1513;&#1488;&#1497;&#1504;&#1493;%20&#1514;&#1488;&#1490;&#1497;&#1491;%202015%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ilan1958\AppData\Local\Microsoft\Windows\Temporary%20Internet%20Files\Content.Outlook\U5Y1TUSX\&#1514;&#1506;&#1512;&#1497;&#1508;&#1497;%202016%2020%209%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6"/>
      <sheetName val="נתוני מים 2012"/>
      <sheetName val="סל מדדים"/>
      <sheetName val="מדד שכר ממוצע"/>
      <sheetName val="מדד חשמל"/>
      <sheetName val="מדד מחירים"/>
      <sheetName val="תחשיב תעריף לתאגיד בודד"/>
      <sheetName val="תחשיב תעריף 2016"/>
      <sheetName val="כמויות מים 2014"/>
      <sheetName val="ריכוז עלויות"/>
      <sheetName val="נתוני תאגידים"/>
      <sheetName val="תעריפי 2016 לכללים"/>
      <sheetName val="תוספת נכסים"/>
      <sheetName val="פחתי מים לרשויות מצטרפות"/>
      <sheetName val="פחת מים וגביה"/>
      <sheetName val="בדיקת החזר צרכנים"/>
      <sheetName val="סקרי נכסים-יתרות פתיחה"/>
      <sheetName val="תחשיב עלות תפעול לשנת 2016"/>
      <sheetName val="השקעות 2012-2014"/>
      <sheetName val="השקעות בניכוי גריעות"/>
      <sheetName val="השפעה כספית תיקוני שימוע"/>
      <sheetName val="גיליון סימולציה לתעריפי 2016"/>
      <sheetName val="פירוט נכסי מים וביוב"/>
      <sheetName val="כמויות מים תפעול 2012"/>
      <sheetName val="כמויות מים רשויות מקומיות"/>
      <sheetName val="גיליון1"/>
      <sheetName val="צריכה בתאגיד מרחבי"/>
      <sheetName val="ביוביות"/>
      <sheetName val="התאמה לכללים"/>
      <sheetName val="תעריפים לספקים מקומיים"/>
      <sheetName val="תעריף גיחון מעבר לגד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25">
          <cell r="C125">
            <v>0.48049745858750598</v>
          </cell>
        </row>
        <row r="126">
          <cell r="C126">
            <v>0.24873458912644447</v>
          </cell>
        </row>
        <row r="127">
          <cell r="C127">
            <v>0.17442110174677322</v>
          </cell>
        </row>
        <row r="128">
          <cell r="C128">
            <v>-0.28828721911207367</v>
          </cell>
        </row>
        <row r="130">
          <cell r="C130">
            <v>7.9914121091572948E-2</v>
          </cell>
        </row>
        <row r="131">
          <cell r="C131">
            <v>2.4539026957066803E-2</v>
          </cell>
        </row>
      </sheetData>
      <sheetData sheetId="14"/>
      <sheetData sheetId="15">
        <row r="60">
          <cell r="D60">
            <v>3.5572621931075661</v>
          </cell>
        </row>
      </sheetData>
      <sheetData sheetId="16"/>
      <sheetData sheetId="17"/>
      <sheetData sheetId="18"/>
      <sheetData sheetId="19"/>
      <sheetData sheetId="20"/>
      <sheetData sheetId="21"/>
      <sheetData sheetId="22"/>
      <sheetData sheetId="23">
        <row r="142">
          <cell r="BF142">
            <v>0.43265632812587951</v>
          </cell>
        </row>
        <row r="144">
          <cell r="BF144">
            <v>0.67779109899068424</v>
          </cell>
        </row>
        <row r="146">
          <cell r="BF146">
            <v>0.35057128777819535</v>
          </cell>
        </row>
        <row r="148">
          <cell r="BF148">
            <v>0.15251039020435345</v>
          </cell>
        </row>
      </sheetData>
      <sheetData sheetId="24"/>
      <sheetData sheetId="25"/>
      <sheetData sheetId="26"/>
      <sheetData sheetId="27">
        <row r="39">
          <cell r="F39">
            <v>10.559746320514869</v>
          </cell>
          <cell r="G39">
            <v>6.5610803233590609</v>
          </cell>
        </row>
      </sheetData>
      <sheetData sheetId="28"/>
      <sheetData sheetId="29"/>
      <sheetData sheetId="30"/>
      <sheetData sheetId="31"/>
      <sheetData sheetId="32"/>
      <sheetData sheetId="33"/>
      <sheetData sheetId="34"/>
      <sheetData sheetId="35"/>
      <sheetData sheetId="3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5"/>
      <sheetName val="נתוני מים 2012"/>
      <sheetName val="סל מדדים"/>
      <sheetName val="מדד שכר ממוצע"/>
      <sheetName val="מדד חשמל"/>
      <sheetName val="מדד מחירים"/>
      <sheetName val="תחשיב תעריף לתאגיד בודד"/>
      <sheetName val="תחשיב תעריף 2015"/>
      <sheetName val="כמויות מים 2014"/>
      <sheetName val="ריכוז עלויות"/>
      <sheetName val="נתוני תאגידים"/>
      <sheetName val="תעריפי 2015 לכללים"/>
      <sheetName val="תוספת נכסים"/>
      <sheetName val="פחתי מים לרשויות מצטרפות"/>
      <sheetName val="פחת מים וגביה"/>
      <sheetName val="בדיקת החזר צרכנים"/>
      <sheetName val="סקרי נכסים-יתרות פתיחה"/>
      <sheetName val="תחשיב עלות תפעול לשנת 2015"/>
      <sheetName val="השקעות 2012-2014"/>
      <sheetName val="השקעות בניכוי גריעות"/>
      <sheetName val="גיליון סימולציה לתעריפי 2016"/>
      <sheetName val="פירוט נכסי מים וביוב"/>
      <sheetName val="כמויות מים תפעול 2012"/>
      <sheetName val="כמויות מים רשויות מקומיות"/>
      <sheetName val="צריכה בתאגיד מרחבי"/>
      <sheetName val="ביוביות"/>
    </sheetNames>
    <sheetDataSet>
      <sheetData sheetId="0" refreshError="1"/>
      <sheetData sheetId="1" refreshError="1"/>
      <sheetData sheetId="2" refreshError="1"/>
      <sheetData sheetId="3" refreshError="1"/>
      <sheetData sheetId="4" refreshError="1"/>
      <sheetData sheetId="5" refreshError="1"/>
      <sheetData sheetId="6" refreshError="1">
        <row r="56">
          <cell r="K56">
            <v>1.6592421000000002</v>
          </cell>
        </row>
        <row r="76">
          <cell r="K76">
            <v>1.5443826176475777</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5"/>
      <sheetName val="נתוני מים 2012"/>
      <sheetName val="סל מדדים"/>
      <sheetName val="מדד שכר ממוצע"/>
      <sheetName val="מדד חשמל"/>
      <sheetName val="מדד מחירים"/>
      <sheetName val="תחשיב תעריף לתאגיד בודד"/>
      <sheetName val="תחשיב תעריף 2015"/>
      <sheetName val="גיליון1"/>
      <sheetName val="כמויות מים 2014"/>
      <sheetName val="ריכוז עלויות"/>
      <sheetName val="נתוני תאגידים"/>
      <sheetName val="תעריפי 2015 לכללים"/>
      <sheetName val="תוספת נכסים"/>
      <sheetName val="פחתי מים לרשויות מצטרפות"/>
      <sheetName val="פחת מים וגביה"/>
      <sheetName val="בדיקת החזר צרכנים"/>
      <sheetName val="סקרי נכסים-יתרות פתיחה"/>
      <sheetName val="תחשיב עלות תפעול לשנת 2015"/>
      <sheetName val="השקעות 2012-2014"/>
      <sheetName val="השקעות בניכוי גריעות"/>
      <sheetName val="גיליון סימולציה לתעריפי 2016"/>
      <sheetName val="פירוט נכסי מים וביוב"/>
      <sheetName val="כמויות מים תפעול 2012"/>
      <sheetName val="כמויות מים רשויות מקומיות"/>
      <sheetName val="צריכה בתאגיד מרחבי"/>
      <sheetName val="ביוביות"/>
      <sheetName val="התאמה לכללים"/>
      <sheetName val="תעריפים לספקים מקומיים"/>
    </sheetNames>
    <sheetDataSet>
      <sheetData sheetId="0"/>
      <sheetData sheetId="1"/>
      <sheetData sheetId="2"/>
      <sheetData sheetId="3"/>
      <sheetData sheetId="4"/>
      <sheetData sheetId="5"/>
      <sheetData sheetId="6">
        <row r="7">
          <cell r="B7">
            <v>0.88821199171302834</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33">
          <cell r="F33">
            <v>10.533845857075663</v>
          </cell>
        </row>
      </sheetData>
      <sheetData sheetId="28"/>
      <sheetData sheetId="29"/>
      <sheetData sheetId="30"/>
      <sheetData sheetId="31"/>
      <sheetData sheetId="32"/>
      <sheetData sheetId="33"/>
      <sheetData sheetId="3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תעריף רכישה רשויות "/>
      <sheetName val="תעריף כמות מוכרת"/>
      <sheetName val="תעריף מים לכמות נוספת"/>
      <sheetName val="תחשיב הכרה בעלויות "/>
      <sheetName val="מדדים"/>
      <sheetName val="כמויות 2013"/>
      <sheetName val="אגרות ביוב"/>
      <sheetName val="מטש"/>
    </sheetNames>
    <sheetDataSet>
      <sheetData sheetId="0">
        <row r="3">
          <cell r="D3">
            <v>4.1663862526374897</v>
          </cell>
        </row>
        <row r="4">
          <cell r="D4">
            <v>2.5404134671765464</v>
          </cell>
        </row>
        <row r="5">
          <cell r="D5">
            <v>3.2126728587072328</v>
          </cell>
        </row>
        <row r="6">
          <cell r="D6">
            <v>2.4753708930812457</v>
          </cell>
        </row>
        <row r="7">
          <cell r="D7">
            <v>2.5404134671765464</v>
          </cell>
        </row>
        <row r="8">
          <cell r="D8">
            <v>2.5404134671765464</v>
          </cell>
        </row>
        <row r="9">
          <cell r="D9">
            <v>2.5404134671765464</v>
          </cell>
        </row>
        <row r="10">
          <cell r="D10">
            <v>1.9125945708280938</v>
          </cell>
        </row>
        <row r="11">
          <cell r="D11">
            <v>2.5404134671765464</v>
          </cell>
        </row>
        <row r="13">
          <cell r="D13">
            <v>2.9581611337886304</v>
          </cell>
        </row>
        <row r="14">
          <cell r="D14">
            <v>2.5877665046744993</v>
          </cell>
        </row>
        <row r="16">
          <cell r="D16">
            <v>3.3849664391758907</v>
          </cell>
        </row>
        <row r="17">
          <cell r="D17">
            <v>2.5295890034464001</v>
          </cell>
        </row>
        <row r="18">
          <cell r="D18">
            <v>1.9125945708280938</v>
          </cell>
        </row>
        <row r="19">
          <cell r="D19">
            <v>2.5404134671765464</v>
          </cell>
        </row>
        <row r="20">
          <cell r="D20">
            <v>2.8218495241603359</v>
          </cell>
        </row>
        <row r="21">
          <cell r="D21">
            <v>2.2914508013831942</v>
          </cell>
        </row>
        <row r="22">
          <cell r="D22">
            <v>3.5705152657719128</v>
          </cell>
        </row>
        <row r="23">
          <cell r="D23">
            <v>1.4254937029715355</v>
          </cell>
        </row>
        <row r="24">
          <cell r="D24">
            <v>2.8218495241603359</v>
          </cell>
        </row>
        <row r="25">
          <cell r="D25">
            <v>3.2126728587072328</v>
          </cell>
        </row>
        <row r="26">
          <cell r="D26">
            <v>1.9125945708280938</v>
          </cell>
        </row>
        <row r="27">
          <cell r="D27">
            <v>2.5404134671765464</v>
          </cell>
        </row>
        <row r="28">
          <cell r="D28">
            <v>2.5404134671765464</v>
          </cell>
        </row>
        <row r="29">
          <cell r="D29">
            <v>3.2126728587072328</v>
          </cell>
        </row>
        <row r="30">
          <cell r="D30">
            <v>2.2914508013831942</v>
          </cell>
        </row>
        <row r="31">
          <cell r="D31">
            <v>3.2126728587072328</v>
          </cell>
        </row>
      </sheetData>
      <sheetData sheetId="1"/>
      <sheetData sheetId="2"/>
      <sheetData sheetId="3"/>
      <sheetData sheetId="4"/>
      <sheetData sheetId="5"/>
      <sheetData sheetId="6"/>
      <sheetData sheetId="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ספק למספר ישובים"/>
      <sheetName val="ספק לישוב אחד"/>
      <sheetName val="גיליון1"/>
      <sheetName val="גיליון4"/>
    </sheetNames>
    <sheetDataSet>
      <sheetData sheetId="0">
        <row r="6">
          <cell r="B6">
            <v>0.40789992315792101</v>
          </cell>
        </row>
        <row r="7">
          <cell r="B7">
            <v>0.2107702848650361</v>
          </cell>
        </row>
        <row r="8">
          <cell r="B8">
            <v>0.14969151767886585</v>
          </cell>
        </row>
        <row r="9">
          <cell r="B9">
            <v>0.1046345611245295</v>
          </cell>
        </row>
        <row r="10">
          <cell r="B10">
            <v>-0.33947178674240058</v>
          </cell>
        </row>
        <row r="14">
          <cell r="B14">
            <v>0.62916387535395379</v>
          </cell>
        </row>
        <row r="15">
          <cell r="B15">
            <v>0.11853794946017621</v>
          </cell>
        </row>
      </sheetData>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ספק למספר ישובים"/>
      <sheetName val="ספק לישוב אחד"/>
      <sheetName val="גיליון4"/>
    </sheetNames>
    <sheetDataSet>
      <sheetData sheetId="0">
        <row r="11">
          <cell r="B11">
            <v>0</v>
          </cell>
        </row>
        <row r="12">
          <cell r="B12">
            <v>0</v>
          </cell>
        </row>
      </sheetData>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אשכול חברתי מעודכן"/>
      <sheetName val="הנחות עבודה"/>
      <sheetName val="התפלגות מים 2012"/>
      <sheetName val="תחשיב להיטל מופחת"/>
      <sheetName val="התפלגות מים 2011 מעודכן"/>
      <sheetName val="נתוני מים 2011 מעודכן"/>
      <sheetName val="מטשים 2015"/>
      <sheetName val="נתוני מים 2012"/>
      <sheetName val="סל מדדים"/>
      <sheetName val="מדד שכר ממוצע"/>
      <sheetName val="מדד חשמל"/>
      <sheetName val="מדד מחירים"/>
      <sheetName val="תחשיב תעריף לתאגיד בודד"/>
      <sheetName val="תחשיב תעריף 2015"/>
      <sheetName val="כמויות מים 2014"/>
      <sheetName val="ריכוז עלויות"/>
      <sheetName val="נתוני תאגידים"/>
      <sheetName val="תעריפי 2015 לכללים"/>
      <sheetName val="תוספת נכסים"/>
      <sheetName val="פחתי מים לרשויות מצטרפות"/>
      <sheetName val="פחת מים וגביה"/>
      <sheetName val="בדיקת החזר צרכנים"/>
      <sheetName val="סקרי נכסים-יתרות פתיחה"/>
      <sheetName val="תחשיב עלות תפעול לשנת 2015"/>
      <sheetName val="השקעות 2012-2014"/>
      <sheetName val="השקעות בניכוי גריעות"/>
      <sheetName val="גיליון סימולציה לתעריפי 2016"/>
      <sheetName val="פירוט נכסי מים וביוב"/>
      <sheetName val="כמויות מים תפעול 2012"/>
      <sheetName val="כמויות מים רשויות מקומיות"/>
      <sheetName val="צריכה בתאגיד מרחבי"/>
      <sheetName val="ביוביות"/>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17">
          <cell r="C117">
            <v>0.37938771181221509</v>
          </cell>
        </row>
        <row r="130">
          <cell r="C130">
            <v>7.3239993555690538E-2</v>
          </cell>
        </row>
        <row r="131">
          <cell r="C131">
            <v>2.0341840005852631E-2</v>
          </cell>
        </row>
      </sheetData>
      <sheetData sheetId="14"/>
      <sheetData sheetId="15">
        <row r="60">
          <cell r="B60">
            <v>7.1863392688110537</v>
          </cell>
        </row>
      </sheetData>
      <sheetData sheetId="16"/>
      <sheetData sheetId="17"/>
      <sheetData sheetId="18"/>
      <sheetData sheetId="19"/>
      <sheetData sheetId="20"/>
      <sheetData sheetId="21"/>
      <sheetData sheetId="22"/>
      <sheetData sheetId="23">
        <row r="142">
          <cell r="BF142">
            <v>0.62311995852862423</v>
          </cell>
        </row>
      </sheetData>
      <sheetData sheetId="24"/>
      <sheetData sheetId="25"/>
      <sheetData sheetId="26">
        <row r="31">
          <cell r="F31">
            <v>10.423800205983794</v>
          </cell>
        </row>
      </sheetData>
      <sheetData sheetId="27"/>
      <sheetData sheetId="28"/>
      <sheetData sheetId="29"/>
      <sheetData sheetId="30"/>
      <sheetData sheetId="31"/>
    </sheetDataSet>
  </externalBook>
</externalLink>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rightToLeft="1" tabSelected="1" workbookViewId="0">
      <selection activeCell="H16" sqref="H16"/>
    </sheetView>
  </sheetViews>
  <sheetFormatPr defaultRowHeight="12.75" x14ac:dyDescent="0.2"/>
  <cols>
    <col min="2" max="2" width="18.7109375" bestFit="1" customWidth="1"/>
    <col min="3" max="5" width="13.85546875" customWidth="1"/>
    <col min="6" max="6" width="10.28515625" hidden="1" customWidth="1"/>
  </cols>
  <sheetData>
    <row r="1" spans="1:8" x14ac:dyDescent="0.2">
      <c r="C1" t="s">
        <v>507</v>
      </c>
      <c r="D1" s="30" t="s">
        <v>629</v>
      </c>
      <c r="E1" s="30" t="s">
        <v>630</v>
      </c>
      <c r="F1" s="30" t="s">
        <v>506</v>
      </c>
      <c r="G1" s="30"/>
      <c r="H1" s="52">
        <v>0.17</v>
      </c>
    </row>
    <row r="2" spans="1:8" x14ac:dyDescent="0.2">
      <c r="A2">
        <v>1</v>
      </c>
      <c r="B2" s="1" t="s">
        <v>33</v>
      </c>
      <c r="C2" s="256">
        <f t="shared" ref="C2:C29" si="0">F2*(1+$H$1)</f>
        <v>3.7764407237908486</v>
      </c>
      <c r="D2" s="256">
        <f>+VLOOKUP(B2,'תעריף רכישה רשויות '!$B:$G,3,0)</f>
        <v>1.8351811912436653</v>
      </c>
      <c r="E2" s="256">
        <f>+VLOOKUP(B2,'תעריף רכישה רשויות '!$B:$G,2,0)</f>
        <v>5.7738671984421375</v>
      </c>
      <c r="F2" s="51">
        <f>+VLOOKUP(B2,'תעריף רכישה רשויות '!$B:$G,5,0)</f>
        <v>3.2277271143511528</v>
      </c>
    </row>
    <row r="3" spans="1:8" x14ac:dyDescent="0.2">
      <c r="A3">
        <v>2</v>
      </c>
      <c r="B3" s="1" t="s">
        <v>13</v>
      </c>
      <c r="C3" s="256">
        <f t="shared" si="0"/>
        <v>2.7613140855069118</v>
      </c>
      <c r="D3" s="256">
        <f>+VLOOKUP(B3,'תעריף רכישה רשויות '!$B:$G,3,0)</f>
        <v>2.6299732912436657</v>
      </c>
      <c r="E3" s="256">
        <f>+VLOOKUP(B3,'תעריף רכישה רשויות '!$B:$G,2,0)</f>
        <v>6.5686592984421388</v>
      </c>
      <c r="F3" s="51">
        <f>+VLOOKUP(B3,'תעריף רכישה רשויות '!$B:$G,5,0)</f>
        <v>2.3600975089802665</v>
      </c>
      <c r="G3" s="244"/>
    </row>
    <row r="4" spans="1:8" x14ac:dyDescent="0.2">
      <c r="A4">
        <v>3</v>
      </c>
      <c r="B4" s="1" t="s">
        <v>431</v>
      </c>
      <c r="C4" s="256">
        <f t="shared" si="0"/>
        <v>2.7916634444984987</v>
      </c>
      <c r="D4" s="256">
        <f>+VLOOKUP(B4,'תעריף רכישה רשויות '!$B:$G,3,0)</f>
        <v>2.6062112995306372</v>
      </c>
      <c r="E4" s="256">
        <f>+VLOOKUP(B4,'תעריף רכישה רשויות '!$B:$G,2,0)</f>
        <v>6.5448973067291094</v>
      </c>
      <c r="F4" s="51">
        <f>+VLOOKUP(B4,'תעריף רכישה רשויות '!$B:$G,5,0)</f>
        <v>2.3860371320499989</v>
      </c>
      <c r="G4" s="244"/>
    </row>
    <row r="5" spans="1:8" x14ac:dyDescent="0.2">
      <c r="A5">
        <v>4</v>
      </c>
      <c r="B5" s="2" t="s">
        <v>1</v>
      </c>
      <c r="C5" s="256">
        <f t="shared" si="0"/>
        <v>2.7721385492370572</v>
      </c>
      <c r="D5" s="256">
        <f>+VLOOKUP(B5,'תעריף רכישה רשויות '!$B:$G,3,0)</f>
        <v>2.6214982912436651</v>
      </c>
      <c r="E5" s="256">
        <f>+VLOOKUP(B5,'תעריף רכישה רשויות '!$B:$G,2,0)</f>
        <v>6.5601842984421381</v>
      </c>
      <c r="F5" s="51">
        <f>+VLOOKUP(B5,'תעריף רכישה רשויות '!$B:$G,5,0)</f>
        <v>2.3693491873821002</v>
      </c>
      <c r="G5" s="244"/>
    </row>
    <row r="6" spans="1:8" x14ac:dyDescent="0.2">
      <c r="A6">
        <v>5</v>
      </c>
      <c r="B6" s="2" t="s">
        <v>508</v>
      </c>
      <c r="C6" s="256">
        <f t="shared" si="0"/>
        <v>3.7764407237908486</v>
      </c>
      <c r="D6" s="256">
        <f>+VLOOKUP(B6,'תעריף רכישה רשויות '!$B:$G,3,0)</f>
        <v>1.8351811912436653</v>
      </c>
      <c r="E6" s="256">
        <f>+VLOOKUP(B6,'תעריף רכישה רשויות '!$B:$G,2,0)</f>
        <v>5.7738671984421375</v>
      </c>
      <c r="F6" s="51">
        <f>+VLOOKUP(B6,'תעריף רכישה רשויות '!$B:$G,5,0)</f>
        <v>3.2277271143511528</v>
      </c>
      <c r="G6" s="244"/>
    </row>
    <row r="7" spans="1:8" x14ac:dyDescent="0.2">
      <c r="A7">
        <v>6</v>
      </c>
      <c r="B7" s="1" t="s">
        <v>421</v>
      </c>
      <c r="C7" s="256">
        <f t="shared" si="0"/>
        <v>4.398111334698001</v>
      </c>
      <c r="D7" s="256">
        <f>+VLOOKUP(B7,'תעריף רכישה רשויות '!$B:$G,3,0)</f>
        <v>1.3484449834475147</v>
      </c>
      <c r="E7" s="256">
        <f>+VLOOKUP(B7,'תעריף רכישה רשויות '!$B:$G,2,0)</f>
        <v>5.287130990645986</v>
      </c>
      <c r="F7" s="51">
        <f>+VLOOKUP(B7,'תעריף רכישה רשויות '!$B:$G,5,0)</f>
        <v>3.7590695168358983</v>
      </c>
      <c r="G7" s="244"/>
    </row>
    <row r="8" spans="1:8" x14ac:dyDescent="0.2">
      <c r="A8">
        <v>7</v>
      </c>
      <c r="B8" s="1" t="s">
        <v>309</v>
      </c>
      <c r="C8" s="256">
        <f t="shared" si="0"/>
        <v>3.7764407237908486</v>
      </c>
      <c r="D8" s="256">
        <f>+VLOOKUP(B8,'תעריף רכישה רשויות '!$B:$G,3,0)</f>
        <v>1.8351811912436653</v>
      </c>
      <c r="E8" s="256">
        <f>+VLOOKUP(B8,'תעריף רכישה רשויות '!$B:$G,2,0)</f>
        <v>5.7738671984421375</v>
      </c>
      <c r="F8" s="51">
        <f>+VLOOKUP(B8,'תעריף רכישה רשויות '!$B:$G,5,0)</f>
        <v>3.2277271143511528</v>
      </c>
      <c r="G8" s="244"/>
    </row>
    <row r="9" spans="1:8" x14ac:dyDescent="0.2">
      <c r="A9">
        <v>8</v>
      </c>
      <c r="B9" s="1" t="s">
        <v>310</v>
      </c>
      <c r="C9" s="256">
        <f t="shared" si="0"/>
        <v>2.7721385492370572</v>
      </c>
      <c r="D9" s="256">
        <f>+VLOOKUP(B9,'תעריף רכישה רשויות '!$B:$G,3,0)</f>
        <v>2.6214982912436651</v>
      </c>
      <c r="E9" s="256">
        <f>+VLOOKUP(B9,'תעריף רכישה רשויות '!$B:$G,2,0)</f>
        <v>6.5601842984421381</v>
      </c>
      <c r="F9" s="51">
        <f>+VLOOKUP(B9,'תעריף רכישה רשויות '!$B:$G,5,0)</f>
        <v>2.3693491873821002</v>
      </c>
      <c r="G9" s="244"/>
    </row>
    <row r="10" spans="1:8" x14ac:dyDescent="0.2">
      <c r="A10">
        <v>9</v>
      </c>
      <c r="B10" s="1" t="s">
        <v>313</v>
      </c>
      <c r="C10" s="256">
        <f t="shared" si="0"/>
        <v>2.523175883443705</v>
      </c>
      <c r="D10" s="256">
        <f>+VLOOKUP(B10,'תעריף רכישה רשויות '!$B:$G,3,0)</f>
        <v>2.8164232912436655</v>
      </c>
      <c r="E10" s="256">
        <f>+VLOOKUP(B10,'תעריף רכישה רשויות '!$B:$G,2,0)</f>
        <v>6.7551092984421395</v>
      </c>
      <c r="F10" s="51">
        <f>+VLOOKUP(B10,'תעריף רכישה רשויות '!$B:$G,5,0)</f>
        <v>2.1565605841399189</v>
      </c>
      <c r="G10" s="244"/>
    </row>
    <row r="11" spans="1:8" x14ac:dyDescent="0.2">
      <c r="A11">
        <v>10</v>
      </c>
      <c r="B11" s="1" t="s">
        <v>14</v>
      </c>
      <c r="C11" s="256">
        <f t="shared" si="0"/>
        <v>2.1443196528886048</v>
      </c>
      <c r="D11" s="256">
        <f>+VLOOKUP(B11,'תעריף רכישה רשויות '!$B:$G,3,0)</f>
        <v>3.1130482912436652</v>
      </c>
      <c r="E11" s="256">
        <f>+VLOOKUP(B11,'תעריף רכישה רשויות '!$B:$G,2,0)</f>
        <v>7.0517342984421383</v>
      </c>
      <c r="F11" s="51">
        <f>+VLOOKUP(B11,'תעריף רכישה רשויות '!$B:$G,5,0)</f>
        <v>1.8327518400757308</v>
      </c>
      <c r="G11" s="244"/>
    </row>
    <row r="12" spans="1:8" x14ac:dyDescent="0.2">
      <c r="A12">
        <v>11</v>
      </c>
      <c r="B12" s="1" t="s">
        <v>509</v>
      </c>
      <c r="C12" s="256">
        <f t="shared" si="0"/>
        <v>3.7786859538547093</v>
      </c>
      <c r="D12" s="256">
        <f>+VLOOKUP(B12,'תעריף רכישה רשויות '!$B:$G,3,0)</f>
        <v>1.7023077996972664</v>
      </c>
      <c r="E12" s="256">
        <f>+VLOOKUP(B12,'תעריף רכישה רשויות '!$B:$G,2,0)</f>
        <v>5.772109298442138</v>
      </c>
      <c r="F12" s="51">
        <f>+VLOOKUP(B12,'תעריף רכישה רשויות '!$B:$G,5,0)</f>
        <v>3.2296461144057345</v>
      </c>
      <c r="G12" s="244"/>
    </row>
    <row r="13" spans="1:8" x14ac:dyDescent="0.2">
      <c r="A13">
        <v>12</v>
      </c>
      <c r="B13" s="1" t="s">
        <v>10</v>
      </c>
      <c r="C13" s="256">
        <f t="shared" si="0"/>
        <v>3.9230121369233193</v>
      </c>
      <c r="D13" s="256">
        <f>+VLOOKUP(B13,'תעריף רכישה רשויות '!$B:$G,3,0)</f>
        <v>1.6204232912436658</v>
      </c>
      <c r="E13" s="256">
        <f>+VLOOKUP(B13,'תעריף רכישה רשויות '!$B:$G,2,0)</f>
        <v>5.6591092984421358</v>
      </c>
      <c r="F13" s="51">
        <f>+VLOOKUP(B13,'תעריף רכישה רשויות '!$B:$G,5,0)</f>
        <v>3.3530018264301877</v>
      </c>
      <c r="G13" s="244"/>
    </row>
    <row r="14" spans="1:8" x14ac:dyDescent="0.2">
      <c r="A14">
        <v>13</v>
      </c>
      <c r="B14" s="1" t="s">
        <v>15</v>
      </c>
      <c r="C14" s="256">
        <f t="shared" si="0"/>
        <v>3.7786859538547093</v>
      </c>
      <c r="D14" s="256">
        <f>+VLOOKUP(B14,'תעריף רכישה רשויות '!$B:$G,3,0)</f>
        <v>1.8334232912436659</v>
      </c>
      <c r="E14" s="256">
        <f>+VLOOKUP(B14,'תעריף רכישה רשויות '!$B:$G,2,0)</f>
        <v>5.772109298442138</v>
      </c>
      <c r="F14" s="51">
        <f>+VLOOKUP(B14,'תעריף רכישה רשויות '!$B:$G,5,0)</f>
        <v>3.2296461144057345</v>
      </c>
      <c r="G14" s="244"/>
    </row>
    <row r="15" spans="1:8" x14ac:dyDescent="0.2">
      <c r="A15">
        <v>14</v>
      </c>
      <c r="B15" s="1" t="s">
        <v>16</v>
      </c>
      <c r="C15" s="256">
        <f t="shared" si="0"/>
        <v>3.0535746062208466</v>
      </c>
      <c r="D15" s="256">
        <f>+VLOOKUP(B15,'תעריף רכישה רשויות '!$B:$G,3,0)</f>
        <v>2.4011482912436652</v>
      </c>
      <c r="E15" s="256">
        <f>+VLOOKUP(B15,'תעריף רכישה רשויות '!$B:$G,2,0)</f>
        <v>6.3398342984421374</v>
      </c>
      <c r="F15" s="51">
        <f>+VLOOKUP(B15,'תעריף רכישה רשויות '!$B:$G,5,0)</f>
        <v>2.6098928258297835</v>
      </c>
      <c r="G15" s="244"/>
    </row>
    <row r="16" spans="1:8" x14ac:dyDescent="0.2">
      <c r="A16">
        <v>15</v>
      </c>
      <c r="B16" s="1" t="s">
        <v>11</v>
      </c>
      <c r="C16" s="256">
        <f t="shared" si="0"/>
        <v>3.0535746062208466</v>
      </c>
      <c r="D16" s="256">
        <f>+VLOOKUP(B16,'תעריף רכישה רשויות '!$B:$G,3,0)</f>
        <v>2.4011482912436652</v>
      </c>
      <c r="E16" s="256">
        <f>+VLOOKUP(B16,'תעריף רכישה רשויות '!$B:$G,2,0)</f>
        <v>6.3398342984421374</v>
      </c>
      <c r="F16" s="51">
        <f>+VLOOKUP(B16,'תעריף רכישה רשויות '!$B:$G,5,0)</f>
        <v>2.6098928258297835</v>
      </c>
      <c r="G16" s="244"/>
    </row>
    <row r="17" spans="1:7" x14ac:dyDescent="0.2">
      <c r="A17">
        <v>16</v>
      </c>
      <c r="B17" s="1" t="s">
        <v>22</v>
      </c>
      <c r="C17" s="256">
        <f t="shared" si="0"/>
        <v>2.7721385492370572</v>
      </c>
      <c r="D17" s="256">
        <f>+VLOOKUP(B17,'תעריף רכישה רשויות '!$B:$G,3,0)</f>
        <v>2.6214982912436651</v>
      </c>
      <c r="E17" s="256">
        <f>+VLOOKUP(B17,'תעריף רכישה רשויות '!$B:$G,2,0)</f>
        <v>6.5601842984421381</v>
      </c>
      <c r="F17" s="51">
        <f>+VLOOKUP(B17,'תעריף רכישה רשויות '!$B:$G,5,0)</f>
        <v>2.3693491873821002</v>
      </c>
      <c r="G17" s="244"/>
    </row>
    <row r="18" spans="1:7" x14ac:dyDescent="0.2">
      <c r="A18">
        <v>17</v>
      </c>
      <c r="B18" s="1" t="s">
        <v>17</v>
      </c>
      <c r="C18" s="256">
        <f t="shared" si="0"/>
        <v>3.0319256787605546</v>
      </c>
      <c r="D18" s="256">
        <f>+VLOOKUP(B18,'תעריף רכישה רשויות '!$B:$G,3,0)</f>
        <v>2.4180982912436657</v>
      </c>
      <c r="E18" s="256">
        <f>+VLOOKUP(B18,'תעריף רכישה רשויות '!$B:$G,2,0)</f>
        <v>6.356784298442137</v>
      </c>
      <c r="F18" s="51">
        <f>+VLOOKUP(B18,'תעריף רכישה רשויות '!$B:$G,5,0)</f>
        <v>2.5913894690261152</v>
      </c>
      <c r="G18" s="244"/>
    </row>
    <row r="19" spans="1:7" x14ac:dyDescent="0.2">
      <c r="A19">
        <v>18</v>
      </c>
      <c r="B19" s="1" t="s">
        <v>440</v>
      </c>
      <c r="C19" s="256">
        <f t="shared" si="0"/>
        <v>3.6297395673557906</v>
      </c>
      <c r="D19" s="256">
        <f>+VLOOKUP(B19,'תעריף רכישה רשויות '!$B:$G,3,0)</f>
        <v>1.9500406735960873</v>
      </c>
      <c r="E19" s="256">
        <f>+VLOOKUP(B19,'תעריף רכישה רשויות '!$B:$G,2,0)</f>
        <v>5.8887266807945595</v>
      </c>
      <c r="F19" s="51">
        <f>+VLOOKUP(B19,'תעריף רכישה רשויות '!$B:$G,5,0)</f>
        <v>3.102341510560505</v>
      </c>
      <c r="G19" s="244"/>
    </row>
    <row r="20" spans="1:7" x14ac:dyDescent="0.2">
      <c r="A20">
        <v>19</v>
      </c>
      <c r="B20" s="1" t="s">
        <v>19</v>
      </c>
      <c r="C20" s="256">
        <f t="shared" si="0"/>
        <v>3.2409751302097116</v>
      </c>
      <c r="D20" s="256">
        <f>+VLOOKUP(B20,'תעריף רכישה רשויות '!$B:$G,3,0)</f>
        <v>1.934423291243665</v>
      </c>
      <c r="E20" s="256">
        <f>+VLOOKUP(B20,'תעריף רכישה רשויות '!$B:$G,2,0)</f>
        <v>6.1931092984421374</v>
      </c>
      <c r="F20" s="51">
        <f>+VLOOKUP(B20,'תעריף רכישה רשויות '!$B:$G,5,0)</f>
        <v>2.7700642138544547</v>
      </c>
      <c r="G20" s="244"/>
    </row>
    <row r="21" spans="1:7" x14ac:dyDescent="0.2">
      <c r="A21">
        <v>20</v>
      </c>
      <c r="B21" s="1" t="s">
        <v>20</v>
      </c>
      <c r="C21" s="256">
        <f t="shared" si="0"/>
        <v>3.0535746062208466</v>
      </c>
      <c r="D21" s="256">
        <f>+VLOOKUP(B21,'תעריף רכישה רשויות '!$B:$G,3,0)</f>
        <v>2.4011482912436652</v>
      </c>
      <c r="E21" s="256">
        <f>+VLOOKUP(B21,'תעריף רכישה רשויות '!$B:$G,2,0)</f>
        <v>6.3398342984421374</v>
      </c>
      <c r="F21" s="51">
        <f>+VLOOKUP(B21,'תעריף רכישה רשויות '!$B:$G,5,0)</f>
        <v>2.6098928258297835</v>
      </c>
      <c r="G21" s="244"/>
    </row>
    <row r="22" spans="1:7" x14ac:dyDescent="0.2">
      <c r="A22">
        <v>21</v>
      </c>
      <c r="B22" s="1" t="s">
        <v>326</v>
      </c>
      <c r="C22" s="256">
        <f t="shared" si="0"/>
        <v>2.7721385492370572</v>
      </c>
      <c r="D22" s="256">
        <f>+VLOOKUP(B22,'תעריף רכישה רשויות '!$B:$G,3,0)</f>
        <v>2.6214982912436651</v>
      </c>
      <c r="E22" s="256">
        <f>+VLOOKUP(B22,'תעריף רכישה רשויות '!$B:$G,2,0)</f>
        <v>6.5601842984421381</v>
      </c>
      <c r="F22" s="51">
        <f>+VLOOKUP(B22,'תעריף רכישה רשויות '!$B:$G,5,0)</f>
        <v>2.3693491873821002</v>
      </c>
      <c r="G22" s="244"/>
    </row>
    <row r="23" spans="1:7" x14ac:dyDescent="0.2">
      <c r="A23">
        <v>22</v>
      </c>
      <c r="B23" s="2" t="s">
        <v>373</v>
      </c>
      <c r="C23" s="256">
        <f t="shared" si="0"/>
        <v>2.9695652726691848</v>
      </c>
      <c r="D23" s="256">
        <f>+VLOOKUP(B23,'תעריף רכישה רשויות '!$B:$G,3,0)</f>
        <v>2.4669232912436656</v>
      </c>
      <c r="E23" s="256">
        <f>+VLOOKUP(B23,'תעריף רכישה רשויות '!$B:$G,2,0)</f>
        <v>6.4056092984421378</v>
      </c>
      <c r="F23" s="51">
        <f>+VLOOKUP(B23,'תעריף רכישה רשויות '!$B:$G,5,0)</f>
        <v>2.5380899766403289</v>
      </c>
      <c r="G23" s="244"/>
    </row>
    <row r="24" spans="1:7" x14ac:dyDescent="0.2">
      <c r="A24">
        <v>23</v>
      </c>
      <c r="B24" s="1" t="s">
        <v>411</v>
      </c>
      <c r="C24" s="256">
        <f t="shared" si="0"/>
        <v>3.7764407237908486</v>
      </c>
      <c r="D24" s="256">
        <f>+VLOOKUP(B24,'תעריף רכישה רשויות '!$B:$G,3,0)</f>
        <v>1.3793097057785491</v>
      </c>
      <c r="E24" s="256">
        <f>+VLOOKUP(B24,'תעריף רכישה רשויות '!$B:$G,2,0)</f>
        <v>5.7738671984421375</v>
      </c>
      <c r="F24" s="51">
        <f>+VLOOKUP(B24,'תעריף רכישה רשויות '!$B:$G,5,0)</f>
        <v>3.2277271143511528</v>
      </c>
      <c r="G24" s="244"/>
    </row>
    <row r="25" spans="1:7" x14ac:dyDescent="0.2">
      <c r="A25">
        <v>24</v>
      </c>
      <c r="B25" s="1" t="s">
        <v>8</v>
      </c>
      <c r="C25" s="256">
        <f t="shared" si="0"/>
        <v>2.1443196528886048</v>
      </c>
      <c r="D25" s="256">
        <f>+VLOOKUP(B25,'תעריף רכישה רשויות '!$B:$G,3,0)</f>
        <v>3.1130482912436652</v>
      </c>
      <c r="E25" s="256">
        <f>+VLOOKUP(B25,'תעריף רכישה רשויות '!$B:$G,2,0)</f>
        <v>7.0517342984421383</v>
      </c>
      <c r="F25" s="51">
        <f>+VLOOKUP(B25,'תעריף רכישה רשויות '!$B:$G,5,0)</f>
        <v>1.8327518400757308</v>
      </c>
      <c r="G25" s="244"/>
    </row>
    <row r="26" spans="1:7" x14ac:dyDescent="0.2">
      <c r="A26">
        <v>25</v>
      </c>
      <c r="B26" s="1" t="s">
        <v>510</v>
      </c>
      <c r="C26" s="256">
        <f t="shared" si="0"/>
        <v>3.7786859538547093</v>
      </c>
      <c r="D26" s="256">
        <f>+VLOOKUP(B26,'תעריף רכישה רשויות '!$B:$G,3,0)</f>
        <v>0.91781913639536483</v>
      </c>
      <c r="E26" s="256">
        <f>+VLOOKUP(B26,'תעריף רכישה רשויות '!$B:$G,2,0)</f>
        <v>5.772109298442138</v>
      </c>
      <c r="F26" s="51">
        <f>+VLOOKUP(B26,'תעריף רכישה רשויות '!$B:$G,5,0)</f>
        <v>3.2296461144057345</v>
      </c>
      <c r="G26" s="244"/>
    </row>
    <row r="27" spans="1:7" x14ac:dyDescent="0.2">
      <c r="A27">
        <v>26</v>
      </c>
      <c r="B27" s="1" t="s">
        <v>24</v>
      </c>
      <c r="C27" s="256">
        <f t="shared" si="0"/>
        <v>2.7721385492370572</v>
      </c>
      <c r="D27" s="256">
        <f>+VLOOKUP(B27,'תעריף רכישה רשויות '!$B:$G,3,0)</f>
        <v>2.6214982912436651</v>
      </c>
      <c r="E27" s="256">
        <f>+VLOOKUP(B27,'תעריף רכישה רשויות '!$B:$G,2,0)</f>
        <v>6.5601842984421381</v>
      </c>
      <c r="F27" s="51">
        <f>+VLOOKUP(B27,'תעריף רכישה רשויות '!$B:$G,5,0)</f>
        <v>2.3693491873821002</v>
      </c>
      <c r="G27" s="244"/>
    </row>
    <row r="28" spans="1:7" x14ac:dyDescent="0.2">
      <c r="A28">
        <v>27</v>
      </c>
      <c r="B28" s="1" t="s">
        <v>21</v>
      </c>
      <c r="C28" s="256">
        <f t="shared" si="0"/>
        <v>2.1443196528886048</v>
      </c>
      <c r="D28" s="256">
        <f>+VLOOKUP(B28,'תעריף רכישה רשויות '!$B:$G,3,0)</f>
        <v>3.1130482912436652</v>
      </c>
      <c r="E28" s="256">
        <f>+VLOOKUP(B28,'תעריף רכישה רשויות '!$B:$G,2,0)</f>
        <v>7.0517342984421383</v>
      </c>
      <c r="F28" s="51">
        <f>+VLOOKUP(B28,'תעריף רכישה רשויות '!$B:$G,5,0)</f>
        <v>1.8327518400757308</v>
      </c>
      <c r="G28" s="244"/>
    </row>
    <row r="29" spans="1:7" x14ac:dyDescent="0.2">
      <c r="A29">
        <v>28</v>
      </c>
      <c r="B29" s="1" t="s">
        <v>12</v>
      </c>
      <c r="C29" s="256">
        <f t="shared" si="0"/>
        <v>3.6166915212364028</v>
      </c>
      <c r="D29" s="256">
        <f>+VLOOKUP(B29,'תעריף רכישה רשויות '!$B:$G,3,0)</f>
        <v>1.9602566245769988</v>
      </c>
      <c r="E29" s="256">
        <f>+VLOOKUP(B29,'תעריף רכישה רשויות '!$B:$G,2,0)</f>
        <v>5.8989426317754701</v>
      </c>
      <c r="F29" s="51">
        <f>+VLOOKUP(B29,'תעריף רכישה רשויות '!$B:$G,5,0)</f>
        <v>3.091189334390088</v>
      </c>
    </row>
  </sheetData>
  <autoFilter ref="B1:F28">
    <sortState ref="B2:D31">
      <sortCondition ref="B3"/>
    </sortState>
  </autoFilter>
  <sortState ref="A3:D31">
    <sortCondition ref="B2"/>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0"/>
  <sheetViews>
    <sheetView rightToLeft="1" workbookViewId="0">
      <pane xSplit="2" ySplit="2" topLeftCell="C17" activePane="bottomRight" state="frozen"/>
      <selection pane="topRight" activeCell="C1" sqref="C1"/>
      <selection pane="bottomLeft" activeCell="A3" sqref="A3"/>
      <selection pane="bottomRight" activeCell="C29" sqref="C29"/>
    </sheetView>
  </sheetViews>
  <sheetFormatPr defaultRowHeight="12.75" x14ac:dyDescent="0.2"/>
  <cols>
    <col min="1" max="1" width="9.140625" style="250"/>
    <col min="2" max="2" width="18.7109375" style="250" bestFit="1" customWidth="1"/>
    <col min="3" max="4" width="9.140625" style="250"/>
    <col min="5" max="6" width="12" style="250" bestFit="1" customWidth="1"/>
    <col min="7" max="12" width="9.140625" style="250"/>
    <col min="13" max="13" width="0" style="250" hidden="1" customWidth="1"/>
    <col min="14" max="16" width="9.140625" style="250"/>
    <col min="17" max="17" width="9.28515625" style="278" bestFit="1" customWidth="1"/>
    <col min="18" max="22" width="9.140625" style="250"/>
    <col min="23" max="23" width="14" style="250" bestFit="1" customWidth="1"/>
    <col min="24" max="16384" width="9.140625" style="250"/>
  </cols>
  <sheetData>
    <row r="1" spans="1:26" x14ac:dyDescent="0.2">
      <c r="C1" s="250" t="s">
        <v>482</v>
      </c>
      <c r="D1" s="250" t="s">
        <v>483</v>
      </c>
      <c r="E1" s="250" t="s">
        <v>507</v>
      </c>
      <c r="F1" s="276" t="s">
        <v>506</v>
      </c>
      <c r="G1" s="276" t="s">
        <v>485</v>
      </c>
      <c r="H1" s="277">
        <v>0.17</v>
      </c>
      <c r="L1" s="276" t="s">
        <v>486</v>
      </c>
      <c r="N1" s="276" t="s">
        <v>487</v>
      </c>
      <c r="O1" s="276" t="s">
        <v>485</v>
      </c>
    </row>
    <row r="2" spans="1:26" x14ac:dyDescent="0.2">
      <c r="B2" s="269" t="s">
        <v>29</v>
      </c>
      <c r="F2" s="276"/>
      <c r="Z2" s="276" t="s">
        <v>627</v>
      </c>
    </row>
    <row r="3" spans="1:26" x14ac:dyDescent="0.2">
      <c r="A3" s="250">
        <v>1</v>
      </c>
      <c r="B3" s="254" t="s">
        <v>421</v>
      </c>
      <c r="C3" s="257">
        <f>'תעריף מים לכמות נוספת'!D3</f>
        <v>5.287130990645986</v>
      </c>
      <c r="D3" s="257">
        <f>'תעריף כמות מוכרת'!D3</f>
        <v>1.3484449834475147</v>
      </c>
      <c r="E3" s="257">
        <f>F3*(1+$H$1)</f>
        <v>4.398111334698001</v>
      </c>
      <c r="F3" s="279">
        <f>('תעריף מים לכמות נוספת'!L3+'תעריף מים לכמות נוספת'!J3+'תעריף מים לכמות נוספת'!K3+'תעריף מים לכמות נוספת'!I3)/(1-'תחשיב הכרה בעלויות '!$C$21)/(1-'תחשיב הכרה בעלויות '!$C$22)</f>
        <v>3.7590695168358983</v>
      </c>
      <c r="G3" s="252">
        <f>('תעריף מים לכמות נוספת'!G3+'תעריף מים לכמות נוספת'!H3)</f>
        <v>0.9426289953641358</v>
      </c>
      <c r="H3" s="250">
        <f>'תעריף מים לכמות נוספת'!M3</f>
        <v>10.559746320514869</v>
      </c>
      <c r="I3" s="250">
        <f>1/(1-'תחשיב הכרה בעלויות '!$C$21)/(1-'תחשיב הכרה בעלויות '!$C$22)</f>
        <v>1.0916434692429455</v>
      </c>
      <c r="J3" s="280">
        <f>(H3-G3-F3)/I3</f>
        <v>5.3662646948068025</v>
      </c>
      <c r="K3" s="281">
        <f>J3-C3</f>
        <v>7.9133704160816443E-2</v>
      </c>
      <c r="L3" s="280">
        <f>G3-'תחשיב הכרה בעלויות '!$D$11-'תחשיב הכרה בעלויות '!$K$11</f>
        <v>0.1178511843571729</v>
      </c>
      <c r="N3" s="280">
        <f>F3/I3</f>
        <v>3.443495630897524</v>
      </c>
      <c r="O3" s="280">
        <f>L3+'תעריף מים לכמות נוספת'!E3+'תעריף מים לכמות נוספת'!F3</f>
        <v>1.0043418879643962</v>
      </c>
      <c r="P3" s="280">
        <f>H3-N3-O3</f>
        <v>6.1119088016529481</v>
      </c>
      <c r="Q3" s="278">
        <f>P3-C3-'תחשיב הכרה בעלויות '!$D$11-'תחשיב הכרה בעלויות '!$K$11</f>
        <v>-7.2164496600635175E-16</v>
      </c>
      <c r="R3" s="280">
        <f>N3-('תעריף מים לכמות נוספת'!L3+'תעריף מים לכמות נוספת'!J3+'תעריף מים לכמות נוספת'!K3+'תעריף מים לכמות נוספת'!I3)</f>
        <v>0</v>
      </c>
      <c r="S3" s="252">
        <f>'תעריף כמות מוכרת'!E3+'תעריף כמות מוכרת'!F3+'תעריף כמות מוכרת'!G3-'תעריף כמות מוכרת'!I3</f>
        <v>0.94436189800705905</v>
      </c>
      <c r="T3" s="250">
        <f>'תעריף כמות מוכרת'!M3</f>
        <v>6.5610803233590609</v>
      </c>
      <c r="U3" s="280">
        <f>T3-S3-N3</f>
        <v>2.1732227944544782</v>
      </c>
      <c r="V3" s="282">
        <f>U3-D3-'תחשיב הכרה בעלויות '!$E$19-'תחשיב הכרה בעלויות '!$I$19</f>
        <v>6.106226635438361E-16</v>
      </c>
      <c r="W3" s="283">
        <f>IFERROR(VLOOKUP($B3,'כמויות 2013'!$B$205:$H$257,7,0),0)</f>
        <v>1660781</v>
      </c>
      <c r="X3" s="250">
        <f>W3*C3</f>
        <v>8780766.693776032</v>
      </c>
      <c r="Y3" s="250">
        <f>W3*D3</f>
        <v>2239471.8080549468</v>
      </c>
      <c r="Z3" s="250">
        <f>+VLOOKUP(B3,'אשכול חברתי'!$A:$E,2,0)</f>
        <v>8</v>
      </c>
    </row>
    <row r="4" spans="1:26" x14ac:dyDescent="0.2">
      <c r="A4" s="250">
        <v>2</v>
      </c>
      <c r="B4" s="275" t="s">
        <v>1</v>
      </c>
      <c r="C4" s="257">
        <f>'תעריף מים לכמות נוספת'!D4</f>
        <v>6.5601842984421381</v>
      </c>
      <c r="D4" s="257">
        <f>'תעריף כמות מוכרת'!D4</f>
        <v>2.6214982912436651</v>
      </c>
      <c r="E4" s="257">
        <f t="shared" ref="E4:E30" si="0">F4*(1+$H$1)</f>
        <v>2.7721385492370572</v>
      </c>
      <c r="F4" s="279">
        <f>('תעריף מים לכמות נוספת'!L4+'תעריף מים לכמות נוספת'!J4+'תעריף מים לכמות נוספת'!K4+'תעריף מים לכמות נוספת'!I4)/(1-'תחשיב הכרה בעלויות '!$C$21)/(1-'תחשיב הכרה בעלויות '!$C$22)</f>
        <v>2.3693491873821002</v>
      </c>
      <c r="G4" s="252">
        <f>('תעריף מים לכמות נוספת'!G4+'תעריף מים לכמות נוספת'!H4)</f>
        <v>0.9426289953641358</v>
      </c>
      <c r="H4" s="250">
        <f>'תעריף מים לכמות נוספת'!M4</f>
        <v>10.559746320514869</v>
      </c>
      <c r="I4" s="250">
        <f>1/(1-'תחשיב הכרה בעלויות '!$C$21)/(1-'תחשיב הכרה בעלויות '!$C$22)</f>
        <v>1.0916434692429455</v>
      </c>
      <c r="J4" s="280">
        <f t="shared" ref="J4:J29" si="1">(H4-G4-F4)/I4</f>
        <v>6.6393180026029546</v>
      </c>
      <c r="K4" s="281">
        <f t="shared" ref="K4:K29" si="2">J4-C4</f>
        <v>7.9133704160816443E-2</v>
      </c>
      <c r="L4" s="280">
        <f>G4-'תחשיב הכרה בעלויות '!$D$11-'תחשיב הכרה בעלויות '!$K$11</f>
        <v>0.1178511843571729</v>
      </c>
      <c r="N4" s="280">
        <f t="shared" ref="N4:N29" si="3">F4/I4</f>
        <v>2.1704423231013723</v>
      </c>
      <c r="O4" s="280">
        <f>L4+'תעריף מים לכמות נוספת'!E4+'תעריף מים לכמות נוספת'!F4</f>
        <v>1.0043418879643962</v>
      </c>
      <c r="P4" s="280">
        <f t="shared" ref="P4:P29" si="4">H4-N4-O4</f>
        <v>7.3849621094490994</v>
      </c>
      <c r="Q4" s="278">
        <f>P4-C4-'תחשיב הכרה בעלויות '!$D$11-'תחשיב הכרה בעלויות '!$K$11</f>
        <v>-1.609823385706477E-15</v>
      </c>
      <c r="R4" s="280">
        <f>N4-('תעריף מים לכמות נוספת'!L4+'תעריף מים לכמות נוספת'!J4+'תעריף מים לכמות נוספת'!K4+'תעריף מים לכמות נוספת'!I4)</f>
        <v>0</v>
      </c>
      <c r="S4" s="252">
        <f>'תעריף כמות מוכרת'!E4+'תעריף כמות מוכרת'!F4+'תעריף כמות מוכרת'!G4-'תעריף כמות מוכרת'!I4</f>
        <v>0.94436189800705905</v>
      </c>
      <c r="T4" s="250">
        <f>'תעריף כמות מוכרת'!M4</f>
        <v>6.5610803233590609</v>
      </c>
      <c r="U4" s="280">
        <f t="shared" ref="U4:U29" si="5">T4-S4-N4</f>
        <v>3.4462761022506299</v>
      </c>
      <c r="V4" s="282">
        <f>U4-D4-'תחשיב הכרה בעלויות '!$E$19-'תחשיב הכרה בעלויות '!$I$19</f>
        <v>1.9428902930940239E-15</v>
      </c>
      <c r="W4" s="283">
        <f>IFERROR(VLOOKUP($B4,'כמויות 2013'!$B$205:$H$257,7,0),0)</f>
        <v>1694107</v>
      </c>
      <c r="X4" s="250">
        <f t="shared" ref="X4:X29" si="6">W4*C4</f>
        <v>11113654.141280916</v>
      </c>
      <c r="Y4" s="250">
        <f t="shared" ref="Y4:Y29" si="7">W4*D4</f>
        <v>4441098.6056839321</v>
      </c>
      <c r="Z4" s="250">
        <f>+VLOOKUP(B4,'אשכול חברתי'!$A:$E,2,0)</f>
        <v>4</v>
      </c>
    </row>
    <row r="5" spans="1:26" x14ac:dyDescent="0.2">
      <c r="A5" s="250">
        <v>3</v>
      </c>
      <c r="B5" s="275" t="s">
        <v>508</v>
      </c>
      <c r="C5" s="257">
        <f>'תעריף מים לכמות נוספת'!D5</f>
        <v>5.7738671984421375</v>
      </c>
      <c r="D5" s="257">
        <f>'תעריף כמות מוכרת'!D5</f>
        <v>1.8351811912436653</v>
      </c>
      <c r="E5" s="257">
        <f t="shared" si="0"/>
        <v>3.7764407237908486</v>
      </c>
      <c r="F5" s="279">
        <f>('תעריף מים לכמות נוספת'!L5+'תעריף מים לכמות נוספת'!J5+'תעריף מים לכמות נוספת'!K5+'תעריף מים לכמות נוספת'!I5)/(1-'תחשיב הכרה בעלויות '!$C$21)/(1-'תחשיב הכרה בעלויות '!$C$22)</f>
        <v>3.2277271143511528</v>
      </c>
      <c r="G5" s="252">
        <f>('תעריף מים לכמות נוספת'!G5+'תעריף מים לכמות נוספת'!H5)</f>
        <v>0.9426289953641358</v>
      </c>
      <c r="H5" s="250">
        <f>'תעריף מים לכמות נוספת'!M5</f>
        <v>10.559746320514869</v>
      </c>
      <c r="I5" s="250">
        <f>1/(1-'תחשיב הכרה בעלויות '!$C$21)/(1-'תחשיב הכרה בעלויות '!$C$22)</f>
        <v>1.0916434692429455</v>
      </c>
      <c r="J5" s="280">
        <f t="shared" si="1"/>
        <v>5.8530009026029548</v>
      </c>
      <c r="K5" s="281">
        <f t="shared" si="2"/>
        <v>7.9133704160817331E-2</v>
      </c>
      <c r="L5" s="280">
        <f>G5-'תחשיב הכרה בעלויות '!$D$11-'תחשיב הכרה בעלויות '!$K$11</f>
        <v>0.1178511843571729</v>
      </c>
      <c r="N5" s="280">
        <f t="shared" si="3"/>
        <v>2.956759423101373</v>
      </c>
      <c r="O5" s="280">
        <f>L5+'תעריף מים לכמות נוספת'!E5+'תעריף מים לכמות נוספת'!F5</f>
        <v>1.0043418879643962</v>
      </c>
      <c r="P5" s="280">
        <f t="shared" si="4"/>
        <v>6.5986450094490996</v>
      </c>
      <c r="Q5" s="278">
        <f>P5-C5-'תחשיב הכרה בעלויות '!$D$11-'תחשיב הכרה בעלויות '!$K$11</f>
        <v>-7.2164496600635175E-16</v>
      </c>
      <c r="R5" s="280">
        <f>N5-('תעריף מים לכמות נוספת'!L5+'תעריף מים לכמות נוספת'!J5+'תעריף מים לכמות נוספת'!K5+'תעריף מים לכמות נוספת'!I5)</f>
        <v>0</v>
      </c>
      <c r="S5" s="252">
        <f>'תעריף כמות מוכרת'!E5+'תעריף כמות מוכרת'!F5+'תעריף כמות מוכרת'!G5-'תעריף כמות מוכרת'!I5</f>
        <v>0.94436189800705905</v>
      </c>
      <c r="T5" s="250">
        <f>'תעריף כמות מוכרת'!M5</f>
        <v>6.5610803233590609</v>
      </c>
      <c r="U5" s="280">
        <f t="shared" si="5"/>
        <v>2.6599590022506292</v>
      </c>
      <c r="V5" s="282">
        <f>U5-D5-'תחשיב הכרה בעלויות '!$E$19-'תחשיב הכרה בעלויות '!$I$19</f>
        <v>1.0547118733938987E-15</v>
      </c>
      <c r="W5" s="283">
        <f>IFERROR(VLOOKUP($B5,'כמויות 2013'!$B$205:$H$257,7,0),0)</f>
        <v>2117520</v>
      </c>
      <c r="X5" s="250">
        <f t="shared" si="6"/>
        <v>12226279.270045195</v>
      </c>
      <c r="Y5" s="250">
        <f t="shared" si="7"/>
        <v>3886032.8760822862</v>
      </c>
      <c r="Z5" s="250">
        <f>+VLOOKUP(B5,'אשכול חברתי'!$A:$E,2,0)</f>
        <v>8</v>
      </c>
    </row>
    <row r="6" spans="1:26" x14ac:dyDescent="0.2">
      <c r="A6" s="250">
        <v>4</v>
      </c>
      <c r="B6" s="275" t="s">
        <v>373</v>
      </c>
      <c r="C6" s="257">
        <f>'תעריף מים לכמות נוספת'!D6</f>
        <v>6.4056092984421378</v>
      </c>
      <c r="D6" s="257">
        <f>'תעריף כמות מוכרת'!D6</f>
        <v>2.4669232912436656</v>
      </c>
      <c r="E6" s="257">
        <f t="shared" si="0"/>
        <v>2.9695652726691848</v>
      </c>
      <c r="F6" s="279">
        <f>('תעריף מים לכמות נוספת'!L6+'תעריף מים לכמות נוספת'!J6+'תעריף מים לכמות נוספת'!K6+'תעריף מים לכמות נוספת'!I6)/(1-'תחשיב הכרה בעלויות '!$C$21)/(1-'תחשיב הכרה בעלויות '!$C$22)</f>
        <v>2.5380899766403289</v>
      </c>
      <c r="G6" s="252">
        <f>('תעריף מים לכמות נוספת'!G6+'תעריף מים לכמות נוספת'!H6)</f>
        <v>0.9426289953641358</v>
      </c>
      <c r="H6" s="250">
        <f>'תעריף מים לכמות נוספת'!M6</f>
        <v>10.559746320514869</v>
      </c>
      <c r="I6" s="250">
        <f>1/(1-'תחשיב הכרה בעלויות '!$C$21)/(1-'תחשיב הכרה בעלויות '!$C$22)</f>
        <v>1.0916434692429455</v>
      </c>
      <c r="J6" s="280">
        <f t="shared" si="1"/>
        <v>6.4847430026029542</v>
      </c>
      <c r="K6" s="281">
        <f t="shared" si="2"/>
        <v>7.9133704160816443E-2</v>
      </c>
      <c r="L6" s="280">
        <f>G6-'תחשיב הכרה בעלויות '!$D$11-'תחשיב הכרה בעלויות '!$K$11</f>
        <v>0.1178511843571729</v>
      </c>
      <c r="N6" s="280">
        <f t="shared" si="3"/>
        <v>2.3250173231013727</v>
      </c>
      <c r="O6" s="280">
        <f>L6+'תעריף מים לכמות נוספת'!E6+'תעריף מים לכמות נוספת'!F6</f>
        <v>1.0043418879643962</v>
      </c>
      <c r="P6" s="280">
        <f t="shared" si="4"/>
        <v>7.2303871094490999</v>
      </c>
      <c r="Q6" s="278">
        <f>P6-C6-'תחשיב הכרה בעלויות '!$D$11-'תחשיב הכרה בעלויות '!$K$11</f>
        <v>-7.2164496600635175E-16</v>
      </c>
      <c r="R6" s="280">
        <f>N6-('תעריף מים לכמות נוספת'!L6+'תעריף מים לכמות נוספת'!J6+'תעריף מים לכמות נוספת'!K6+'תעריף מים לכמות נוספת'!I6)</f>
        <v>0</v>
      </c>
      <c r="S6" s="252">
        <f>'תעריף כמות מוכרת'!E6+'תעריף כמות מוכרת'!F6+'תעריף כמות מוכרת'!G6-'תעריף כמות מוכרת'!I6</f>
        <v>0.94436189800705905</v>
      </c>
      <c r="T6" s="250">
        <f>'תעריף כמות מוכרת'!M6</f>
        <v>6.5610803233590609</v>
      </c>
      <c r="U6" s="280">
        <f t="shared" si="5"/>
        <v>3.2917011022506295</v>
      </c>
      <c r="V6" s="282">
        <f>U6-D6-'תחשיב הכרה בעלויות '!$E$19-'תחשיב הכרה בעלויות '!$I$19</f>
        <v>1.0547118733938987E-15</v>
      </c>
      <c r="W6" s="283">
        <f>IFERROR(VLOOKUP($B6,'כמויות 2013'!$B$205:$H$257,7,0),0)</f>
        <v>705909</v>
      </c>
      <c r="X6" s="250">
        <f t="shared" si="6"/>
        <v>4521777.2542539909</v>
      </c>
      <c r="Y6" s="250">
        <f t="shared" si="7"/>
        <v>1741423.3535985248</v>
      </c>
      <c r="Z6" s="250">
        <f>+VLOOKUP(B6,'אשכול חברתי'!$A:$E,2,0)</f>
        <v>2</v>
      </c>
    </row>
    <row r="7" spans="1:26" x14ac:dyDescent="0.2">
      <c r="A7" s="250">
        <v>5</v>
      </c>
      <c r="B7" s="249" t="s">
        <v>310</v>
      </c>
      <c r="C7" s="257">
        <f>'תעריף מים לכמות נוספת'!D7</f>
        <v>6.5601842984421381</v>
      </c>
      <c r="D7" s="257">
        <f>'תעריף כמות מוכרת'!D7</f>
        <v>2.6214982912436651</v>
      </c>
      <c r="E7" s="257">
        <f t="shared" si="0"/>
        <v>2.7721385492370572</v>
      </c>
      <c r="F7" s="279">
        <f>('תעריף מים לכמות נוספת'!L7+'תעריף מים לכמות נוספת'!J7+'תעריף מים לכמות נוספת'!K7+'תעריף מים לכמות נוספת'!I7)/(1-'תחשיב הכרה בעלויות '!$C$21)/(1-'תחשיב הכרה בעלויות '!$C$22)</f>
        <v>2.3693491873821002</v>
      </c>
      <c r="G7" s="252">
        <f>('תעריף מים לכמות נוספת'!G7+'תעריף מים לכמות נוספת'!H7)</f>
        <v>0.9426289953641358</v>
      </c>
      <c r="H7" s="250">
        <f>'תעריף מים לכמות נוספת'!M7</f>
        <v>10.559746320514869</v>
      </c>
      <c r="I7" s="250">
        <f>1/(1-'תחשיב הכרה בעלויות '!$C$21)/(1-'תחשיב הכרה בעלויות '!$C$22)</f>
        <v>1.0916434692429455</v>
      </c>
      <c r="J7" s="280">
        <f t="shared" si="1"/>
        <v>6.6393180026029546</v>
      </c>
      <c r="K7" s="281">
        <f t="shared" si="2"/>
        <v>7.9133704160816443E-2</v>
      </c>
      <c r="L7" s="280">
        <f>G7-'תחשיב הכרה בעלויות '!$D$11-'תחשיב הכרה בעלויות '!$K$11</f>
        <v>0.1178511843571729</v>
      </c>
      <c r="N7" s="280">
        <f t="shared" si="3"/>
        <v>2.1704423231013723</v>
      </c>
      <c r="O7" s="280">
        <f>L7+'תעריף מים לכמות נוספת'!E7+'תעריף מים לכמות נוספת'!F7</f>
        <v>1.0043418879643962</v>
      </c>
      <c r="P7" s="280">
        <f t="shared" si="4"/>
        <v>7.3849621094490994</v>
      </c>
      <c r="Q7" s="278">
        <f>P7-C7-'תחשיב הכרה בעלויות '!$D$11-'תחשיב הכרה בעלויות '!$K$11</f>
        <v>-1.609823385706477E-15</v>
      </c>
      <c r="R7" s="280">
        <f>N7-('תעריף מים לכמות נוספת'!L7+'תעריף מים לכמות נוספת'!J7+'תעריף מים לכמות נוספת'!K7+'תעריף מים לכמות נוספת'!I7)</f>
        <v>0</v>
      </c>
      <c r="S7" s="252">
        <f>'תעריף כמות מוכרת'!E7+'תעריף כמות מוכרת'!F7+'תעריף כמות מוכרת'!G7-'תעריף כמות מוכרת'!I7</f>
        <v>0.94436189800705905</v>
      </c>
      <c r="T7" s="250">
        <f>'תעריף כמות מוכרת'!M7</f>
        <v>6.5610803233590609</v>
      </c>
      <c r="U7" s="280">
        <f t="shared" si="5"/>
        <v>3.4462761022506299</v>
      </c>
      <c r="V7" s="282">
        <f>U7-D7-'תחשיב הכרה בעלויות '!$E$19-'תחשיב הכרה בעלויות '!$I$19</f>
        <v>1.9428902930940239E-15</v>
      </c>
      <c r="W7" s="283">
        <f>IFERROR(VLOOKUP($B7,'כמויות 2013'!$B$205:$H$257,7,0),0)</f>
        <v>2024981</v>
      </c>
      <c r="X7" s="250">
        <f t="shared" si="6"/>
        <v>13284248.56084366</v>
      </c>
      <c r="Y7" s="250">
        <f t="shared" si="7"/>
        <v>5308484.2313008886</v>
      </c>
      <c r="Z7" s="250">
        <f>+VLOOKUP(B7,'אשכול חברתי'!$A:$E,2,0)</f>
        <v>3</v>
      </c>
    </row>
    <row r="8" spans="1:26" x14ac:dyDescent="0.2">
      <c r="A8" s="250">
        <v>6</v>
      </c>
      <c r="B8" s="249" t="s">
        <v>326</v>
      </c>
      <c r="C8" s="257">
        <f>'תעריף מים לכמות נוספת'!D8</f>
        <v>6.5601842984421381</v>
      </c>
      <c r="D8" s="257">
        <f>'תעריף כמות מוכרת'!D8</f>
        <v>2.6214982912436651</v>
      </c>
      <c r="E8" s="257">
        <f t="shared" si="0"/>
        <v>2.7721385492370572</v>
      </c>
      <c r="F8" s="279">
        <f>('תעריף מים לכמות נוספת'!L8+'תעריף מים לכמות נוספת'!J8+'תעריף מים לכמות נוספת'!K8+'תעריף מים לכמות נוספת'!I8)/(1-'תחשיב הכרה בעלויות '!$C$21)/(1-'תחשיב הכרה בעלויות '!$C$22)</f>
        <v>2.3693491873821002</v>
      </c>
      <c r="G8" s="252">
        <f>('תעריף מים לכמות נוספת'!G8+'תעריף מים לכמות נוספת'!H8)</f>
        <v>0.9426289953641358</v>
      </c>
      <c r="H8" s="250">
        <f>'תעריף מים לכמות נוספת'!M8</f>
        <v>10.559746320514869</v>
      </c>
      <c r="I8" s="250">
        <f>1/(1-'תחשיב הכרה בעלויות '!$C$21)/(1-'תחשיב הכרה בעלויות '!$C$22)</f>
        <v>1.0916434692429455</v>
      </c>
      <c r="J8" s="280">
        <f t="shared" si="1"/>
        <v>6.6393180026029546</v>
      </c>
      <c r="K8" s="281">
        <f t="shared" si="2"/>
        <v>7.9133704160816443E-2</v>
      </c>
      <c r="L8" s="280">
        <f>G8-'תחשיב הכרה בעלויות '!$D$11-'תחשיב הכרה בעלויות '!$K$11</f>
        <v>0.1178511843571729</v>
      </c>
      <c r="N8" s="280">
        <f t="shared" si="3"/>
        <v>2.1704423231013723</v>
      </c>
      <c r="O8" s="280">
        <f>L8+'תעריף מים לכמות נוספת'!E8+'תעריף מים לכמות נוספת'!F8</f>
        <v>1.0043418879643962</v>
      </c>
      <c r="P8" s="280">
        <f t="shared" si="4"/>
        <v>7.3849621094490994</v>
      </c>
      <c r="Q8" s="278">
        <f>P8-C8-'תחשיב הכרה בעלויות '!$D$11-'תחשיב הכרה בעלויות '!$K$11</f>
        <v>-1.609823385706477E-15</v>
      </c>
      <c r="R8" s="280">
        <f>N8-('תעריף מים לכמות נוספת'!L8+'תעריף מים לכמות נוספת'!J8+'תעריף מים לכמות נוספת'!K8+'תעריף מים לכמות נוספת'!I8)</f>
        <v>0</v>
      </c>
      <c r="S8" s="252">
        <f>'תעריף כמות מוכרת'!E8+'תעריף כמות מוכרת'!F8+'תעריף כמות מוכרת'!G8-'תעריף כמות מוכרת'!I8</f>
        <v>0.94436189800705905</v>
      </c>
      <c r="T8" s="250">
        <f>'תעריף כמות מוכרת'!M8</f>
        <v>6.5610803233590609</v>
      </c>
      <c r="U8" s="280">
        <f t="shared" si="5"/>
        <v>3.4462761022506299</v>
      </c>
      <c r="V8" s="282">
        <f>U8-D8-'תחשיב הכרה בעלויות '!$E$19-'תחשיב הכרה בעלויות '!$I$19</f>
        <v>1.9428902930940239E-15</v>
      </c>
      <c r="W8" s="283">
        <f>IFERROR(VLOOKUP($B8,'כמויות 2013'!$B$205:$H$257,7,0),0)</f>
        <v>1257577</v>
      </c>
      <c r="X8" s="250">
        <f t="shared" si="6"/>
        <v>8249936.8894819692</v>
      </c>
      <c r="Y8" s="250">
        <f t="shared" si="7"/>
        <v>3296735.9566073348</v>
      </c>
      <c r="Z8" s="250">
        <f>+VLOOKUP(B8,'אשכול חברתי'!$A:$E,2,0)</f>
        <v>4</v>
      </c>
    </row>
    <row r="9" spans="1:26" x14ac:dyDescent="0.2">
      <c r="A9" s="250">
        <v>7</v>
      </c>
      <c r="B9" s="249" t="s">
        <v>509</v>
      </c>
      <c r="C9" s="257">
        <f>'תעריף מים לכמות נוספת'!D9</f>
        <v>5.772109298442138</v>
      </c>
      <c r="D9" s="257">
        <f>'תעריף כמות מוכרת'!D9</f>
        <v>1.7023077996972664</v>
      </c>
      <c r="E9" s="257">
        <f t="shared" si="0"/>
        <v>3.7786859538547093</v>
      </c>
      <c r="F9" s="279">
        <f>('תעריף מים לכמות נוספת'!L9+'תעריף מים לכמות נוספת'!J9+'תעריף מים לכמות נוספת'!K9+'תעריף מים לכמות נוספת'!I9)/(1-'תחשיב הכרה בעלויות '!$C$21)/(1-'תחשיב הכרה בעלויות '!$C$22)</f>
        <v>3.2296461144057345</v>
      </c>
      <c r="G9" s="252">
        <f>('תעריף מים לכמות נוספת'!G9+'תעריף מים לכמות נוספת'!H9)</f>
        <v>0.9426289953641358</v>
      </c>
      <c r="H9" s="250">
        <f>'תעריף מים לכמות נוספת'!M9</f>
        <v>10.559746320514869</v>
      </c>
      <c r="I9" s="250">
        <f>1/(1-'תחשיב הכרה בעלויות '!$C$21)/(1-'תחשיב הכרה בעלויות '!$C$22)</f>
        <v>1.0916434692429455</v>
      </c>
      <c r="J9" s="280">
        <f t="shared" si="1"/>
        <v>5.8512430026029545</v>
      </c>
      <c r="K9" s="281">
        <f t="shared" si="2"/>
        <v>7.9133704160816443E-2</v>
      </c>
      <c r="L9" s="280">
        <f>G9-'תחשיב הכרה בעלויות '!$D$11-'תחשיב הכרה בעלויות '!$K$11</f>
        <v>0.1178511843571729</v>
      </c>
      <c r="N9" s="280">
        <f t="shared" si="3"/>
        <v>2.9585173231013724</v>
      </c>
      <c r="O9" s="280">
        <f>L9+'תעריף מים לכמות נוספת'!E9+'תעריף מים לכמות נוספת'!F9</f>
        <v>1.0043418879643962</v>
      </c>
      <c r="P9" s="280">
        <f t="shared" si="4"/>
        <v>6.5968871094491002</v>
      </c>
      <c r="Q9" s="278">
        <f>P9-C9-'תחשיב הכרה בעלויות '!$D$11-'תחשיב הכרה בעלויות '!$K$11</f>
        <v>-7.2164496600635175E-16</v>
      </c>
      <c r="R9" s="280">
        <f>N9-('תעריף מים לכמות נוספת'!L9+'תעריף מים לכמות נוספת'!J9+'תעריף מים לכמות נוספת'!K9+'תעריף מים לכמות נוספת'!I9)</f>
        <v>0</v>
      </c>
      <c r="S9" s="252">
        <f>'תעריף כמות מוכרת'!E9+'תעריף כמות מוכרת'!F9+'תעריף כמות מוכרת'!G9-'תעריף כמות מוכרת'!I9</f>
        <v>0.94436189800705905</v>
      </c>
      <c r="T9" s="250">
        <f>'תעריף כמות מוכרת'!M9</f>
        <v>6.5610803233590609</v>
      </c>
      <c r="U9" s="280">
        <f t="shared" si="5"/>
        <v>2.6582011022506298</v>
      </c>
      <c r="V9" s="282">
        <f>U9-D9-'תחשיב הכרה בעלויות '!$E$19-'תחשיב הכרה בעלויות '!$I$19</f>
        <v>0.13111549154640045</v>
      </c>
      <c r="W9" s="283">
        <f>IFERROR(VLOOKUP($B9,'כמויות 2013'!$B$205:$H$257,7,0),0)</f>
        <v>1792313</v>
      </c>
      <c r="X9" s="250">
        <f t="shared" si="6"/>
        <v>10345426.533018723</v>
      </c>
      <c r="Y9" s="250">
        <f t="shared" si="7"/>
        <v>3051068.3993988065</v>
      </c>
      <c r="Z9" s="250">
        <f>+VLOOKUP(B9,'אשכול חברתי'!$A:$E,2,0)</f>
        <v>4</v>
      </c>
    </row>
    <row r="10" spans="1:26" x14ac:dyDescent="0.2">
      <c r="A10" s="250">
        <v>8</v>
      </c>
      <c r="B10" s="249" t="s">
        <v>8</v>
      </c>
      <c r="C10" s="257">
        <f>'תעריף מים לכמות נוספת'!D10</f>
        <v>7.0517342984421383</v>
      </c>
      <c r="D10" s="257">
        <f>'תעריף כמות מוכרת'!D10</f>
        <v>3.1130482912436652</v>
      </c>
      <c r="E10" s="257">
        <f t="shared" si="0"/>
        <v>2.1443196528886048</v>
      </c>
      <c r="F10" s="279">
        <f>('תעריף מים לכמות נוספת'!L10+'תעריף מים לכמות נוספת'!J10+'תעריף מים לכמות נוספת'!K10+'תעריף מים לכמות נוספת'!I10)/(1-'תחשיב הכרה בעלויות '!$C$21)/(1-'תחשיב הכרה בעלויות '!$C$22)</f>
        <v>1.8327518400757308</v>
      </c>
      <c r="G10" s="252">
        <f>('תעריף מים לכמות נוספת'!G10+'תעריף מים לכמות נוספת'!H10)</f>
        <v>0.9426289953641358</v>
      </c>
      <c r="H10" s="250">
        <f>'תעריף מים לכמות נוספת'!M10</f>
        <v>10.559746320514869</v>
      </c>
      <c r="I10" s="250">
        <f>1/(1-'תחשיב הכרה בעלויות '!$C$21)/(1-'תחשיב הכרה בעלויות '!$C$22)</f>
        <v>1.0916434692429455</v>
      </c>
      <c r="J10" s="280">
        <f t="shared" si="1"/>
        <v>7.1308680026029547</v>
      </c>
      <c r="K10" s="281">
        <f t="shared" si="2"/>
        <v>7.9133704160816443E-2</v>
      </c>
      <c r="L10" s="280">
        <f>G10-'תחשיב הכרה בעלויות '!$D$11-'תחשיב הכרה בעלויות '!$K$11</f>
        <v>0.1178511843571729</v>
      </c>
      <c r="N10" s="280">
        <f t="shared" si="3"/>
        <v>1.6788923231013728</v>
      </c>
      <c r="O10" s="280">
        <f>L10+'תעריף מים לכמות נוספת'!E10+'תעריף מים לכמות נוספת'!F10</f>
        <v>1.0043418879643962</v>
      </c>
      <c r="P10" s="280">
        <f t="shared" si="4"/>
        <v>7.8765121094490995</v>
      </c>
      <c r="Q10" s="278">
        <f>P10-C10-'תחשיב הכרה בעלויות '!$D$11-'תחשיב הכרה בעלויות '!$K$11</f>
        <v>-1.609823385706477E-15</v>
      </c>
      <c r="R10" s="280">
        <f>N10-('תעריף מים לכמות נוספת'!L10+'תעריף מים לכמות נוספת'!J10+'תעריף מים לכמות נוספת'!K10+'תעריף מים לכמות נוספת'!I10)</f>
        <v>0</v>
      </c>
      <c r="S10" s="252">
        <f>'תעריף כמות מוכרת'!E10+'תעריף כמות מוכרת'!F10+'תעריף כמות מוכרת'!G10-'תעריף כמות מוכרת'!I10</f>
        <v>0.94436189800705905</v>
      </c>
      <c r="T10" s="250">
        <f>'תעריף כמות מוכרת'!M10</f>
        <v>6.5610803233590609</v>
      </c>
      <c r="U10" s="280">
        <f t="shared" si="5"/>
        <v>3.9378261022506296</v>
      </c>
      <c r="V10" s="282">
        <f>U10-D10-'תחשיב הכרה בעלויות '!$E$19-'תחשיב הכרה בעלויות '!$I$19</f>
        <v>1.4988010832439613E-15</v>
      </c>
      <c r="W10" s="283">
        <f>IFERROR(VLOOKUP($B10,'כמויות 2013'!$B$205:$H$257,7,0),0)</f>
        <v>1757055</v>
      </c>
      <c r="X10" s="250">
        <f t="shared" si="6"/>
        <v>12390285.007749252</v>
      </c>
      <c r="Y10" s="250">
        <f t="shared" si="7"/>
        <v>5469797.065371138</v>
      </c>
      <c r="Z10" s="250">
        <f>+VLOOKUP(B10,'אשכול חברתי'!$A:$E,2,0)</f>
        <v>2</v>
      </c>
    </row>
    <row r="11" spans="1:26" x14ac:dyDescent="0.2">
      <c r="A11" s="250">
        <v>9</v>
      </c>
      <c r="B11" s="249" t="s">
        <v>510</v>
      </c>
      <c r="C11" s="257">
        <f>'תעריף מים לכמות נוספת'!D11</f>
        <v>5.772109298442138</v>
      </c>
      <c r="D11" s="257">
        <f>'תעריף כמות מוכרת'!D11</f>
        <v>0.91781913639536483</v>
      </c>
      <c r="E11" s="257">
        <f t="shared" si="0"/>
        <v>3.7786859538547093</v>
      </c>
      <c r="F11" s="279">
        <f>('תעריף מים לכמות נוספת'!L11+'תעריף מים לכמות נוספת'!J11+'תעריף מים לכמות נוספת'!K11+'תעריף מים לכמות נוספת'!I11)/(1-'תחשיב הכרה בעלויות '!$C$21)/(1-'תחשיב הכרה בעלויות '!$C$22)</f>
        <v>3.2296461144057345</v>
      </c>
      <c r="G11" s="252">
        <f>('תעריף מים לכמות נוספת'!G11+'תעריף מים לכמות נוספת'!H11)</f>
        <v>0.9426289953641358</v>
      </c>
      <c r="H11" s="250">
        <f>'תעריף מים לכמות נוספת'!M11</f>
        <v>10.559746320514869</v>
      </c>
      <c r="I11" s="250">
        <f>1/(1-'תחשיב הכרה בעלויות '!$C$21)/(1-'תחשיב הכרה בעלויות '!$C$22)</f>
        <v>1.0916434692429455</v>
      </c>
      <c r="J11" s="280">
        <f>(H11-G11-F11)/I11</f>
        <v>5.8512430026029545</v>
      </c>
      <c r="K11" s="281">
        <f t="shared" si="2"/>
        <v>7.9133704160816443E-2</v>
      </c>
      <c r="L11" s="280">
        <f>G11-'תחשיב הכרה בעלויות '!$D$11-'תחשיב הכרה בעלויות '!$K$11</f>
        <v>0.1178511843571729</v>
      </c>
      <c r="N11" s="280">
        <f t="shared" si="3"/>
        <v>2.9585173231013724</v>
      </c>
      <c r="O11" s="280">
        <f>L11+'תעריף מים לכמות נוספת'!E11+'תעריף מים לכמות נוספת'!F11</f>
        <v>1.0043418879643962</v>
      </c>
      <c r="P11" s="280">
        <f t="shared" si="4"/>
        <v>6.5968871094491002</v>
      </c>
      <c r="Q11" s="278">
        <f>P11-C11-'תחשיב הכרה בעלויות '!$D$11-'תחשיב הכרה בעלויות '!$K$11</f>
        <v>-7.2164496600635175E-16</v>
      </c>
      <c r="R11" s="280">
        <f>N11-('תעריף מים לכמות נוספת'!L11+'תעריף מים לכמות נוספת'!J11+'תעריף מים לכמות נוספת'!K11+'תעריף מים לכמות נוספת'!I11)</f>
        <v>0</v>
      </c>
      <c r="S11" s="252">
        <f>'תעריף כמות מוכרת'!E11+'תעריף כמות מוכרת'!F11+'תעריף כמות מוכרת'!G11-'תעריף כמות מוכרת'!I11</f>
        <v>0.94436189800705905</v>
      </c>
      <c r="T11" s="250">
        <f>'תעריף כמות מוכרת'!M11</f>
        <v>6.5610803233590609</v>
      </c>
      <c r="U11" s="280">
        <f t="shared" si="5"/>
        <v>2.6582011022506298</v>
      </c>
      <c r="V11" s="282">
        <f>U11-D11-'תחשיב הכרה בעלויות '!$E$19-'תחשיב הכרה בעלויות '!$I$19</f>
        <v>0.91560415484830193</v>
      </c>
      <c r="W11" s="283">
        <f>IFERROR(VLOOKUP($B11,'כמויות 2013'!$B$205:$H$257,7,0),0)</f>
        <v>255605</v>
      </c>
      <c r="X11" s="250">
        <f t="shared" si="6"/>
        <v>1475379.9972283028</v>
      </c>
      <c r="Y11" s="250">
        <f t="shared" si="7"/>
        <v>234599.16035833722</v>
      </c>
      <c r="Z11" s="250">
        <f>+VLOOKUP(B11,'אשכול חברתי'!$A:$E,2,0)</f>
        <v>3</v>
      </c>
    </row>
    <row r="12" spans="1:26" x14ac:dyDescent="0.2">
      <c r="A12" s="250">
        <v>11</v>
      </c>
      <c r="B12" s="249" t="s">
        <v>10</v>
      </c>
      <c r="C12" s="257">
        <f>'תעריף מים לכמות נוספת'!D12</f>
        <v>5.6591092984421358</v>
      </c>
      <c r="D12" s="257">
        <f>'תעריף כמות מוכרת'!D12</f>
        <v>1.6204232912436658</v>
      </c>
      <c r="E12" s="257">
        <f t="shared" si="0"/>
        <v>3.9230121369233193</v>
      </c>
      <c r="F12" s="279">
        <f>('תעריף מים לכמות נוספת'!L12+'תעריף מים לכמות נוספת'!J12+'תעריף מים לכמות נוספת'!K12+'תעריף מים לכמות נוספת'!I12)/(1-'תחשיב הכרה בעלויות '!$C$21)/(1-'תחשיב הכרה בעלויות '!$C$22)</f>
        <v>3.3530018264301877</v>
      </c>
      <c r="G12" s="252">
        <f>('תעריף מים לכמות נוספת'!G12+'תעריף מים לכמות נוספת'!H12)</f>
        <v>0.9426289953641358</v>
      </c>
      <c r="H12" s="250">
        <f>'תעריף מים לכמות נוספת'!M12</f>
        <v>10.559746320514869</v>
      </c>
      <c r="I12" s="250">
        <f>1/(1-'תחשיב הכרה בעלויות '!$C$21)/(1-'תחשיב הכרה בעלויות '!$C$22)</f>
        <v>1.0916434692429455</v>
      </c>
      <c r="J12" s="280">
        <f t="shared" si="1"/>
        <v>5.7382430026029549</v>
      </c>
      <c r="K12" s="281">
        <f t="shared" si="2"/>
        <v>7.9133704160819107E-2</v>
      </c>
      <c r="L12" s="280">
        <f>G12-'תחשיב הכרה בעלויות '!$D$11-'תחשיב הכרה בעלויות '!$K$11</f>
        <v>0.1178511843571729</v>
      </c>
      <c r="N12" s="280">
        <f t="shared" si="3"/>
        <v>3.0715173231013728</v>
      </c>
      <c r="O12" s="280">
        <f>L12+'תעריף מים לכמות נוספת'!E12+'תעריף מים לכמות נוספת'!F12</f>
        <v>1.0043418879643962</v>
      </c>
      <c r="P12" s="280">
        <f t="shared" si="4"/>
        <v>6.4838871094490989</v>
      </c>
      <c r="Q12" s="278">
        <f>P12-C12-'תחשיב הכרה בעלויות '!$D$11-'תחשיב הכרה בעלויות '!$K$11</f>
        <v>0</v>
      </c>
      <c r="R12" s="280">
        <f>N12-('תעריף מים לכמות נוספת'!L12+'תעריף מים לכמות נוספת'!J12+'תעריף מים לכמות נוספת'!K12+'תעריף מים לכמות נוספת'!I12)</f>
        <v>0</v>
      </c>
      <c r="S12" s="252">
        <f>'תעריף כמות מוכרת'!E12+'תעריף כמות מוכרת'!F12+'תעריף כמות מוכרת'!G12-'תעריף כמות מוכרת'!I12</f>
        <v>0.94436189800705905</v>
      </c>
      <c r="T12" s="250">
        <f>'תעריף כמות מוכרת'!M12</f>
        <v>6.5610803233590609</v>
      </c>
      <c r="U12" s="280">
        <f t="shared" si="5"/>
        <v>2.5452011022506293</v>
      </c>
      <c r="V12" s="282">
        <f>U12-D12-'תחשיב הכרה בעלויות '!$E$19-'תחשיב הכרה בעלויות '!$I$19</f>
        <v>0.10000000000000064</v>
      </c>
      <c r="W12" s="283">
        <f>IFERROR(VLOOKUP($B12,'כמויות 2013'!$B$205:$H$257,7,0),0)</f>
        <v>763350</v>
      </c>
      <c r="X12" s="250">
        <f t="shared" si="6"/>
        <v>4319881.0829658043</v>
      </c>
      <c r="Y12" s="250">
        <f t="shared" si="7"/>
        <v>1236950.1193708524</v>
      </c>
      <c r="Z12" s="250">
        <f>+VLOOKUP(B12,'אשכול חברתי'!$A:$E,2,0)</f>
        <v>10</v>
      </c>
    </row>
    <row r="13" spans="1:26" x14ac:dyDescent="0.2">
      <c r="A13" s="250">
        <v>12</v>
      </c>
      <c r="B13" s="249" t="s">
        <v>11</v>
      </c>
      <c r="C13" s="257">
        <f>'תעריף מים לכמות נוספת'!D13</f>
        <v>6.3398342984421374</v>
      </c>
      <c r="D13" s="257">
        <f>'תעריף כמות מוכרת'!D13</f>
        <v>2.4011482912436652</v>
      </c>
      <c r="E13" s="257">
        <f t="shared" si="0"/>
        <v>3.0535746062208466</v>
      </c>
      <c r="F13" s="279">
        <f>('תעריף מים לכמות נוספת'!L13+'תעריף מים לכמות נוספת'!J13+'תעריף מים לכמות נוספת'!K13+'תעריף מים לכמות נוספת'!I13)/(1-'תחשיב הכרה בעלויות '!$C$21)/(1-'תחשיב הכרה בעלויות '!$C$22)</f>
        <v>2.6098928258297835</v>
      </c>
      <c r="G13" s="252">
        <f>('תעריף מים לכמות נוספת'!G13+'תעריף מים לכמות נוספת'!H13)</f>
        <v>0.9426289953641358</v>
      </c>
      <c r="H13" s="250">
        <f>'תעריף מים לכמות נוספת'!M13</f>
        <v>10.559746320514869</v>
      </c>
      <c r="I13" s="250">
        <f>1/(1-'תחשיב הכרה בעלויות '!$C$21)/(1-'תחשיב הכרה בעלויות '!$C$22)</f>
        <v>1.0916434692429455</v>
      </c>
      <c r="J13" s="280">
        <f t="shared" si="1"/>
        <v>6.4189680026029547</v>
      </c>
      <c r="K13" s="281">
        <f t="shared" si="2"/>
        <v>7.9133704160817331E-2</v>
      </c>
      <c r="L13" s="280">
        <f>G13-'תחשיב הכרה בעלויות '!$D$11-'תחשיב הכרה בעלויות '!$K$11</f>
        <v>0.1178511843571729</v>
      </c>
      <c r="N13" s="280">
        <f t="shared" si="3"/>
        <v>2.3907923231013726</v>
      </c>
      <c r="O13" s="280">
        <f>L13+'תעריף מים לכמות נוספת'!E13+'תעריף מים לכמות נוספת'!F13</f>
        <v>1.0043418879643962</v>
      </c>
      <c r="P13" s="280">
        <f t="shared" si="4"/>
        <v>7.1646121094490995</v>
      </c>
      <c r="Q13" s="278">
        <f>P13-C13-'תחשיב הכרה בעלויות '!$D$11-'תחשיב הכרה בעלויות '!$K$11</f>
        <v>-7.2164496600635175E-16</v>
      </c>
      <c r="R13" s="280">
        <f>N13-('תעריף מים לכמות נוספת'!L13+'תעריף מים לכמות נוספת'!J13+'תעריף מים לכמות נוספת'!K13+'תעריף מים לכמות נוספת'!I13)</f>
        <v>0</v>
      </c>
      <c r="S13" s="252">
        <f>'תעריף כמות מוכרת'!E13+'תעריף כמות מוכרת'!F13+'תעריף כמות מוכרת'!G13-'תעריף כמות מוכרת'!I13</f>
        <v>0.94436189800705905</v>
      </c>
      <c r="T13" s="250">
        <f>'תעריף כמות מוכרת'!M13</f>
        <v>6.5610803233590609</v>
      </c>
      <c r="U13" s="280">
        <f t="shared" si="5"/>
        <v>3.2259261022506296</v>
      </c>
      <c r="V13" s="282">
        <f>U13-D13-'תחשיב הכרה בעלויות '!$E$19-'תחשיב הכרה בעלויות '!$I$19</f>
        <v>1.4988010832439613E-15</v>
      </c>
      <c r="W13" s="283">
        <f>IFERROR(VLOOKUP($B13,'כמויות 2013'!$B$205:$H$257,7,0),0)</f>
        <v>946960</v>
      </c>
      <c r="X13" s="250">
        <f t="shared" si="6"/>
        <v>6003569.4872527663</v>
      </c>
      <c r="Y13" s="250">
        <f t="shared" si="7"/>
        <v>2273791.3858761014</v>
      </c>
      <c r="Z13" s="250">
        <f>+VLOOKUP(B13,'אשכול חברתי'!$A:$E,2,0)</f>
        <v>9</v>
      </c>
    </row>
    <row r="14" spans="1:26" x14ac:dyDescent="0.2">
      <c r="A14" s="250">
        <v>14</v>
      </c>
      <c r="B14" s="249" t="s">
        <v>12</v>
      </c>
      <c r="C14" s="257">
        <f>'תעריף מים לכמות נוספת'!D14</f>
        <v>5.8989426317754701</v>
      </c>
      <c r="D14" s="257">
        <f>'תעריף כמות מוכרת'!D14</f>
        <v>1.9602566245769988</v>
      </c>
      <c r="E14" s="257">
        <f t="shared" si="0"/>
        <v>3.6166915212364028</v>
      </c>
      <c r="F14" s="279">
        <f>('תעריף מים לכמות נוספת'!L14+'תעריף מים לכמות נוספת'!J14+'תעריף מים לכמות נוספת'!K14+'תעריף מים לכמות נוספת'!I14)/(1-'תחשיב הכרה בעלויות '!$C$21)/(1-'תחשיב הכרה בעלויות '!$C$22)</f>
        <v>3.091189334390088</v>
      </c>
      <c r="G14" s="252">
        <f>('תעריף מים לכמות נוספת'!G14+'תעריף מים לכמות נוספת'!H14)</f>
        <v>0.9426289953641358</v>
      </c>
      <c r="H14" s="250">
        <f>'תעריף מים לכמות נוספת'!M14</f>
        <v>10.559746320514869</v>
      </c>
      <c r="I14" s="250">
        <f>1/(1-'תחשיב הכרה בעלויות '!$C$21)/(1-'תחשיב הכרה בעלויות '!$C$22)</f>
        <v>1.0916434692429455</v>
      </c>
      <c r="J14" s="280">
        <f t="shared" si="1"/>
        <v>5.9780763359362874</v>
      </c>
      <c r="K14" s="281">
        <f t="shared" si="2"/>
        <v>7.9133704160817331E-2</v>
      </c>
      <c r="L14" s="280">
        <f>G14-'תחשיב הכרה בעלויות '!$D$11-'תחשיב הכרה בעלויות '!$K$11</f>
        <v>0.1178511843571729</v>
      </c>
      <c r="N14" s="280">
        <f t="shared" si="3"/>
        <v>2.8316839897680395</v>
      </c>
      <c r="O14" s="280">
        <f>L14+'תעריף מים לכמות נוספת'!E14+'תעריף מים לכמות נוספת'!F14</f>
        <v>1.0043418879643962</v>
      </c>
      <c r="P14" s="280">
        <f t="shared" si="4"/>
        <v>6.7237204427824322</v>
      </c>
      <c r="Q14" s="278">
        <f>P14-C14-'תחשיב הכרה בעלויות '!$D$11-'תחשיב הכרה בעלויות '!$K$11</f>
        <v>-7.2164496600635175E-16</v>
      </c>
      <c r="R14" s="280">
        <f>N14-('תעריף מים לכמות נוספת'!L14+'תעריף מים לכמות נוספת'!J14+'תעריף מים לכמות נוספת'!K14+'תעריף מים לכמות נוספת'!I14)</f>
        <v>0</v>
      </c>
      <c r="S14" s="252">
        <f>'תעריף כמות מוכרת'!E14+'תעריף כמות מוכרת'!F14+'תעריף כמות מוכרת'!G14-'תעריף כמות מוכרת'!I14</f>
        <v>0.94436189800705905</v>
      </c>
      <c r="T14" s="250">
        <f>'תעריף כמות מוכרת'!M14</f>
        <v>6.5610803233590609</v>
      </c>
      <c r="U14" s="280">
        <f t="shared" si="5"/>
        <v>2.7850344355839627</v>
      </c>
      <c r="V14" s="282">
        <f>U14-D14-'תחשיב הכרה בעלויות '!$E$19-'תחשיב הכרה בעלויות '!$I$19</f>
        <v>1.0547118733938987E-15</v>
      </c>
      <c r="W14" s="283">
        <f>IFERROR(VLOOKUP($B14,'כמויות 2013'!$B$205:$H$257,7,0),0)</f>
        <v>1625594</v>
      </c>
      <c r="X14" s="250">
        <f t="shared" si="6"/>
        <v>9589285.7485584132</v>
      </c>
      <c r="Y14" s="250">
        <f t="shared" si="7"/>
        <v>3186581.4073726218</v>
      </c>
      <c r="Z14" s="250">
        <f>+VLOOKUP(B14,'אשכול חברתי'!$A:$E,2,0)</f>
        <v>8</v>
      </c>
    </row>
    <row r="15" spans="1:26" x14ac:dyDescent="0.2">
      <c r="A15" s="250">
        <v>15</v>
      </c>
      <c r="B15" s="249" t="s">
        <v>13</v>
      </c>
      <c r="C15" s="257">
        <f>'תעריף מים לכמות נוספת'!D15</f>
        <v>6.5686592984421388</v>
      </c>
      <c r="D15" s="257">
        <f>'תעריף כמות מוכרת'!D15</f>
        <v>2.6299732912436657</v>
      </c>
      <c r="E15" s="257">
        <f t="shared" si="0"/>
        <v>2.7613140855069118</v>
      </c>
      <c r="F15" s="279">
        <f>('תעריף מים לכמות נוספת'!L15+'תעריף מים לכמות נוספת'!J15+'תעריף מים לכמות נוספת'!K15+'תעריף מים לכמות נוספת'!I15)/(1-'תחשיב הכרה בעלויות '!$C$21)/(1-'תחשיב הכרה בעלויות '!$C$22)</f>
        <v>2.3600975089802665</v>
      </c>
      <c r="G15" s="252">
        <f>('תעריף מים לכמות נוספת'!G15+'תעריף מים לכמות נוספת'!H15)</f>
        <v>0.9426289953641358</v>
      </c>
      <c r="H15" s="250">
        <f>'תעריף מים לכמות נוספת'!M15</f>
        <v>10.559746320514869</v>
      </c>
      <c r="I15" s="250">
        <f>1/(1-'תחשיב הכרה בעלויות '!$C$21)/(1-'תחשיב הכרה בעלויות '!$C$22)</f>
        <v>1.0916434692429455</v>
      </c>
      <c r="J15" s="280">
        <f t="shared" si="1"/>
        <v>6.6477930026029544</v>
      </c>
      <c r="K15" s="281">
        <f t="shared" si="2"/>
        <v>7.9133704160815554E-2</v>
      </c>
      <c r="L15" s="280">
        <f>G15-'תחשיב הכרה בעלויות '!$D$11-'תחשיב הכרה בעלויות '!$K$11</f>
        <v>0.1178511843571729</v>
      </c>
      <c r="N15" s="280">
        <f t="shared" si="3"/>
        <v>2.1619673231013725</v>
      </c>
      <c r="O15" s="280">
        <f>L15+'תעריף מים לכמות נוספת'!E15+'תעריף מים לכמות נוספת'!F15</f>
        <v>1.0043418879643962</v>
      </c>
      <c r="P15" s="280">
        <f t="shared" si="4"/>
        <v>7.3934371094491</v>
      </c>
      <c r="Q15" s="278">
        <f>P15-C15-'תחשיב הכרה בעלויות '!$D$11-'תחשיב הכרה בעלויות '!$K$11</f>
        <v>-1.609823385706477E-15</v>
      </c>
      <c r="R15" s="280">
        <f>N15-('תעריף מים לכמות נוספת'!L15+'תעריף מים לכמות נוספת'!J15+'תעריף מים לכמות נוספת'!K15+'תעריף מים לכמות נוספת'!I15)</f>
        <v>0</v>
      </c>
      <c r="S15" s="252">
        <f>'תעריף כמות מוכרת'!E15+'תעריף כמות מוכרת'!F15+'תעריף כמות מוכרת'!G15-'תעריף כמות מוכרת'!I15</f>
        <v>0.94436189800705905</v>
      </c>
      <c r="T15" s="250">
        <f>'תעריף כמות מוכרת'!M15</f>
        <v>6.5610803233590609</v>
      </c>
      <c r="U15" s="280">
        <f t="shared" si="5"/>
        <v>3.4547511022506296</v>
      </c>
      <c r="V15" s="282">
        <f>U15-D15-'תחשיב הכרה בעלויות '!$E$19-'תחשיב הכרה בעלויות '!$I$19</f>
        <v>1.0547118733938987E-15</v>
      </c>
      <c r="W15" s="283">
        <f>IFERROR(VLOOKUP($B15,'כמויות 2013'!$B$205:$H$257,7,0),0)</f>
        <v>332323</v>
      </c>
      <c r="X15" s="250">
        <f t="shared" si="6"/>
        <v>2182916.5640361868</v>
      </c>
      <c r="Y15" s="250">
        <f t="shared" si="7"/>
        <v>874000.61406596878</v>
      </c>
      <c r="Z15" s="250">
        <f>+VLOOKUP(B15,'אשכול חברתי'!$A:$E,2,0)</f>
        <v>5</v>
      </c>
    </row>
    <row r="16" spans="1:26" x14ac:dyDescent="0.2">
      <c r="A16" s="250">
        <v>16</v>
      </c>
      <c r="B16" s="249" t="s">
        <v>14</v>
      </c>
      <c r="C16" s="257">
        <f>'תעריף מים לכמות נוספת'!D16</f>
        <v>7.0517342984421383</v>
      </c>
      <c r="D16" s="257">
        <f>'תעריף כמות מוכרת'!D16</f>
        <v>3.1130482912436652</v>
      </c>
      <c r="E16" s="257">
        <f t="shared" si="0"/>
        <v>2.1443196528886048</v>
      </c>
      <c r="F16" s="279">
        <f>('תעריף מים לכמות נוספת'!L16+'תעריף מים לכמות נוספת'!J16+'תעריף מים לכמות נוספת'!K16+'תעריף מים לכמות נוספת'!I16)/(1-'תחשיב הכרה בעלויות '!$C$21)/(1-'תחשיב הכרה בעלויות '!$C$22)</f>
        <v>1.8327518400757308</v>
      </c>
      <c r="G16" s="252">
        <f>('תעריף מים לכמות נוספת'!G16+'תעריף מים לכמות נוספת'!H16)</f>
        <v>0.9426289953641358</v>
      </c>
      <c r="H16" s="250">
        <f>'תעריף מים לכמות נוספת'!M16</f>
        <v>10.559746320514869</v>
      </c>
      <c r="I16" s="250">
        <f>1/(1-'תחשיב הכרה בעלויות '!$C$21)/(1-'תחשיב הכרה בעלויות '!$C$22)</f>
        <v>1.0916434692429455</v>
      </c>
      <c r="J16" s="280">
        <f t="shared" si="1"/>
        <v>7.1308680026029547</v>
      </c>
      <c r="K16" s="281">
        <f t="shared" si="2"/>
        <v>7.9133704160816443E-2</v>
      </c>
      <c r="L16" s="280">
        <f>G16-'תחשיב הכרה בעלויות '!$D$11-'תחשיב הכרה בעלויות '!$K$11</f>
        <v>0.1178511843571729</v>
      </c>
      <c r="N16" s="280">
        <f t="shared" si="3"/>
        <v>1.6788923231013728</v>
      </c>
      <c r="O16" s="280">
        <f>L16+'תעריף מים לכמות נוספת'!E16+'תעריף מים לכמות נוספת'!F16</f>
        <v>1.0043418879643962</v>
      </c>
      <c r="P16" s="280">
        <f t="shared" si="4"/>
        <v>7.8765121094490995</v>
      </c>
      <c r="Q16" s="278">
        <f>P16-C16-'תחשיב הכרה בעלויות '!$D$11-'תחשיב הכרה בעלויות '!$K$11</f>
        <v>-1.609823385706477E-15</v>
      </c>
      <c r="R16" s="280">
        <f>N16-('תעריף מים לכמות נוספת'!L16+'תעריף מים לכמות נוספת'!J16+'תעריף מים לכמות נוספת'!K16+'תעריף מים לכמות נוספת'!I16)</f>
        <v>0</v>
      </c>
      <c r="S16" s="252">
        <f>'תעריף כמות מוכרת'!E16+'תעריף כמות מוכרת'!F16+'תעריף כמות מוכרת'!G16-'תעריף כמות מוכרת'!I16</f>
        <v>0.94436189800705905</v>
      </c>
      <c r="T16" s="250">
        <f>'תעריף כמות מוכרת'!M16</f>
        <v>6.5610803233590609</v>
      </c>
      <c r="U16" s="280">
        <f t="shared" si="5"/>
        <v>3.9378261022506296</v>
      </c>
      <c r="V16" s="282">
        <f>U16-D16-'תחשיב הכרה בעלויות '!$E$19-'תחשיב הכרה בעלויות '!$I$19</f>
        <v>1.4988010832439613E-15</v>
      </c>
      <c r="W16" s="283">
        <f>IFERROR(VLOOKUP($B16,'כמויות 2013'!$B$205:$H$257,7,0),0)</f>
        <v>3575800</v>
      </c>
      <c r="X16" s="250">
        <f t="shared" si="6"/>
        <v>25215591.504369397</v>
      </c>
      <c r="Y16" s="250">
        <f t="shared" si="7"/>
        <v>11131638.079829099</v>
      </c>
      <c r="Z16" s="250">
        <f>+VLOOKUP(B16,'אשכול חברתי'!$A:$E,2,0)</f>
        <v>3</v>
      </c>
    </row>
    <row r="17" spans="1:26" x14ac:dyDescent="0.2">
      <c r="A17" s="250">
        <v>17</v>
      </c>
      <c r="B17" s="249" t="s">
        <v>15</v>
      </c>
      <c r="C17" s="257">
        <f>'תעריף מים לכמות נוספת'!D17</f>
        <v>5.772109298442138</v>
      </c>
      <c r="D17" s="257">
        <f>'תעריף כמות מוכרת'!D17</f>
        <v>1.8334232912436659</v>
      </c>
      <c r="E17" s="257">
        <f t="shared" si="0"/>
        <v>3.7786859538547093</v>
      </c>
      <c r="F17" s="279">
        <f>('תעריף מים לכמות נוספת'!L17+'תעריף מים לכמות נוספת'!J17+'תעריף מים לכמות נוספת'!K17+'תעריף מים לכמות נוספת'!I17)/(1-'תחשיב הכרה בעלויות '!$C$21)/(1-'תחשיב הכרה בעלויות '!$C$22)</f>
        <v>3.2296461144057345</v>
      </c>
      <c r="G17" s="252">
        <f>('תעריף מים לכמות נוספת'!G17+'תעריף מים לכמות נוספת'!H17)</f>
        <v>0.9426289953641358</v>
      </c>
      <c r="H17" s="250">
        <f>'תעריף מים לכמות נוספת'!M17</f>
        <v>10.559746320514869</v>
      </c>
      <c r="I17" s="250">
        <f>1/(1-'תחשיב הכרה בעלויות '!$C$21)/(1-'תחשיב הכרה בעלויות '!$C$22)</f>
        <v>1.0916434692429455</v>
      </c>
      <c r="J17" s="280">
        <f t="shared" si="1"/>
        <v>5.8512430026029545</v>
      </c>
      <c r="K17" s="281">
        <f t="shared" si="2"/>
        <v>7.9133704160816443E-2</v>
      </c>
      <c r="L17" s="280">
        <f>G17-'תחשיב הכרה בעלויות '!$D$11-'תחשיב הכרה בעלויות '!$K$11</f>
        <v>0.1178511843571729</v>
      </c>
      <c r="N17" s="280">
        <f t="shared" si="3"/>
        <v>2.9585173231013724</v>
      </c>
      <c r="O17" s="280">
        <f>L17+'תעריף מים לכמות נוספת'!E17+'תעריף מים לכמות נוספת'!F17</f>
        <v>1.0043418879643962</v>
      </c>
      <c r="P17" s="280">
        <f t="shared" si="4"/>
        <v>6.5968871094491002</v>
      </c>
      <c r="Q17" s="278">
        <f>P17-C17-'תחשיב הכרה בעלויות '!$D$11-'תחשיב הכרה בעלויות '!$K$11</f>
        <v>-7.2164496600635175E-16</v>
      </c>
      <c r="R17" s="280">
        <f>N17-('תעריף מים לכמות נוספת'!L17+'תעריף מים לכמות נוספת'!J17+'תעריף מים לכמות נוספת'!K17+'תעריף מים לכמות נוספת'!I17)</f>
        <v>0</v>
      </c>
      <c r="S17" s="252">
        <f>'תעריף כמות מוכרת'!E17+'תעריף כמות מוכרת'!F17+'תעריף כמות מוכרת'!G17-'תעריף כמות מוכרת'!I17</f>
        <v>0.94436189800705905</v>
      </c>
      <c r="T17" s="250">
        <f>'תעריף כמות מוכרת'!M17</f>
        <v>6.5610803233590609</v>
      </c>
      <c r="U17" s="280">
        <f t="shared" si="5"/>
        <v>2.6582011022506298</v>
      </c>
      <c r="V17" s="282">
        <f>U17-D17-'תחשיב הכרה בעלויות '!$E$19-'תחשיב הכרה בעלויות '!$I$19</f>
        <v>1.0547118733938987E-15</v>
      </c>
      <c r="W17" s="283">
        <f>IFERROR(VLOOKUP($B17,'כמויות 2013'!$B$205:$H$257,7,0),0)</f>
        <v>404654</v>
      </c>
      <c r="X17" s="250">
        <f t="shared" si="6"/>
        <v>2335707.1160518047</v>
      </c>
      <c r="Y17" s="250">
        <f t="shared" si="7"/>
        <v>741902.06849491433</v>
      </c>
      <c r="Z17" s="250">
        <f>+VLOOKUP(B17,'אשכול חברתי'!$A:$E,2,0)</f>
        <v>8</v>
      </c>
    </row>
    <row r="18" spans="1:26" x14ac:dyDescent="0.2">
      <c r="A18" s="250">
        <v>18</v>
      </c>
      <c r="B18" s="249" t="s">
        <v>16</v>
      </c>
      <c r="C18" s="257">
        <f>'תעריף מים לכמות נוספת'!D18</f>
        <v>6.3398342984421374</v>
      </c>
      <c r="D18" s="257">
        <f>'תעריף כמות מוכרת'!D18</f>
        <v>2.4011482912436652</v>
      </c>
      <c r="E18" s="257">
        <f t="shared" si="0"/>
        <v>3.0535746062208466</v>
      </c>
      <c r="F18" s="279">
        <f>('תעריף מים לכמות נוספת'!L18+'תעריף מים לכמות נוספת'!J18+'תעריף מים לכמות נוספת'!K18+'תעריף מים לכמות נוספת'!I18)/(1-'תחשיב הכרה בעלויות '!$C$21)/(1-'תחשיב הכרה בעלויות '!$C$22)</f>
        <v>2.6098928258297835</v>
      </c>
      <c r="G18" s="252">
        <f>('תעריף מים לכמות נוספת'!G18+'תעריף מים לכמות נוספת'!H18)</f>
        <v>0.9426289953641358</v>
      </c>
      <c r="H18" s="250">
        <f>'תעריף מים לכמות נוספת'!M18</f>
        <v>10.559746320514869</v>
      </c>
      <c r="I18" s="250">
        <f>1/(1-'תחשיב הכרה בעלויות '!$C$21)/(1-'תחשיב הכרה בעלויות '!$C$22)</f>
        <v>1.0916434692429455</v>
      </c>
      <c r="J18" s="280">
        <f t="shared" si="1"/>
        <v>6.4189680026029547</v>
      </c>
      <c r="K18" s="281">
        <f t="shared" si="2"/>
        <v>7.9133704160817331E-2</v>
      </c>
      <c r="L18" s="280">
        <f>G18-'תחשיב הכרה בעלויות '!$D$11-'תחשיב הכרה בעלויות '!$K$11</f>
        <v>0.1178511843571729</v>
      </c>
      <c r="N18" s="280">
        <f t="shared" si="3"/>
        <v>2.3907923231013726</v>
      </c>
      <c r="O18" s="280">
        <f>L18+'תעריף מים לכמות נוספת'!E18+'תעריף מים לכמות נוספת'!F18</f>
        <v>1.0043418879643962</v>
      </c>
      <c r="P18" s="280">
        <f t="shared" si="4"/>
        <v>7.1646121094490995</v>
      </c>
      <c r="Q18" s="278">
        <f>P18-C18-'תחשיב הכרה בעלויות '!$D$11-'תחשיב הכרה בעלויות '!$K$11</f>
        <v>-7.2164496600635175E-16</v>
      </c>
      <c r="R18" s="280">
        <f>N18-('תעריף מים לכמות נוספת'!L18+'תעריף מים לכמות נוספת'!J18+'תעריף מים לכמות נוספת'!K18+'תעריף מים לכמות נוספת'!I18)</f>
        <v>0</v>
      </c>
      <c r="S18" s="252">
        <f>'תעריף כמות מוכרת'!E18+'תעריף כמות מוכרת'!F18+'תעריף כמות מוכרת'!G18-'תעריף כמות מוכרת'!I18</f>
        <v>0.94436189800705905</v>
      </c>
      <c r="T18" s="250">
        <f>'תעריף כמות מוכרת'!M18</f>
        <v>6.5610803233590609</v>
      </c>
      <c r="U18" s="280">
        <f t="shared" si="5"/>
        <v>3.2259261022506296</v>
      </c>
      <c r="V18" s="282">
        <f>U18-D18-'תחשיב הכרה בעלויות '!$E$19-'תחשיב הכרה בעלויות '!$I$19</f>
        <v>1.4988010832439613E-15</v>
      </c>
      <c r="W18" s="283">
        <f>IFERROR(VLOOKUP($B18,'כמויות 2013'!$B$205:$H$257,7,0),0)</f>
        <v>648285</v>
      </c>
      <c r="X18" s="250">
        <f t="shared" si="6"/>
        <v>4110019.4781655609</v>
      </c>
      <c r="Y18" s="250">
        <f t="shared" si="7"/>
        <v>1556628.4199888995</v>
      </c>
      <c r="Z18" s="250">
        <f>+VLOOKUP(B18,'אשכול חברתי'!$A:$E,2,0)</f>
        <v>9</v>
      </c>
    </row>
    <row r="19" spans="1:26" x14ac:dyDescent="0.2">
      <c r="A19" s="250">
        <v>19</v>
      </c>
      <c r="B19" s="249" t="s">
        <v>17</v>
      </c>
      <c r="C19" s="257">
        <f>'תעריף מים לכמות נוספת'!D19</f>
        <v>6.356784298442137</v>
      </c>
      <c r="D19" s="257">
        <f>'תעריף כמות מוכרת'!D19</f>
        <v>2.4180982912436657</v>
      </c>
      <c r="E19" s="257">
        <f t="shared" si="0"/>
        <v>3.0319256787605546</v>
      </c>
      <c r="F19" s="279">
        <f>('תעריף מים לכמות נוספת'!L19+'תעריף מים לכמות נוספת'!J19+'תעריף מים לכמות נוספת'!K19+'תעריף מים לכמות נוספת'!I19)/(1-'תחשיב הכרה בעלויות '!$C$21)/(1-'תחשיב הכרה בעלויות '!$C$22)</f>
        <v>2.5913894690261152</v>
      </c>
      <c r="G19" s="252">
        <f>('תעריף מים לכמות נוספת'!G19+'תעריף מים לכמות נוספת'!H19)</f>
        <v>0.9426289953641358</v>
      </c>
      <c r="H19" s="250">
        <f>'תעריף מים לכמות נוספת'!M19</f>
        <v>10.559746320514869</v>
      </c>
      <c r="I19" s="250">
        <f>1/(1-'תחשיב הכרה בעלויות '!$C$21)/(1-'תחשיב הכרה בעלויות '!$C$22)</f>
        <v>1.0916434692429455</v>
      </c>
      <c r="J19" s="280">
        <f t="shared" si="1"/>
        <v>6.4359180026029552</v>
      </c>
      <c r="K19" s="281">
        <f t="shared" si="2"/>
        <v>7.9133704160818219E-2</v>
      </c>
      <c r="L19" s="280">
        <f>G19-'תחשיב הכרה בעלויות '!$D$11-'תחשיב הכרה בעלויות '!$K$11</f>
        <v>0.1178511843571729</v>
      </c>
      <c r="N19" s="280">
        <f t="shared" si="3"/>
        <v>2.3738423231013721</v>
      </c>
      <c r="O19" s="280">
        <f>L19+'תעריף מים לכמות נוספת'!E19+'תעריף מים לכמות נוספת'!F19</f>
        <v>1.0043418879643962</v>
      </c>
      <c r="P19" s="280">
        <f t="shared" si="4"/>
        <v>7.1815621094491009</v>
      </c>
      <c r="Q19" s="278">
        <f>P19-C19-'תחשיב הכרה בעלויות '!$D$11-'תחשיב הכרה בעלויות '!$K$11</f>
        <v>1.0547118733938987E-15</v>
      </c>
      <c r="R19" s="280">
        <f>N19-('תעריף מים לכמות נוספת'!L19+'תעריף מים לכמות נוספת'!J19+'תעריף מים לכמות נוספת'!K19+'תעריף מים לכמות נוספת'!I19)</f>
        <v>0</v>
      </c>
      <c r="S19" s="252">
        <f>'תעריף כמות מוכרת'!E19+'תעריף כמות מוכרת'!F19+'תעריף כמות מוכרת'!G19-'תעריף כמות מוכרת'!I19</f>
        <v>0.94436189800705905</v>
      </c>
      <c r="T19" s="250">
        <f>'תעריף כמות מוכרת'!M19</f>
        <v>6.5610803233590609</v>
      </c>
      <c r="U19" s="280">
        <f t="shared" si="5"/>
        <v>3.2428761022506301</v>
      </c>
      <c r="V19" s="282">
        <f>U19-D19-'תחשיב הכרה בעלויות '!$E$19-'תחשיב הכרה בעלויות '!$I$19</f>
        <v>1.4988010832439613E-15</v>
      </c>
      <c r="W19" s="283">
        <f>IFERROR(VLOOKUP($B19,'כמויות 2013'!$B$205:$H$257,7,0),0)</f>
        <v>5221864</v>
      </c>
      <c r="X19" s="250">
        <f t="shared" si="6"/>
        <v>33194263.083800253</v>
      </c>
      <c r="Y19" s="250">
        <f t="shared" si="7"/>
        <v>12626980.415506814</v>
      </c>
      <c r="Z19" s="250">
        <f>+VLOOKUP(B19,'אשכול חברתי'!$A:$E,2,0)</f>
        <v>5</v>
      </c>
    </row>
    <row r="20" spans="1:26" x14ac:dyDescent="0.2">
      <c r="A20" s="250">
        <v>20</v>
      </c>
      <c r="B20" s="249" t="s">
        <v>440</v>
      </c>
      <c r="C20" s="257">
        <f>'תעריף מים לכמות נוספת'!D20</f>
        <v>5.8887266807945595</v>
      </c>
      <c r="D20" s="257">
        <f>'תעריף כמות מוכרת'!D20</f>
        <v>1.9500406735960873</v>
      </c>
      <c r="E20" s="257">
        <f t="shared" si="0"/>
        <v>3.6297395673557906</v>
      </c>
      <c r="F20" s="279">
        <f>('תעריף מים לכמות נוספת'!L20+'תעריף מים לכמות נוספת'!J20+'תעריף מים לכמות נוספת'!K20+'תעריף מים לכמות נוספת'!I20)/(1-'תחשיב הכרה בעלויות '!$C$21)/(1-'תחשיב הכרה בעלויות '!$C$22)</f>
        <v>3.102341510560505</v>
      </c>
      <c r="G20" s="252">
        <f>('תעריף מים לכמות נוספת'!G20+'תעריף מים לכמות נוספת'!H20)</f>
        <v>0.9426289953641358</v>
      </c>
      <c r="H20" s="250">
        <f>'תעריף מים לכמות נוספת'!M20</f>
        <v>10.559746320514869</v>
      </c>
      <c r="I20" s="250">
        <f>1/(1-'תחשיב הכרה בעלויות '!$C$21)/(1-'תחשיב הכרה בעלויות '!$C$22)</f>
        <v>1.0916434692429455</v>
      </c>
      <c r="J20" s="280">
        <f t="shared" si="1"/>
        <v>5.9678603849553769</v>
      </c>
      <c r="K20" s="281">
        <f t="shared" si="2"/>
        <v>7.9133704160817331E-2</v>
      </c>
      <c r="L20" s="280">
        <f>G20-'תחשיב הכרה בעלויות '!$D$11-'תחשיב הכרה בעלויות '!$K$11</f>
        <v>0.1178511843571729</v>
      </c>
      <c r="N20" s="280">
        <f t="shared" si="3"/>
        <v>2.84189994074895</v>
      </c>
      <c r="O20" s="280">
        <f>L20+'תעריף מים לכמות נוספת'!E20+'תעריף מים לכמות נוספת'!F20</f>
        <v>1.0043418879643962</v>
      </c>
      <c r="P20" s="280">
        <f t="shared" si="4"/>
        <v>6.7135044918015216</v>
      </c>
      <c r="Q20" s="278">
        <f>P20-C20-'תחשיב הכרה בעלויות '!$D$11-'תחשיב הכרה בעלויות '!$K$11</f>
        <v>-7.2164496600635175E-16</v>
      </c>
      <c r="R20" s="280">
        <f>N20-('תעריף מים לכמות נוספת'!L20+'תעריף מים לכמות נוספת'!J20+'תעריף מים לכמות נוספת'!K20+'תעריף מים לכמות נוספת'!I20)</f>
        <v>0</v>
      </c>
      <c r="S20" s="252">
        <f>'תעריף כמות מוכרת'!E20+'תעריף כמות מוכרת'!F20+'תעריף כמות מוכרת'!G20-'תעריף כמות מוכרת'!I20</f>
        <v>0.94436189800705905</v>
      </c>
      <c r="T20" s="250">
        <f>'תעריף כמות מוכרת'!M20</f>
        <v>6.5610803233590609</v>
      </c>
      <c r="U20" s="280">
        <f t="shared" si="5"/>
        <v>2.7748184846030521</v>
      </c>
      <c r="V20" s="282">
        <f>U20-D20-'תחשיב הכרה בעלויות '!$E$19-'תחשיב הכרה בעלויות '!$I$19</f>
        <v>1.9428902930940239E-15</v>
      </c>
      <c r="W20" s="283">
        <f>IFERROR(VLOOKUP($B20,'כמויות 2013'!$B$205:$H$257,7,0),0)</f>
        <v>1658289</v>
      </c>
      <c r="X20" s="250">
        <f t="shared" si="6"/>
        <v>9765210.67876813</v>
      </c>
      <c r="Y20" s="250">
        <f t="shared" si="7"/>
        <v>3233730.9985769819</v>
      </c>
      <c r="Z20" s="250">
        <f>+VLOOKUP(B20,'אשכול חברתי'!$A:$E,2,0)</f>
        <v>7</v>
      </c>
    </row>
    <row r="21" spans="1:26" x14ac:dyDescent="0.2">
      <c r="A21" s="250">
        <v>21</v>
      </c>
      <c r="B21" s="249" t="s">
        <v>19</v>
      </c>
      <c r="C21" s="257">
        <f>'תעריף מים לכמות נוספת'!D21</f>
        <v>6.1931092984421374</v>
      </c>
      <c r="D21" s="257">
        <f>'תעריף כמות מוכרת'!D21</f>
        <v>1.934423291243665</v>
      </c>
      <c r="E21" s="257">
        <f t="shared" si="0"/>
        <v>3.2409751302097116</v>
      </c>
      <c r="F21" s="279">
        <f>('תעריף מים לכמות נוספת'!L21+'תעריף מים לכמות נוספת'!J21+'תעריף מים לכמות נוספת'!K21+'תעריף מים לכמות נוספת'!I21)/(1-'תחשיב הכרה בעלויות '!$C$21)/(1-'תחשיב הכרה בעלויות '!$C$22)</f>
        <v>2.7700642138544547</v>
      </c>
      <c r="G21" s="252">
        <f>('תעריף מים לכמות נוספת'!G21+'תעריף מים לכמות נוספת'!H21)</f>
        <v>0.9426289953641358</v>
      </c>
      <c r="H21" s="250">
        <f>'תעריף מים לכמות נוספת'!M21</f>
        <v>10.559746320514869</v>
      </c>
      <c r="I21" s="250">
        <f>1/(1-'תחשיב הכרה בעלויות '!$C$21)/(1-'תחשיב הכרה בעלויות '!$C$22)</f>
        <v>1.0916434692429455</v>
      </c>
      <c r="J21" s="280">
        <f t="shared" si="1"/>
        <v>6.2722430026029548</v>
      </c>
      <c r="K21" s="281">
        <f t="shared" si="2"/>
        <v>7.9133704160817331E-2</v>
      </c>
      <c r="L21" s="280">
        <f>G21-'תחשיב הכרה בעלויות '!$D$11-'תחשיב הכרה בעלויות '!$K$11</f>
        <v>0.1178511843571729</v>
      </c>
      <c r="N21" s="280">
        <f t="shared" si="3"/>
        <v>2.5375173231013726</v>
      </c>
      <c r="O21" s="280">
        <f>L21+'תעריף מים לכמות נוספת'!E21+'תעריף מים לכמות נוספת'!F21</f>
        <v>1.0043418879643962</v>
      </c>
      <c r="P21" s="280">
        <f t="shared" si="4"/>
        <v>7.0178871094490995</v>
      </c>
      <c r="Q21" s="278">
        <f>P21-C21-'תחשיב הכרה בעלויות '!$D$11-'תחשיב הכרה בעלויות '!$K$11</f>
        <v>-7.2164496600635175E-16</v>
      </c>
      <c r="R21" s="280">
        <f>N21-('תעריף מים לכמות נוספת'!L21+'תעריף מים לכמות נוספת'!J21+'תעריף מים לכמות נוספת'!K21+'תעריף מים לכמות נוספת'!I21)</f>
        <v>0</v>
      </c>
      <c r="S21" s="252">
        <f>'תעריף כמות מוכרת'!E21+'תעריף כמות מוכרת'!F21+'תעריף כמות מוכרת'!G21-'תעריף כמות מוכרת'!I21</f>
        <v>0.94436189800705905</v>
      </c>
      <c r="T21" s="250">
        <f>'תעריף כמות מוכרת'!M21</f>
        <v>6.5610803233590609</v>
      </c>
      <c r="U21" s="280">
        <f t="shared" si="5"/>
        <v>3.0792011022506296</v>
      </c>
      <c r="V21" s="282">
        <f>U21-D21-'תחשיב הכרה בעלויות '!$E$19-'תחשיב הכרה בעלויות '!$I$19</f>
        <v>0.32000000000000173</v>
      </c>
      <c r="W21" s="283">
        <f>IFERROR(VLOOKUP($B21,'כמויות 2013'!$B$205:$H$257,7,0),0)</f>
        <v>1219164</v>
      </c>
      <c r="X21" s="250">
        <f t="shared" si="6"/>
        <v>7550415.9047259102</v>
      </c>
      <c r="Y21" s="250">
        <f t="shared" si="7"/>
        <v>2358379.2374457917</v>
      </c>
      <c r="Z21" s="250">
        <f>+VLOOKUP(B21,'אשכול חברתי'!$A:$E,2,0)</f>
        <v>10</v>
      </c>
    </row>
    <row r="22" spans="1:26" x14ac:dyDescent="0.2">
      <c r="A22" s="250">
        <v>22</v>
      </c>
      <c r="B22" s="249" t="s">
        <v>20</v>
      </c>
      <c r="C22" s="257">
        <f>'תעריף מים לכמות נוספת'!D22</f>
        <v>6.3398342984421374</v>
      </c>
      <c r="D22" s="257">
        <f>'תעריף כמות מוכרת'!D22</f>
        <v>2.4011482912436652</v>
      </c>
      <c r="E22" s="257">
        <f t="shared" si="0"/>
        <v>3.0535746062208466</v>
      </c>
      <c r="F22" s="279">
        <f>('תעריף מים לכמות נוספת'!L22+'תעריף מים לכמות נוספת'!J22+'תעריף מים לכמות נוספת'!K22+'תעריף מים לכמות נוספת'!I22)/(1-'תחשיב הכרה בעלויות '!$C$21)/(1-'תחשיב הכרה בעלויות '!$C$22)</f>
        <v>2.6098928258297835</v>
      </c>
      <c r="G22" s="252">
        <f>('תעריף מים לכמות נוספת'!G22+'תעריף מים לכמות נוספת'!H22)</f>
        <v>0.9426289953641358</v>
      </c>
      <c r="H22" s="250">
        <f>'תעריף מים לכמות נוספת'!M22</f>
        <v>10.559746320514869</v>
      </c>
      <c r="I22" s="250">
        <f>1/(1-'תחשיב הכרה בעלויות '!$C$21)/(1-'תחשיב הכרה בעלויות '!$C$22)</f>
        <v>1.0916434692429455</v>
      </c>
      <c r="J22" s="280">
        <f t="shared" si="1"/>
        <v>6.4189680026029547</v>
      </c>
      <c r="K22" s="281">
        <f t="shared" si="2"/>
        <v>7.9133704160817331E-2</v>
      </c>
      <c r="L22" s="280">
        <f>G22-'תחשיב הכרה בעלויות '!$D$11-'תחשיב הכרה בעלויות '!$K$11</f>
        <v>0.1178511843571729</v>
      </c>
      <c r="N22" s="280">
        <f t="shared" si="3"/>
        <v>2.3907923231013726</v>
      </c>
      <c r="O22" s="280">
        <f>L22+'תעריף מים לכמות נוספת'!E22+'תעריף מים לכמות נוספת'!F22</f>
        <v>1.0043418879643962</v>
      </c>
      <c r="P22" s="280">
        <f t="shared" si="4"/>
        <v>7.1646121094490995</v>
      </c>
      <c r="Q22" s="278">
        <f>P22-C22-'תחשיב הכרה בעלויות '!$D$11-'תחשיב הכרה בעלויות '!$K$11</f>
        <v>-7.2164496600635175E-16</v>
      </c>
      <c r="R22" s="280">
        <f>N22-('תעריף מים לכמות נוספת'!L22+'תעריף מים לכמות נוספת'!J22+'תעריף מים לכמות נוספת'!K22+'תעריף מים לכמות נוספת'!I22)</f>
        <v>0</v>
      </c>
      <c r="S22" s="252">
        <f>'תעריף כמות מוכרת'!E22+'תעריף כמות מוכרת'!F22+'תעריף כמות מוכרת'!G22-'תעריף כמות מוכרת'!I22</f>
        <v>0.94436189800705905</v>
      </c>
      <c r="T22" s="250">
        <f>'תעריף כמות מוכרת'!M22</f>
        <v>6.5610803233590609</v>
      </c>
      <c r="U22" s="280">
        <f t="shared" si="5"/>
        <v>3.2259261022506296</v>
      </c>
      <c r="V22" s="282">
        <f>U22-D22-'תחשיב הכרה בעלויות '!$E$19-'תחשיב הכרה בעלויות '!$I$19</f>
        <v>1.4988010832439613E-15</v>
      </c>
      <c r="W22" s="283">
        <f>IFERROR(VLOOKUP($B22,'כמויות 2013'!$B$205:$H$257,7,0),0)</f>
        <v>1039237</v>
      </c>
      <c r="X22" s="250">
        <f t="shared" si="6"/>
        <v>6588590.3768101111</v>
      </c>
      <c r="Y22" s="250">
        <f t="shared" si="7"/>
        <v>2495362.1467471928</v>
      </c>
      <c r="Z22" s="250">
        <f>+VLOOKUP(B22,'אשכול חברתי'!$A:$E,2,0)</f>
        <v>10</v>
      </c>
    </row>
    <row r="23" spans="1:26" x14ac:dyDescent="0.2">
      <c r="A23" s="250">
        <v>23</v>
      </c>
      <c r="B23" s="249" t="s">
        <v>411</v>
      </c>
      <c r="C23" s="257">
        <f>'תעריף מים לכמות נוספת'!D23</f>
        <v>5.7738671984421375</v>
      </c>
      <c r="D23" s="257">
        <f>'תעריף כמות מוכרת'!D23</f>
        <v>1.3793097057785491</v>
      </c>
      <c r="E23" s="257">
        <f t="shared" si="0"/>
        <v>3.7764407237908486</v>
      </c>
      <c r="F23" s="279">
        <f>('תעריף מים לכמות נוספת'!L23+'תעריף מים לכמות נוספת'!J23+'תעריף מים לכמות נוספת'!K23+'תעריף מים לכמות נוספת'!I23)/(1-'תחשיב הכרה בעלויות '!$C$21)/(1-'תחשיב הכרה בעלויות '!$C$22)</f>
        <v>3.2277271143511528</v>
      </c>
      <c r="G23" s="252">
        <f>('תעריף מים לכמות נוספת'!G23+'תעריף מים לכמות נוספת'!H23)</f>
        <v>0.9426289953641358</v>
      </c>
      <c r="H23" s="250">
        <f>'תעריף מים לכמות נוספת'!M23</f>
        <v>10.559746320514869</v>
      </c>
      <c r="I23" s="250">
        <f>1/(1-'תחשיב הכרה בעלויות '!$C$21)/(1-'תחשיב הכרה בעלויות '!$C$22)</f>
        <v>1.0916434692429455</v>
      </c>
      <c r="J23" s="280">
        <f t="shared" si="1"/>
        <v>5.8530009026029548</v>
      </c>
      <c r="K23" s="281">
        <f t="shared" si="2"/>
        <v>7.9133704160817331E-2</v>
      </c>
      <c r="L23" s="280">
        <f>G23-'תחשיב הכרה בעלויות '!$D$11-'תחשיב הכרה בעלויות '!$K$11</f>
        <v>0.1178511843571729</v>
      </c>
      <c r="N23" s="280">
        <f t="shared" si="3"/>
        <v>2.956759423101373</v>
      </c>
      <c r="O23" s="280">
        <f>L23+'תעריף מים לכמות נוספת'!E23+'תעריף מים לכמות נוספת'!F23</f>
        <v>1.0043418879643962</v>
      </c>
      <c r="P23" s="280">
        <f t="shared" si="4"/>
        <v>6.5986450094490996</v>
      </c>
      <c r="Q23" s="278">
        <f>P23-C23-'תחשיב הכרה בעלויות '!$D$11-'תחשיב הכרה בעלויות '!$K$11</f>
        <v>-7.2164496600635175E-16</v>
      </c>
      <c r="R23" s="280">
        <f>N23-('תעריף מים לכמות נוספת'!L23+'תעריף מים לכמות נוספת'!J23+'תעריף מים לכמות נוספת'!K23+'תעריף מים לכמות נוספת'!I23)</f>
        <v>0</v>
      </c>
      <c r="S23" s="252">
        <f>'תעריף כמות מוכרת'!E23+'תעריף כמות מוכרת'!F23+'תעריף כמות מוכרת'!G23-'תעריף כמות מוכרת'!I23</f>
        <v>0.94436189800705905</v>
      </c>
      <c r="T23" s="250">
        <f>'תעריף כמות מוכרת'!M23</f>
        <v>6.5610803233590609</v>
      </c>
      <c r="U23" s="280">
        <f t="shared" si="5"/>
        <v>2.6599590022506292</v>
      </c>
      <c r="V23" s="282">
        <f>U23-D23-'תחשיב הכרה בעלויות '!$E$19-'תחשיב הכרה בעלויות '!$I$19</f>
        <v>0.45587148546511724</v>
      </c>
      <c r="W23" s="283">
        <f>IFERROR(VLOOKUP($B23,'כמויות 2013'!$B$205:$H$257,7,0),0)</f>
        <v>3577333</v>
      </c>
      <c r="X23" s="250">
        <f t="shared" si="6"/>
        <v>20655045.666604608</v>
      </c>
      <c r="Y23" s="250">
        <f t="shared" si="7"/>
        <v>4934250.1277018944</v>
      </c>
      <c r="Z23" s="250">
        <f>+VLOOKUP(B23,'אשכול חברתי'!$A:$E,2,0)</f>
        <v>6</v>
      </c>
    </row>
    <row r="24" spans="1:26" x14ac:dyDescent="0.2">
      <c r="A24" s="250">
        <v>24</v>
      </c>
      <c r="B24" s="249" t="s">
        <v>21</v>
      </c>
      <c r="C24" s="257">
        <f>'תעריף מים לכמות נוספת'!D24</f>
        <v>7.0517342984421383</v>
      </c>
      <c r="D24" s="257">
        <f>'תעריף כמות מוכרת'!D24</f>
        <v>3.1130482912436652</v>
      </c>
      <c r="E24" s="257">
        <f t="shared" si="0"/>
        <v>2.1443196528886048</v>
      </c>
      <c r="F24" s="279">
        <f>('תעריף מים לכמות נוספת'!L24+'תעריף מים לכמות נוספת'!J24+'תעריף מים לכמות נוספת'!K24+'תעריף מים לכמות נוספת'!I24)/(1-'תחשיב הכרה בעלויות '!$C$21)/(1-'תחשיב הכרה בעלויות '!$C$22)</f>
        <v>1.8327518400757308</v>
      </c>
      <c r="G24" s="252">
        <f>('תעריף מים לכמות נוספת'!G24+'תעריף מים לכמות נוספת'!H24)</f>
        <v>0.9426289953641358</v>
      </c>
      <c r="H24" s="250">
        <f>'תעריף מים לכמות נוספת'!M24</f>
        <v>10.559746320514869</v>
      </c>
      <c r="I24" s="250">
        <f>1/(1-'תחשיב הכרה בעלויות '!$C$21)/(1-'תחשיב הכרה בעלויות '!$C$22)</f>
        <v>1.0916434692429455</v>
      </c>
      <c r="J24" s="280">
        <f t="shared" si="1"/>
        <v>7.1308680026029547</v>
      </c>
      <c r="K24" s="281">
        <f t="shared" si="2"/>
        <v>7.9133704160816443E-2</v>
      </c>
      <c r="L24" s="280">
        <f>G24-'תחשיב הכרה בעלויות '!$D$11-'תחשיב הכרה בעלויות '!$K$11</f>
        <v>0.1178511843571729</v>
      </c>
      <c r="N24" s="280">
        <f t="shared" si="3"/>
        <v>1.6788923231013728</v>
      </c>
      <c r="O24" s="280">
        <f>L24+'תעריף מים לכמות נוספת'!E24+'תעריף מים לכמות נוספת'!F24</f>
        <v>1.0043418879643962</v>
      </c>
      <c r="P24" s="280">
        <f t="shared" si="4"/>
        <v>7.8765121094490995</v>
      </c>
      <c r="Q24" s="278">
        <f>P24-C24-'תחשיב הכרה בעלויות '!$D$11-'תחשיב הכרה בעלויות '!$K$11</f>
        <v>-1.609823385706477E-15</v>
      </c>
      <c r="R24" s="280">
        <f>N24-('תעריף מים לכמות נוספת'!L24+'תעריף מים לכמות נוספת'!J24+'תעריף מים לכמות נוספת'!K24+'תעריף מים לכמות נוספת'!I24)</f>
        <v>0</v>
      </c>
      <c r="S24" s="252">
        <f>'תעריף כמות מוכרת'!E24+'תעריף כמות מוכרת'!F24+'תעריף כמות מוכרת'!G24-'תעריף כמות מוכרת'!I24</f>
        <v>0.94436189800705905</v>
      </c>
      <c r="T24" s="250">
        <f>'תעריף כמות מוכרת'!M24</f>
        <v>6.5610803233590609</v>
      </c>
      <c r="U24" s="280">
        <f t="shared" si="5"/>
        <v>3.9378261022506296</v>
      </c>
      <c r="V24" s="282">
        <f>U24-D24-'תחשיב הכרה בעלויות '!$E$19-'תחשיב הכרה בעלויות '!$I$19</f>
        <v>1.4988010832439613E-15</v>
      </c>
      <c r="W24" s="283">
        <f>IFERROR(VLOOKUP($B24,'כמויות 2013'!$B$205:$H$257,7,0),0)</f>
        <v>2197377</v>
      </c>
      <c r="X24" s="250">
        <f t="shared" si="6"/>
        <v>15495318.75750789</v>
      </c>
      <c r="Y24" s="250">
        <f t="shared" si="7"/>
        <v>6840540.7150681317</v>
      </c>
      <c r="Z24" s="250">
        <f>+VLOOKUP(B24,'אשכול חברתי'!$A:$E,2,0)</f>
        <v>4</v>
      </c>
    </row>
    <row r="25" spans="1:26" x14ac:dyDescent="0.2">
      <c r="A25" s="250">
        <v>25</v>
      </c>
      <c r="B25" s="249" t="s">
        <v>22</v>
      </c>
      <c r="C25" s="257">
        <f>'תעריף מים לכמות נוספת'!D25</f>
        <v>6.5601842984421381</v>
      </c>
      <c r="D25" s="257">
        <f>'תעריף כמות מוכרת'!D25</f>
        <v>2.6214982912436651</v>
      </c>
      <c r="E25" s="257">
        <f t="shared" si="0"/>
        <v>2.7721385492370572</v>
      </c>
      <c r="F25" s="279">
        <f>('תעריף מים לכמות נוספת'!L25+'תעריף מים לכמות נוספת'!J25+'תעריף מים לכמות נוספת'!K25+'תעריף מים לכמות נוספת'!I25)/(1-'תחשיב הכרה בעלויות '!$C$21)/(1-'תחשיב הכרה בעלויות '!$C$22)</f>
        <v>2.3693491873821002</v>
      </c>
      <c r="G25" s="252">
        <f>('תעריף מים לכמות נוספת'!G25+'תעריף מים לכמות נוספת'!H25)</f>
        <v>0.9426289953641358</v>
      </c>
      <c r="H25" s="250">
        <f>'תעריף מים לכמות נוספת'!M25</f>
        <v>10.559746320514869</v>
      </c>
      <c r="I25" s="250">
        <f>1/(1-'תחשיב הכרה בעלויות '!$C$21)/(1-'תחשיב הכרה בעלויות '!$C$22)</f>
        <v>1.0916434692429455</v>
      </c>
      <c r="J25" s="280">
        <f t="shared" si="1"/>
        <v>6.6393180026029546</v>
      </c>
      <c r="K25" s="281">
        <f t="shared" si="2"/>
        <v>7.9133704160816443E-2</v>
      </c>
      <c r="L25" s="280">
        <f>G25-'תחשיב הכרה בעלויות '!$D$11-'תחשיב הכרה בעלויות '!$K$11</f>
        <v>0.1178511843571729</v>
      </c>
      <c r="N25" s="280">
        <f t="shared" si="3"/>
        <v>2.1704423231013723</v>
      </c>
      <c r="O25" s="280">
        <f>L25+'תעריף מים לכמות נוספת'!E25+'תעריף מים לכמות נוספת'!F25</f>
        <v>1.0043418879643962</v>
      </c>
      <c r="P25" s="280">
        <f t="shared" si="4"/>
        <v>7.3849621094490994</v>
      </c>
      <c r="Q25" s="278">
        <f>P25-C25-'תחשיב הכרה בעלויות '!$D$11-'תחשיב הכרה בעלויות '!$K$11</f>
        <v>-1.609823385706477E-15</v>
      </c>
      <c r="R25" s="280">
        <f>N25-('תעריף מים לכמות נוספת'!L25+'תעריף מים לכמות נוספת'!J25+'תעריף מים לכמות נוספת'!K25+'תעריף מים לכמות נוספת'!I25)</f>
        <v>0</v>
      </c>
      <c r="S25" s="252">
        <f>'תעריף כמות מוכרת'!E25+'תעריף כמות מוכרת'!F25+'תעריף כמות מוכרת'!G25-'תעריף כמות מוכרת'!I25</f>
        <v>0.94436189800705905</v>
      </c>
      <c r="T25" s="250">
        <f>'תעריף כמות מוכרת'!M25</f>
        <v>6.5610803233590609</v>
      </c>
      <c r="U25" s="280">
        <f t="shared" si="5"/>
        <v>3.4462761022506299</v>
      </c>
      <c r="V25" s="282">
        <f>U25-D25-'תחשיב הכרה בעלויות '!$E$19-'תחשיב הכרה בעלויות '!$I$19</f>
        <v>1.9428902930940239E-15</v>
      </c>
      <c r="W25" s="283">
        <f>IFERROR(VLOOKUP($B25,'כמויות 2013'!$B$205:$H$257,7,0),0)</f>
        <v>0</v>
      </c>
      <c r="X25" s="250">
        <f t="shared" si="6"/>
        <v>0</v>
      </c>
      <c r="Y25" s="250">
        <f t="shared" si="7"/>
        <v>0</v>
      </c>
      <c r="Z25" s="250">
        <f>+VLOOKUP(B25,'אשכול חברתי'!$A:$E,2,0)</f>
        <v>5</v>
      </c>
    </row>
    <row r="26" spans="1:26" x14ac:dyDescent="0.2">
      <c r="A26" s="250">
        <v>26</v>
      </c>
      <c r="B26" s="249" t="s">
        <v>24</v>
      </c>
      <c r="C26" s="257">
        <f>'תעריף מים לכמות נוספת'!D26</f>
        <v>6.5601842984421381</v>
      </c>
      <c r="D26" s="257">
        <f>'תעריף כמות מוכרת'!D26</f>
        <v>2.6214982912436651</v>
      </c>
      <c r="E26" s="257">
        <f t="shared" si="0"/>
        <v>2.7721385492370572</v>
      </c>
      <c r="F26" s="279">
        <f>('תעריף מים לכמות נוספת'!L26+'תעריף מים לכמות נוספת'!J26+'תעריף מים לכמות נוספת'!K26+'תעריף מים לכמות נוספת'!I26)/(1-'תחשיב הכרה בעלויות '!$C$21)/(1-'תחשיב הכרה בעלויות '!$C$22)</f>
        <v>2.3693491873821002</v>
      </c>
      <c r="G26" s="252">
        <f>('תעריף מים לכמות נוספת'!G26+'תעריף מים לכמות נוספת'!H26)</f>
        <v>0.9426289953641358</v>
      </c>
      <c r="H26" s="250">
        <f>'תעריף מים לכמות נוספת'!M26</f>
        <v>10.559746320514869</v>
      </c>
      <c r="I26" s="250">
        <f>1/(1-'תחשיב הכרה בעלויות '!$C$21)/(1-'תחשיב הכרה בעלויות '!$C$22)</f>
        <v>1.0916434692429455</v>
      </c>
      <c r="J26" s="280">
        <f t="shared" si="1"/>
        <v>6.6393180026029546</v>
      </c>
      <c r="K26" s="281">
        <f t="shared" si="2"/>
        <v>7.9133704160816443E-2</v>
      </c>
      <c r="L26" s="280">
        <f>G26-'תחשיב הכרה בעלויות '!$D$11-'תחשיב הכרה בעלויות '!$K$11</f>
        <v>0.1178511843571729</v>
      </c>
      <c r="N26" s="280">
        <f t="shared" si="3"/>
        <v>2.1704423231013723</v>
      </c>
      <c r="O26" s="280">
        <f>L26+'תעריף מים לכמות נוספת'!E26+'תעריף מים לכמות נוספת'!F26</f>
        <v>1.0043418879643962</v>
      </c>
      <c r="P26" s="280">
        <f t="shared" si="4"/>
        <v>7.3849621094490994</v>
      </c>
      <c r="Q26" s="278">
        <f>P26-C26-'תחשיב הכרה בעלויות '!$D$11-'תחשיב הכרה בעלויות '!$K$11</f>
        <v>-1.609823385706477E-15</v>
      </c>
      <c r="R26" s="280">
        <f>N26-('תעריף מים לכמות נוספת'!L26+'תעריף מים לכמות נוספת'!J26+'תעריף מים לכמות נוספת'!K26+'תעריף מים לכמות נוספת'!I26)</f>
        <v>0</v>
      </c>
      <c r="S26" s="252">
        <f>'תעריף כמות מוכרת'!E26+'תעריף כמות מוכרת'!F26+'תעריף כמות מוכרת'!G26-'תעריף כמות מוכרת'!I26</f>
        <v>0.94436189800705905</v>
      </c>
      <c r="T26" s="250">
        <f>'תעריף כמות מוכרת'!M26</f>
        <v>6.5610803233590609</v>
      </c>
      <c r="U26" s="280">
        <f t="shared" si="5"/>
        <v>3.4462761022506299</v>
      </c>
      <c r="V26" s="282">
        <f>U26-D26-'תחשיב הכרה בעלויות '!$E$19-'תחשיב הכרה בעלויות '!$I$19</f>
        <v>1.9428902930940239E-15</v>
      </c>
      <c r="W26" s="283">
        <f>IFERROR(VLOOKUP($B26,'כמויות 2013'!$B$205:$H$257,7,0),0)</f>
        <v>595110</v>
      </c>
      <c r="X26" s="250">
        <f t="shared" si="6"/>
        <v>3904031.277845901</v>
      </c>
      <c r="Y26" s="250">
        <f t="shared" si="7"/>
        <v>1560079.8481020175</v>
      </c>
      <c r="Z26" s="250">
        <f>+VLOOKUP(B26,'אשכול חברתי'!$A:$E,2,0)</f>
        <v>7</v>
      </c>
    </row>
    <row r="27" spans="1:26" x14ac:dyDescent="0.2">
      <c r="A27" s="250">
        <v>27</v>
      </c>
      <c r="B27" s="284" t="s">
        <v>309</v>
      </c>
      <c r="C27" s="257">
        <f>'תעריף מים לכמות נוספת'!D27</f>
        <v>5.7738671984421375</v>
      </c>
      <c r="D27" s="257">
        <f>'תעריף כמות מוכרת'!D27</f>
        <v>1.8351811912436653</v>
      </c>
      <c r="E27" s="257">
        <f t="shared" si="0"/>
        <v>3.7764407237908486</v>
      </c>
      <c r="F27" s="279">
        <f>('תעריף מים לכמות נוספת'!L27+'תעריף מים לכמות נוספת'!J27+'תעריף מים לכמות נוספת'!K27+'תעריף מים לכמות נוספת'!I27)/(1-'תחשיב הכרה בעלויות '!$C$21)/(1-'תחשיב הכרה בעלויות '!$C$22)</f>
        <v>3.2277271143511528</v>
      </c>
      <c r="G27" s="252">
        <f>('תעריף מים לכמות נוספת'!G27+'תעריף מים לכמות נוספת'!H27)</f>
        <v>0.9426289953641358</v>
      </c>
      <c r="H27" s="250">
        <f>'תעריף מים לכמות נוספת'!M27</f>
        <v>10.559746320514869</v>
      </c>
      <c r="I27" s="250">
        <f>1/(1-'תחשיב הכרה בעלויות '!$C$21)/(1-'תחשיב הכרה בעלויות '!$C$22)</f>
        <v>1.0916434692429455</v>
      </c>
      <c r="J27" s="280">
        <f t="shared" si="1"/>
        <v>5.8530009026029548</v>
      </c>
      <c r="K27" s="281">
        <f t="shared" si="2"/>
        <v>7.9133704160817331E-2</v>
      </c>
      <c r="L27" s="280">
        <f>G27-'תחשיב הכרה בעלויות '!$D$11-'תחשיב הכרה בעלויות '!$K$11</f>
        <v>0.1178511843571729</v>
      </c>
      <c r="N27" s="280">
        <f t="shared" si="3"/>
        <v>2.956759423101373</v>
      </c>
      <c r="O27" s="280">
        <f>L27+'תעריף מים לכמות נוספת'!E27+'תעריף מים לכמות נוספת'!F27</f>
        <v>1.0043418879643962</v>
      </c>
      <c r="P27" s="280">
        <f t="shared" si="4"/>
        <v>6.5986450094490996</v>
      </c>
      <c r="Q27" s="278">
        <f>P27-C27-'תחשיב הכרה בעלויות '!$D$11-'תחשיב הכרה בעלויות '!$K$11</f>
        <v>-7.2164496600635175E-16</v>
      </c>
      <c r="R27" s="280">
        <f>N27-('תעריף מים לכמות נוספת'!L27+'תעריף מים לכמות נוספת'!J27+'תעריף מים לכמות נוספת'!K27+'תעריף מים לכמות נוספת'!I27)</f>
        <v>0</v>
      </c>
      <c r="S27" s="252">
        <f>'תעריף כמות מוכרת'!E27+'תעריף כמות מוכרת'!F27+'תעריף כמות מוכרת'!G27-'תעריף כמות מוכרת'!I27</f>
        <v>0.94436189800705905</v>
      </c>
      <c r="T27" s="250">
        <f>'תעריף כמות מוכרת'!M27</f>
        <v>6.5610803233590609</v>
      </c>
      <c r="U27" s="280">
        <f t="shared" si="5"/>
        <v>2.6599590022506292</v>
      </c>
      <c r="V27" s="282">
        <f>U27-D27-'תחשיב הכרה בעלויות '!$E$19-'תחשיב הכרה בעלויות '!$I$19</f>
        <v>1.0547118733938987E-15</v>
      </c>
      <c r="W27" s="283">
        <f>IFERROR(VLOOKUP($B27,'כמויות 2013'!$B$205:$H$257,7,0),0)</f>
        <v>969741</v>
      </c>
      <c r="X27" s="250">
        <f t="shared" si="6"/>
        <v>5599155.750884477</v>
      </c>
      <c r="Y27" s="250">
        <f t="shared" si="7"/>
        <v>1779650.4435778232</v>
      </c>
      <c r="Z27" s="250">
        <f>+VLOOKUP(B27,'אשכול חברתי'!$A:$E,2,0)</f>
        <v>1</v>
      </c>
    </row>
    <row r="28" spans="1:26" x14ac:dyDescent="0.2">
      <c r="A28" s="250">
        <v>28</v>
      </c>
      <c r="B28" s="284" t="s">
        <v>313</v>
      </c>
      <c r="C28" s="257">
        <f>'תעריף מים לכמות נוספת'!D28</f>
        <v>6.7551092984421395</v>
      </c>
      <c r="D28" s="257">
        <f>'תעריף כמות מוכרת'!D28</f>
        <v>2.8164232912436655</v>
      </c>
      <c r="E28" s="257">
        <f t="shared" si="0"/>
        <v>2.523175883443705</v>
      </c>
      <c r="F28" s="279">
        <f>('תעריף מים לכמות נוספת'!L28+'תעריף מים לכמות נוספת'!J28+'תעריף מים לכמות נוספת'!K28+'תעריף מים לכמות נוספת'!I28)/(1-'תחשיב הכרה בעלויות '!$C$21)/(1-'תחשיב הכרה בעלויות '!$C$22)</f>
        <v>2.1565605841399189</v>
      </c>
      <c r="G28" s="252">
        <f>('תעריף מים לכמות נוספת'!G28+'תעריף מים לכמות נוספת'!H28)</f>
        <v>0.9426289953641358</v>
      </c>
      <c r="H28" s="250">
        <f>'תעריף מים לכמות נוספת'!M28</f>
        <v>10.559746320514869</v>
      </c>
      <c r="I28" s="250">
        <f>1/(1-'תחשיב הכרה בעלויות '!$C$21)/(1-'תחשיב הכרה בעלויות '!$C$22)</f>
        <v>1.0916434692429455</v>
      </c>
      <c r="J28" s="280">
        <f t="shared" si="1"/>
        <v>6.8342430026029541</v>
      </c>
      <c r="K28" s="281">
        <f t="shared" si="2"/>
        <v>7.9133704160814666E-2</v>
      </c>
      <c r="L28" s="280">
        <f>G28-'תחשיב הכרה בעלויות '!$D$11-'תחשיב הכרה בעלויות '!$K$11</f>
        <v>0.1178511843571729</v>
      </c>
      <c r="N28" s="280">
        <f t="shared" si="3"/>
        <v>1.9755173231013723</v>
      </c>
      <c r="O28" s="280">
        <f>L28+'תעריף מים לכמות נוספת'!E28+'תעריף מים לכמות נוספת'!F28</f>
        <v>1.0043418879643962</v>
      </c>
      <c r="P28" s="280">
        <f t="shared" si="4"/>
        <v>7.5798871094491007</v>
      </c>
      <c r="Q28" s="278">
        <f>P28-C28-'תחשיב הכרה בעלויות '!$D$11-'תחשיב הכרה בעלויות '!$K$11</f>
        <v>-1.609823385706477E-15</v>
      </c>
      <c r="R28" s="280">
        <f>N28-('תעריף מים לכמות נוספת'!L28+'תעריף מים לכמות נוספת'!J28+'תעריף מים לכמות נוספת'!K28+'תעריף מים לכמות נוספת'!I28)</f>
        <v>0</v>
      </c>
      <c r="S28" s="252">
        <f>'תעריף כמות מוכרת'!E28+'תעריף כמות מוכרת'!F28+'תעריף כמות מוכרת'!G28-'תעריף כמות מוכרת'!I28</f>
        <v>0.94436189800705905</v>
      </c>
      <c r="T28" s="250">
        <f>'תעריף כמות מוכרת'!M28</f>
        <v>6.5610803233590609</v>
      </c>
      <c r="U28" s="280">
        <f t="shared" si="5"/>
        <v>3.6412011022506299</v>
      </c>
      <c r="V28" s="282">
        <f>U28-D28-'תחשיב הכרה בעלויות '!$E$19-'תחשיב הכרה בעלויות '!$I$19</f>
        <v>1.4988010832439613E-15</v>
      </c>
      <c r="W28" s="283">
        <f>IFERROR(VLOOKUP($B28,'כמויות 2013'!$B$205:$H$257,7,0),0)</f>
        <v>138024</v>
      </c>
      <c r="X28" s="250">
        <f t="shared" si="6"/>
        <v>932367.20580817782</v>
      </c>
      <c r="Y28" s="250">
        <f t="shared" si="7"/>
        <v>388734.00835061568</v>
      </c>
      <c r="Z28" s="250">
        <f>+VLOOKUP(B28,'אשכול חברתי'!$A:$E,2,0)</f>
        <v>7</v>
      </c>
    </row>
    <row r="29" spans="1:26" x14ac:dyDescent="0.2">
      <c r="A29" s="250">
        <v>29</v>
      </c>
      <c r="B29" s="249" t="s">
        <v>33</v>
      </c>
      <c r="C29" s="257">
        <f>'תעריף מים לכמות נוספת'!D29</f>
        <v>5.7738671984421375</v>
      </c>
      <c r="D29" s="257">
        <f>'תעריף כמות מוכרת'!D29</f>
        <v>1.8351811912436653</v>
      </c>
      <c r="E29" s="257">
        <f>F29*(1+$H$1)</f>
        <v>3.7764407237908486</v>
      </c>
      <c r="F29" s="279">
        <f>('תעריף מים לכמות נוספת'!L29+'תעריף מים לכמות נוספת'!J29+'תעריף מים לכמות נוספת'!K29+'תעריף מים לכמות נוספת'!I29)/(1-'תחשיב הכרה בעלויות '!$C$21)/(1-'תחשיב הכרה בעלויות '!$C$22)</f>
        <v>3.2277271143511528</v>
      </c>
      <c r="G29" s="252">
        <f>('תעריף מים לכמות נוספת'!G29+'תעריף מים לכמות נוספת'!H29)</f>
        <v>0.9426289953641358</v>
      </c>
      <c r="H29" s="250">
        <f>'תעריף מים לכמות נוספת'!M29</f>
        <v>10.559746320514869</v>
      </c>
      <c r="I29" s="250">
        <f>1/(1-'תחשיב הכרה בעלויות '!$C$21)/(1-'תחשיב הכרה בעלויות '!$C$22)</f>
        <v>1.0916434692429455</v>
      </c>
      <c r="J29" s="280">
        <f t="shared" si="1"/>
        <v>5.8530009026029548</v>
      </c>
      <c r="K29" s="281">
        <f t="shared" si="2"/>
        <v>7.9133704160817331E-2</v>
      </c>
      <c r="L29" s="280">
        <f>G29-'תחשיב הכרה בעלויות '!$D$11-'תחשיב הכרה בעלויות '!$K$11</f>
        <v>0.1178511843571729</v>
      </c>
      <c r="N29" s="280">
        <f t="shared" si="3"/>
        <v>2.956759423101373</v>
      </c>
      <c r="O29" s="280">
        <f>L29+'תעריף מים לכמות נוספת'!E29+'תעריף מים לכמות נוספת'!F29</f>
        <v>1.0043418879643962</v>
      </c>
      <c r="P29" s="280">
        <f t="shared" si="4"/>
        <v>6.5986450094490996</v>
      </c>
      <c r="Q29" s="278">
        <f>P29-C29-'תחשיב הכרה בעלויות '!$D$11-'תחשיב הכרה בעלויות '!$K$11</f>
        <v>-7.2164496600635175E-16</v>
      </c>
      <c r="R29" s="280">
        <f>N29-('תעריף מים לכמות נוספת'!L29+'תעריף מים לכמות נוספת'!J29+'תעריף מים לכמות נוספת'!K29+'תעריף מים לכמות נוספת'!I29)</f>
        <v>0</v>
      </c>
      <c r="S29" s="252">
        <f>'תעריף כמות מוכרת'!E29+'תעריף כמות מוכרת'!F29+'תעריף כמות מוכרת'!G29-'תעריף כמות מוכרת'!I29</f>
        <v>0.94436189800705905</v>
      </c>
      <c r="T29" s="250">
        <f>'תעריף כמות מוכרת'!M29</f>
        <v>6.5610803233590609</v>
      </c>
      <c r="U29" s="280">
        <f t="shared" si="5"/>
        <v>2.6599590022506292</v>
      </c>
      <c r="V29" s="282">
        <f>U29-D29-'תחשיב הכרה בעלויות '!$E$19-'תחשיב הכרה בעלויות '!$I$19</f>
        <v>1.0547118733938987E-15</v>
      </c>
      <c r="W29" s="283">
        <f>IFERROR(VLOOKUP($B29,'כמויות 2013'!$B$205:$H$257,7,0),0)</f>
        <v>1673174</v>
      </c>
      <c r="X29" s="250">
        <f t="shared" si="6"/>
        <v>9660684.4758862257</v>
      </c>
      <c r="Y29" s="250">
        <f t="shared" si="7"/>
        <v>3070577.4544779286</v>
      </c>
      <c r="Z29" s="250">
        <f>+VLOOKUP(B29,'אשכול חברתי'!$A:$E,2,0)</f>
        <v>4</v>
      </c>
    </row>
    <row r="30" spans="1:26" x14ac:dyDescent="0.2">
      <c r="A30" s="250">
        <v>30</v>
      </c>
      <c r="B30" s="253" t="s">
        <v>431</v>
      </c>
      <c r="C30" s="257">
        <f>'תעריף מים לכמות נוספת'!D30</f>
        <v>6.5448973067291094</v>
      </c>
      <c r="D30" s="257">
        <f>'תעריף כמות מוכרת'!D30</f>
        <v>2.6062112995306372</v>
      </c>
      <c r="E30" s="257">
        <f t="shared" si="0"/>
        <v>2.7916634444984987</v>
      </c>
      <c r="F30" s="279">
        <f>('תעריף מים לכמות נוספת'!L30+'תעריף מים לכמות נוספת'!J30+'תעריף מים לכמות נוספת'!K30+'תעריף מים לכמות נוספת'!I30)/(1-'תחשיב הכרה בעלויות '!$C$21)/(1-'תחשיב הכרה בעלויות '!$C$22)</f>
        <v>2.3860371320499989</v>
      </c>
      <c r="G30" s="252">
        <f>('תעריף מים לכמות נוספת'!G30+'תעריף מים לכמות נוספת'!H30)</f>
        <v>0.9426289953641358</v>
      </c>
      <c r="H30" s="250">
        <f>'תעריף מים לכמות נוספת'!M30</f>
        <v>10.559746320514869</v>
      </c>
      <c r="I30" s="250">
        <f>1/(1-'תחשיב הכרה בעלויות '!$C$21)/(1-'תחשיב הכרה בעלויות '!$C$22)</f>
        <v>1.0916434692429455</v>
      </c>
      <c r="J30" s="280">
        <f t="shared" ref="J30" si="8">(H30-G30-F30)/I30</f>
        <v>6.6240310108899259</v>
      </c>
      <c r="K30" s="281">
        <f t="shared" ref="K30" si="9">J30-C30</f>
        <v>7.9133704160816443E-2</v>
      </c>
      <c r="L30" s="280">
        <f>G30-'תחשיב הכרה בעלויות '!$D$11-'תחשיב הכרה בעלויות '!$K$11</f>
        <v>0.1178511843571729</v>
      </c>
      <c r="N30" s="280">
        <f t="shared" ref="N30" si="10">F30/I30</f>
        <v>2.185729314814401</v>
      </c>
      <c r="O30" s="280">
        <f>L30+'תעריף מים לכמות נוספת'!E30+'תעריף מים לכמות נוספת'!F30</f>
        <v>1.0043418879643962</v>
      </c>
      <c r="P30" s="280">
        <f t="shared" ref="P30" si="11">H30-N30-O30</f>
        <v>7.3696751177360715</v>
      </c>
      <c r="Q30" s="278">
        <f>P30-C30-'תחשיב הכרה בעלויות '!$D$11-'תחשיב הכרה בעלויות '!$K$11</f>
        <v>-7.2164496600635175E-16</v>
      </c>
      <c r="R30" s="280">
        <f>N30-('תעריף מים לכמות נוספת'!L30+'תעריף מים לכמות נוספת'!J30+'תעריף מים לכמות נוספת'!K30+'תעריף מים לכמות נוספת'!I30)</f>
        <v>0</v>
      </c>
      <c r="S30" s="252">
        <f>'תעריף כמות מוכרת'!E30+'תעריף כמות מוכרת'!F30+'תעריף כמות מוכרת'!G30-'תעריף כמות מוכרת'!I30</f>
        <v>0.94436189800705905</v>
      </c>
      <c r="T30" s="250">
        <f>'תעריף כמות מוכרת'!M30</f>
        <v>6.5610803233590609</v>
      </c>
      <c r="U30" s="280">
        <f t="shared" ref="U30" si="12">T30-S30-N30</f>
        <v>3.4309891105376011</v>
      </c>
      <c r="V30" s="282">
        <f>U30-D30-'תחשיב הכרה בעלויות '!$E$19-'תחשיב הכרה בעלויות '!$I$19</f>
        <v>1.0547118733938987E-15</v>
      </c>
      <c r="W30" s="283">
        <f>IFERROR(VLOOKUP($B30,'כמויות 2013'!$B$205:$H$257,7,0),0)</f>
        <v>1521693</v>
      </c>
      <c r="X30" s="250">
        <f t="shared" ref="X30" si="13">W30*C30</f>
        <v>9959324.4173685387</v>
      </c>
      <c r="Y30" s="250">
        <f t="shared" ref="Y30" si="14">W30*D30</f>
        <v>3965853.4910166739</v>
      </c>
      <c r="Z30" s="250">
        <f>+VLOOKUP(B30,'אשכול חברתי'!$A:$E,2,0)</f>
        <v>6</v>
      </c>
    </row>
    <row r="31" spans="1:26" x14ac:dyDescent="0.2">
      <c r="B31" s="249"/>
      <c r="C31" s="250">
        <f>X31/$W$31</f>
        <v>6.2708527500020113</v>
      </c>
      <c r="D31" s="250">
        <f>Y31/$W$31</f>
        <v>2.2701394852596763</v>
      </c>
      <c r="W31" s="285">
        <f>SUM(W3:W30)</f>
        <v>41373820</v>
      </c>
      <c r="X31" s="285">
        <f t="shared" ref="X31:Y31" si="15">SUM(X3:X30)</f>
        <v>259449132.9250882</v>
      </c>
      <c r="Y31" s="285">
        <f t="shared" si="15"/>
        <v>93924342.438026503</v>
      </c>
    </row>
    <row r="32" spans="1:26" x14ac:dyDescent="0.2">
      <c r="B32" s="249" t="s">
        <v>6</v>
      </c>
    </row>
    <row r="33" spans="2:2" x14ac:dyDescent="0.2">
      <c r="B33" s="249" t="s">
        <v>7</v>
      </c>
    </row>
    <row r="34" spans="2:2" x14ac:dyDescent="0.2">
      <c r="B34" s="249" t="s">
        <v>410</v>
      </c>
    </row>
    <row r="35" spans="2:2" x14ac:dyDescent="0.2">
      <c r="B35" s="249" t="s">
        <v>404</v>
      </c>
    </row>
    <row r="36" spans="2:2" x14ac:dyDescent="0.2">
      <c r="B36" s="249" t="s">
        <v>9</v>
      </c>
    </row>
    <row r="40" spans="2:2" x14ac:dyDescent="0.2">
      <c r="B40" s="249" t="s">
        <v>447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I45"/>
  <sheetViews>
    <sheetView rightToLeft="1" topLeftCell="C1" workbookViewId="0">
      <pane xSplit="1" ySplit="2" topLeftCell="D3" activePane="bottomRight" state="frozen"/>
      <selection activeCell="C1" sqref="C1"/>
      <selection pane="topRight" activeCell="D1" sqref="D1"/>
      <selection pane="bottomLeft" activeCell="C3" sqref="C3"/>
      <selection pane="bottomRight" activeCell="D4" sqref="D4"/>
    </sheetView>
  </sheetViews>
  <sheetFormatPr defaultRowHeight="12.75" x14ac:dyDescent="0.2"/>
  <cols>
    <col min="1" max="1" width="9.140625" style="250"/>
    <col min="2" max="2" width="18.28515625" style="250" customWidth="1"/>
    <col min="3" max="3" width="18.7109375" style="250" bestFit="1" customWidth="1"/>
    <col min="4" max="4" width="18.5703125" style="250" customWidth="1"/>
    <col min="5" max="6" width="11.7109375" style="250" customWidth="1"/>
    <col min="7" max="7" width="12.28515625" style="250" customWidth="1"/>
    <col min="8" max="8" width="10.7109375" style="250" customWidth="1"/>
    <col min="9" max="9" width="8.42578125" style="250" customWidth="1"/>
    <col min="10" max="10" width="11" style="250" customWidth="1"/>
    <col min="11" max="11" width="9.5703125" style="250" customWidth="1"/>
    <col min="12" max="12" width="11.42578125" style="250" customWidth="1"/>
    <col min="13" max="13" width="16.42578125" style="257" customWidth="1"/>
    <col min="14" max="15" width="0" style="250" hidden="1" customWidth="1"/>
    <col min="16" max="16" width="9.140625" style="250"/>
    <col min="17" max="17" width="0" style="250" hidden="1" customWidth="1"/>
    <col min="18" max="20" width="9.140625" style="250"/>
    <col min="21" max="21" width="13" style="250" hidden="1" customWidth="1"/>
    <col min="22" max="22" width="18.5703125" style="250" hidden="1" customWidth="1"/>
    <col min="23" max="23" width="39" style="250" hidden="1" customWidth="1"/>
    <col min="24" max="24" width="39.140625" style="250" hidden="1" customWidth="1"/>
    <col min="25" max="25" width="11.7109375" style="250" hidden="1" customWidth="1"/>
    <col min="26" max="26" width="0" style="250" hidden="1" customWidth="1"/>
    <col min="27" max="29" width="9.140625" style="250"/>
    <col min="30" max="30" width="14.140625" style="250" customWidth="1"/>
    <col min="31" max="34" width="9.140625" style="250"/>
    <col min="35" max="35" width="17.42578125" style="250" customWidth="1"/>
    <col min="36" max="16384" width="9.140625" style="250"/>
  </cols>
  <sheetData>
    <row r="1" spans="1:35" ht="13.5" thickBot="1" x14ac:dyDescent="0.25">
      <c r="R1" s="309" t="s">
        <v>454</v>
      </c>
      <c r="S1" s="309"/>
      <c r="T1" s="309"/>
    </row>
    <row r="2" spans="1:35" ht="63.75" x14ac:dyDescent="0.2">
      <c r="A2" s="267" t="s">
        <v>374</v>
      </c>
      <c r="B2" s="268" t="s">
        <v>472</v>
      </c>
      <c r="C2" s="269" t="s">
        <v>29</v>
      </c>
      <c r="D2" s="270" t="s">
        <v>481</v>
      </c>
      <c r="E2" s="270" t="s">
        <v>348</v>
      </c>
      <c r="F2" s="270" t="s">
        <v>349</v>
      </c>
      <c r="G2" s="270" t="s">
        <v>344</v>
      </c>
      <c r="H2" s="270" t="s">
        <v>347</v>
      </c>
      <c r="I2" s="270" t="s">
        <v>346</v>
      </c>
      <c r="J2" s="270" t="s">
        <v>345</v>
      </c>
      <c r="K2" s="271" t="s">
        <v>36</v>
      </c>
      <c r="L2" s="271" t="s">
        <v>372</v>
      </c>
      <c r="M2" s="272" t="s">
        <v>512</v>
      </c>
      <c r="P2" s="273" t="s">
        <v>478</v>
      </c>
      <c r="Q2" s="273" t="s">
        <v>453</v>
      </c>
      <c r="R2" s="147" t="s">
        <v>401</v>
      </c>
      <c r="S2" s="89" t="s">
        <v>36</v>
      </c>
      <c r="T2" s="89" t="s">
        <v>402</v>
      </c>
      <c r="U2" s="250" t="s">
        <v>338</v>
      </c>
      <c r="V2" s="250" t="s">
        <v>49</v>
      </c>
      <c r="W2" s="250" t="s">
        <v>44</v>
      </c>
      <c r="X2" s="250" t="s">
        <v>45</v>
      </c>
      <c r="Y2" s="250" t="s">
        <v>36</v>
      </c>
      <c r="Z2" s="250" t="s">
        <v>40</v>
      </c>
      <c r="AD2" s="250" t="s">
        <v>477</v>
      </c>
      <c r="AE2" s="250" t="s">
        <v>473</v>
      </c>
      <c r="AF2" s="250" t="s">
        <v>474</v>
      </c>
      <c r="AG2" s="250" t="s">
        <v>36</v>
      </c>
      <c r="AH2" s="250" t="s">
        <v>475</v>
      </c>
      <c r="AI2" s="250" t="s">
        <v>476</v>
      </c>
    </row>
    <row r="3" spans="1:35" ht="25.5" x14ac:dyDescent="0.2">
      <c r="A3" s="255">
        <v>1</v>
      </c>
      <c r="B3" s="55">
        <f>M3-L3-K3-J3-G3-F3-E3</f>
        <v>2.1732227944544777</v>
      </c>
      <c r="C3" s="254" t="s">
        <v>421</v>
      </c>
      <c r="D3" s="55">
        <f>M3-L3-K3-J3-I3-H3-G3-F3-E3</f>
        <v>1.3484449834475147</v>
      </c>
      <c r="E3" s="55">
        <f>'תעריף מים לכמות נוספת'!E3</f>
        <v>0.72809450879950022</v>
      </c>
      <c r="F3" s="55">
        <f>M3*'תחשיב הכרה בעלויות '!$C$22</f>
        <v>9.8416204850385908E-2</v>
      </c>
      <c r="G3" s="56">
        <f>'תחשיב הכרה בעלויות '!$M$30</f>
        <v>0.55879601295904968</v>
      </c>
      <c r="H3" s="56">
        <f>'תחשיב הכרה בעלויות '!$E$19</f>
        <v>0.38383298240508607</v>
      </c>
      <c r="I3" s="56">
        <f>'תחשיב הכרה בעלויות '!$I$19</f>
        <v>0.44094482860187678</v>
      </c>
      <c r="J3" s="56">
        <f>'תחשיב הכרה בעלויות '!$M$24</f>
        <v>0.85657249449949613</v>
      </c>
      <c r="K3" s="254">
        <f>3414/'כמויות 2013'!H220*1000</f>
        <v>2.0556593554478284</v>
      </c>
      <c r="L3" s="254">
        <f>150*1000/'כמויות 2013'!H220</f>
        <v>9.0318952348322865E-2</v>
      </c>
      <c r="M3" s="272">
        <f>+'[1]גיליון סימולציה לתעריפי 2016'!$G$39</f>
        <v>6.5610803233590609</v>
      </c>
      <c r="P3" s="252">
        <f t="shared" ref="P3:P17" si="0">J3+I3+K3+L3+(E3+F3)/2</f>
        <v>3.8567509877224673</v>
      </c>
      <c r="Q3" s="252"/>
      <c r="R3" s="251">
        <f>+IFERROR(VLOOKUP(TRIM(C3&amp;"-"&amp;$R$2),'אגרות ביוב'!$A$8:$J$72,10,0),0)</f>
        <v>2.5179916422430919</v>
      </c>
      <c r="S3" s="252">
        <f>+IFERROR(VLOOKUP(TRIM(C3&amp;"-"&amp;$S$2),'אגרות ביוב'!$A$8:$J$72,10,0),0)</f>
        <v>0</v>
      </c>
      <c r="T3" s="252">
        <f>+IFERROR(VLOOKUP(TRIM(C3&amp;"-"&amp;$T$2),'אגרות ביוב'!$A$8:$J$72,10,0),0)</f>
        <v>0</v>
      </c>
      <c r="V3" s="250">
        <f>3.703</f>
        <v>3.7029999999999998</v>
      </c>
      <c r="W3" s="273" t="s">
        <v>341</v>
      </c>
      <c r="X3" s="250" t="s">
        <v>48</v>
      </c>
      <c r="Y3" s="250" t="s">
        <v>0</v>
      </c>
      <c r="Z3" s="250" t="s">
        <v>0</v>
      </c>
      <c r="AD3" s="274" t="str">
        <f>C3</f>
        <v>גבעת שמואל</v>
      </c>
      <c r="AE3" s="251">
        <f>E3/2+F3/2+G3+H3</f>
        <v>1.3558843521890789</v>
      </c>
      <c r="AF3" s="252">
        <f>E3/2+F3/2+I3+J3</f>
        <v>1.7107726799263161</v>
      </c>
      <c r="AG3" s="274">
        <f>K3</f>
        <v>2.0556593554478284</v>
      </c>
      <c r="AH3" s="274">
        <f>L3</f>
        <v>9.0318952348322865E-2</v>
      </c>
      <c r="AI3" s="251">
        <f>D3</f>
        <v>1.3484449834475147</v>
      </c>
    </row>
    <row r="4" spans="1:35" x14ac:dyDescent="0.2">
      <c r="A4" s="255">
        <v>2</v>
      </c>
      <c r="B4" s="55">
        <f t="shared" ref="B4:B29" si="1">M4-L4-K4-J4-G4-F4-E4</f>
        <v>3.4462761022506281</v>
      </c>
      <c r="C4" s="275" t="s">
        <v>1</v>
      </c>
      <c r="D4" s="55">
        <f t="shared" ref="D4:D26" si="2">M4-L4-K4-J4-I4-H4-G4-F4-E4</f>
        <v>2.6214982912436651</v>
      </c>
      <c r="E4" s="55">
        <f>'תעריף מים לכמות נוספת'!E4</f>
        <v>0.72809450879950022</v>
      </c>
      <c r="F4" s="55">
        <f>M4*'תחשיב הכרה בעלויות '!$C$22</f>
        <v>9.8416204850385908E-2</v>
      </c>
      <c r="G4" s="56">
        <f>'תחשיב הכרה בעלויות '!$M$30</f>
        <v>0.55879601295904968</v>
      </c>
      <c r="H4" s="56">
        <f>'תחשיב הכרה בעלויות '!$E$19</f>
        <v>0.38383298240508607</v>
      </c>
      <c r="I4" s="56">
        <f>'תחשיב הכרה בעלויות '!$I$19</f>
        <v>0.44094482860187678</v>
      </c>
      <c r="J4" s="56">
        <f>'תחשיב הכרה בעלויות '!$M$24</f>
        <v>0.85657249449949613</v>
      </c>
      <c r="K4" s="56">
        <f>מטש!D40</f>
        <v>0.87292499999999995</v>
      </c>
      <c r="L4" s="255"/>
      <c r="M4" s="272">
        <f>M3</f>
        <v>6.5610803233590609</v>
      </c>
      <c r="P4" s="252">
        <f t="shared" si="0"/>
        <v>2.583697679926316</v>
      </c>
      <c r="Q4" s="252"/>
      <c r="R4" s="251">
        <f>+IFERROR(VLOOKUP(TRIM(C4&amp;"-"&amp;$R$2),'אגרות ביוב'!$A$8:$J$72,10,0),0)</f>
        <v>1.602924405560441</v>
      </c>
      <c r="S4" s="252">
        <f>+IFERROR(VLOOKUP(TRIM(C4&amp;"-"&amp;$S$2),'אגרות ביוב'!$A$8:$J$72,10,0),0)</f>
        <v>0</v>
      </c>
      <c r="T4" s="252">
        <f>+IFERROR(VLOOKUP(TRIM(C4&amp;"-"&amp;$T$2),'אגרות ביוב'!$A$8:$J$72,10,0),0)</f>
        <v>0</v>
      </c>
      <c r="Y4" s="250" t="s">
        <v>37</v>
      </c>
      <c r="Z4" s="250" t="s">
        <v>41</v>
      </c>
      <c r="AD4" s="274" t="str">
        <f t="shared" ref="AD4:AD28" si="3">C4</f>
        <v>בית שאן</v>
      </c>
      <c r="AE4" s="251">
        <f t="shared" ref="AE4:AE28" si="4">E4/2+F4/2+G4+H4</f>
        <v>1.3558843521890789</v>
      </c>
      <c r="AF4" s="252">
        <f t="shared" ref="AF4:AF28" si="5">E4/2+F4/2+I4+J4</f>
        <v>1.7107726799263161</v>
      </c>
      <c r="AG4" s="274">
        <f t="shared" ref="AG4:AH28" si="6">K4</f>
        <v>0.87292499999999995</v>
      </c>
      <c r="AH4" s="274">
        <f t="shared" si="6"/>
        <v>0</v>
      </c>
      <c r="AI4" s="251">
        <f t="shared" ref="AI4:AI28" si="7">D4</f>
        <v>2.6214982912436651</v>
      </c>
    </row>
    <row r="5" spans="1:35" x14ac:dyDescent="0.2">
      <c r="A5" s="255">
        <v>3</v>
      </c>
      <c r="B5" s="55">
        <f>M5-L5-K5-J5-G5-F5-E5</f>
        <v>2.6599590022506283</v>
      </c>
      <c r="C5" s="275" t="s">
        <v>418</v>
      </c>
      <c r="D5" s="55">
        <f>M5-L5-K5-J5-I5-H5-G5-F5-E5</f>
        <v>1.8351811912436653</v>
      </c>
      <c r="E5" s="55">
        <f>'תעריף מים לכמות נוספת'!E5</f>
        <v>0.72809450879950022</v>
      </c>
      <c r="F5" s="55">
        <f>M5*'תחשיב הכרה בעלויות '!$C$22</f>
        <v>9.8416204850385908E-2</v>
      </c>
      <c r="G5" s="56">
        <f>'תחשיב הכרה בעלויות '!$M$30</f>
        <v>0.55879601295904968</v>
      </c>
      <c r="H5" s="56">
        <f>'תחשיב הכרה בעלויות '!$E$19</f>
        <v>0.38383298240508607</v>
      </c>
      <c r="I5" s="56">
        <f>'תחשיב הכרה בעלויות '!$I$19</f>
        <v>0.44094482860187678</v>
      </c>
      <c r="J5" s="56">
        <f>'תחשיב הכרה בעלויות '!$M$24</f>
        <v>0.85657249449949613</v>
      </c>
      <c r="K5" s="56">
        <f>K29</f>
        <v>1.6592421000000002</v>
      </c>
      <c r="L5" s="56"/>
      <c r="M5" s="272">
        <f t="shared" ref="M5:M30" si="8">M4</f>
        <v>6.5610803233590609</v>
      </c>
      <c r="P5" s="252">
        <f>J5+I5+K5+L5+(E5+F5)/2</f>
        <v>3.3700147799263158</v>
      </c>
      <c r="Q5" s="252"/>
      <c r="R5" s="251">
        <f>+IFERROR(VLOOKUP(TRIM(C5&amp;"-"&amp;$R$2),'אגרות ביוב'!$A$8:$J$72,10,0),0)</f>
        <v>2.6831401346794044</v>
      </c>
      <c r="S5" s="252">
        <f>+IFERROR(VLOOKUP(TRIM(C5&amp;"-"&amp;$S$2),'אגרות ביוב'!$A$8:$J$72,10,0),0)</f>
        <v>0</v>
      </c>
      <c r="T5" s="252">
        <f>+IFERROR(VLOOKUP(TRIM(C5&amp;"-"&amp;$T$2),'אגרות ביוב'!$A$8:$J$72,10,0),0)</f>
        <v>0</v>
      </c>
      <c r="X5" s="250" t="s">
        <v>339</v>
      </c>
      <c r="Y5" s="250" t="s">
        <v>38</v>
      </c>
      <c r="Z5" s="250" t="s">
        <v>41</v>
      </c>
      <c r="AD5" s="274" t="str">
        <f t="shared" si="3"/>
        <v>בנימינה- גבעת עדה</v>
      </c>
      <c r="AE5" s="251">
        <f t="shared" si="4"/>
        <v>1.3558843521890789</v>
      </c>
      <c r="AF5" s="252">
        <f t="shared" si="5"/>
        <v>1.7107726799263161</v>
      </c>
      <c r="AG5" s="274">
        <f t="shared" si="6"/>
        <v>1.6592421000000002</v>
      </c>
      <c r="AH5" s="274">
        <f>L5</f>
        <v>0</v>
      </c>
      <c r="AI5" s="251">
        <f t="shared" si="7"/>
        <v>1.8351811912436653</v>
      </c>
    </row>
    <row r="6" spans="1:35" x14ac:dyDescent="0.2">
      <c r="A6" s="255">
        <v>4</v>
      </c>
      <c r="B6" s="55">
        <f t="shared" si="1"/>
        <v>3.2917011022506286</v>
      </c>
      <c r="C6" s="275" t="s">
        <v>373</v>
      </c>
      <c r="D6" s="55">
        <f t="shared" si="2"/>
        <v>2.4669232912436656</v>
      </c>
      <c r="E6" s="55">
        <f>'תעריף מים לכמות נוספת'!E6</f>
        <v>0.72809450879950022</v>
      </c>
      <c r="F6" s="55">
        <f>M6*'תחשיב הכרה בעלויות '!$C$22</f>
        <v>9.8416204850385908E-2</v>
      </c>
      <c r="G6" s="56">
        <f>'תחשיב הכרה בעלויות '!$M$30</f>
        <v>0.55879601295904968</v>
      </c>
      <c r="H6" s="56">
        <f>'תחשיב הכרה בעלויות '!$E$19</f>
        <v>0.38383298240508607</v>
      </c>
      <c r="I6" s="56">
        <f>'תחשיב הכרה בעלויות '!$I$19</f>
        <v>0.44094482860187678</v>
      </c>
      <c r="J6" s="56">
        <f>'תחשיב הכרה בעלויות '!$M$24</f>
        <v>0.85657249449949613</v>
      </c>
      <c r="K6" s="56">
        <f>1.37*מטש!D43</f>
        <v>1.0275000000000001</v>
      </c>
      <c r="L6" s="255"/>
      <c r="M6" s="272">
        <f t="shared" si="8"/>
        <v>6.5610803233590609</v>
      </c>
      <c r="P6" s="252">
        <f t="shared" si="0"/>
        <v>2.7382726799263164</v>
      </c>
      <c r="Q6" s="252"/>
      <c r="R6" s="251">
        <f>+IFERROR(VLOOKUP(TRIM(C6&amp;"-"&amp;$R$2),'אגרות ביוב'!$A$8:$J$72,10,0),0)</f>
        <v>0</v>
      </c>
      <c r="S6" s="252">
        <f>+IFERROR(VLOOKUP(TRIM(C6&amp;"-"&amp;$S$2),'אגרות ביוב'!$A$8:$J$72,10,0),0)</f>
        <v>0</v>
      </c>
      <c r="T6" s="252">
        <f>+IFERROR(VLOOKUP(TRIM(C6&amp;"-"&amp;$T$2),'אגרות ביוב'!$A$8:$J$72,10,0),0)</f>
        <v>0</v>
      </c>
      <c r="Y6" s="250" t="s">
        <v>55</v>
      </c>
      <c r="Z6" s="250" t="s">
        <v>41</v>
      </c>
      <c r="AD6" s="274" t="str">
        <f t="shared" si="3"/>
        <v>פרדיס</v>
      </c>
      <c r="AE6" s="251">
        <f t="shared" si="4"/>
        <v>1.3558843521890789</v>
      </c>
      <c r="AF6" s="252">
        <f t="shared" si="5"/>
        <v>1.7107726799263161</v>
      </c>
      <c r="AG6" s="274">
        <f t="shared" si="6"/>
        <v>1.0275000000000001</v>
      </c>
      <c r="AH6" s="274">
        <f t="shared" si="6"/>
        <v>0</v>
      </c>
      <c r="AI6" s="251">
        <f t="shared" si="7"/>
        <v>2.4669232912436656</v>
      </c>
    </row>
    <row r="7" spans="1:35" x14ac:dyDescent="0.2">
      <c r="A7" s="255">
        <v>5</v>
      </c>
      <c r="B7" s="55">
        <f t="shared" si="1"/>
        <v>3.4462761022506281</v>
      </c>
      <c r="C7" s="249" t="s">
        <v>310</v>
      </c>
      <c r="D7" s="55">
        <f t="shared" si="2"/>
        <v>2.6214982912436651</v>
      </c>
      <c r="E7" s="55">
        <f>'תעריף מים לכמות נוספת'!E7</f>
        <v>0.72809450879950022</v>
      </c>
      <c r="F7" s="55">
        <f>M7*'תחשיב הכרה בעלויות '!$C$22</f>
        <v>9.8416204850385908E-2</v>
      </c>
      <c r="G7" s="56">
        <f>'תחשיב הכרה בעלויות '!$M$30</f>
        <v>0.55879601295904968</v>
      </c>
      <c r="H7" s="56">
        <f>'תחשיב הכרה בעלויות '!$E$19</f>
        <v>0.38383298240508607</v>
      </c>
      <c r="I7" s="56">
        <f>'תחשיב הכרה בעלויות '!$I$19</f>
        <v>0.44094482860187678</v>
      </c>
      <c r="J7" s="56">
        <f>'תחשיב הכרה בעלויות '!$M$24</f>
        <v>0.85657249449949613</v>
      </c>
      <c r="K7" s="56">
        <f>K4</f>
        <v>0.87292499999999995</v>
      </c>
      <c r="L7" s="255"/>
      <c r="M7" s="272">
        <f t="shared" si="8"/>
        <v>6.5610803233590609</v>
      </c>
      <c r="P7" s="252">
        <f t="shared" si="0"/>
        <v>2.583697679926316</v>
      </c>
      <c r="Q7" s="252"/>
      <c r="R7" s="251">
        <f>+IFERROR(VLOOKUP(TRIM(C7&amp;"-"&amp;$R$2),'אגרות ביוב'!$A$8:$J$72,10,0),0)</f>
        <v>0</v>
      </c>
      <c r="S7" s="252">
        <f>+IFERROR(VLOOKUP(TRIM(C7&amp;"-"&amp;$S$2),'אגרות ביוב'!$A$8:$J$72,10,0),0)</f>
        <v>0</v>
      </c>
      <c r="T7" s="252">
        <f>+IFERROR(VLOOKUP(TRIM(C7&amp;"-"&amp;$T$2),'אגרות ביוב'!$A$8:$J$72,10,0),0)</f>
        <v>0</v>
      </c>
      <c r="Y7" s="250" t="s">
        <v>39</v>
      </c>
      <c r="Z7" s="250" t="s">
        <v>41</v>
      </c>
      <c r="AD7" s="274" t="str">
        <f t="shared" si="3"/>
        <v>דלית אל כרמל</v>
      </c>
      <c r="AE7" s="251">
        <f t="shared" si="4"/>
        <v>1.3558843521890789</v>
      </c>
      <c r="AF7" s="252">
        <f t="shared" si="5"/>
        <v>1.7107726799263161</v>
      </c>
      <c r="AG7" s="274">
        <f t="shared" si="6"/>
        <v>0.87292499999999995</v>
      </c>
      <c r="AH7" s="274">
        <f t="shared" si="6"/>
        <v>0</v>
      </c>
      <c r="AI7" s="251">
        <f t="shared" si="7"/>
        <v>2.6214982912436651</v>
      </c>
    </row>
    <row r="8" spans="1:35" x14ac:dyDescent="0.2">
      <c r="A8" s="255">
        <v>6</v>
      </c>
      <c r="B8" s="55">
        <f t="shared" si="1"/>
        <v>3.4462761022506281</v>
      </c>
      <c r="C8" s="249" t="s">
        <v>446</v>
      </c>
      <c r="D8" s="55">
        <f t="shared" si="2"/>
        <v>2.6214982912436651</v>
      </c>
      <c r="E8" s="55">
        <f>'תעריף מים לכמות נוספת'!E8</f>
        <v>0.72809450879950022</v>
      </c>
      <c r="F8" s="55">
        <f>M8*'תחשיב הכרה בעלויות '!$C$22</f>
        <v>9.8416204850385908E-2</v>
      </c>
      <c r="G8" s="56">
        <f>'תחשיב הכרה בעלויות '!$M$30</f>
        <v>0.55879601295904968</v>
      </c>
      <c r="H8" s="56">
        <f>'תחשיב הכרה בעלויות '!$E$19</f>
        <v>0.38383298240508607</v>
      </c>
      <c r="I8" s="56">
        <f>'תחשיב הכרה בעלויות '!$I$19</f>
        <v>0.44094482860187678</v>
      </c>
      <c r="J8" s="56">
        <f>'תחשיב הכרה בעלויות '!$M$24</f>
        <v>0.85657249449949613</v>
      </c>
      <c r="K8" s="56">
        <f>K7</f>
        <v>0.87292499999999995</v>
      </c>
      <c r="L8" s="255"/>
      <c r="M8" s="272">
        <f t="shared" si="8"/>
        <v>6.5610803233590609</v>
      </c>
      <c r="P8" s="252">
        <f t="shared" si="0"/>
        <v>2.583697679926316</v>
      </c>
      <c r="Q8" s="252"/>
      <c r="R8" s="251">
        <f>+IFERROR(VLOOKUP(TRIM(C8&amp;"-"&amp;$R$2),'אגרות ביוב'!$A$8:$J$72,10,0),0)</f>
        <v>0</v>
      </c>
      <c r="S8" s="252">
        <f>+IFERROR(VLOOKUP(TRIM(C8&amp;"-"&amp;$S$2),'אגרות ביוב'!$A$8:$J$72,10,0),0)</f>
        <v>0</v>
      </c>
      <c r="T8" s="252">
        <f>+IFERROR(VLOOKUP(TRIM(C8&amp;"-"&amp;$T$2),'אגרות ביוב'!$A$8:$J$72,10,0),0)</f>
        <v>0</v>
      </c>
      <c r="Y8" s="250" t="s">
        <v>39</v>
      </c>
      <c r="Z8" s="250" t="s">
        <v>41</v>
      </c>
      <c r="AD8" s="274" t="str">
        <f t="shared" si="3"/>
        <v>עספייה</v>
      </c>
      <c r="AE8" s="251">
        <f t="shared" si="4"/>
        <v>1.3558843521890789</v>
      </c>
      <c r="AF8" s="252">
        <f t="shared" si="5"/>
        <v>1.7107726799263161</v>
      </c>
      <c r="AG8" s="274">
        <f t="shared" si="6"/>
        <v>0.87292499999999995</v>
      </c>
      <c r="AH8" s="274">
        <f t="shared" si="6"/>
        <v>0</v>
      </c>
      <c r="AI8" s="251">
        <f t="shared" si="7"/>
        <v>2.6214982912436651</v>
      </c>
    </row>
    <row r="9" spans="1:35" x14ac:dyDescent="0.2">
      <c r="A9" s="255">
        <v>7</v>
      </c>
      <c r="B9" s="55">
        <f t="shared" si="1"/>
        <v>2.5270856107042294</v>
      </c>
      <c r="C9" s="249" t="s">
        <v>429</v>
      </c>
      <c r="D9" s="55">
        <f t="shared" si="2"/>
        <v>1.7023077996972664</v>
      </c>
      <c r="E9" s="55">
        <f>'תעריף מים לכמות נוספת'!E9</f>
        <v>0.72809450879950022</v>
      </c>
      <c r="F9" s="55">
        <f>M9*'תחשיב הכרה בעלויות '!$C$22</f>
        <v>9.8416204850385908E-2</v>
      </c>
      <c r="G9" s="56">
        <f>'תחשיב הכרה בעלויות '!$M$30</f>
        <v>0.55879601295904968</v>
      </c>
      <c r="H9" s="56">
        <f>'תחשיב הכרה בעלויות '!$E$19</f>
        <v>0.38383298240508607</v>
      </c>
      <c r="I9" s="56">
        <f>'תחשיב הכרה בעלויות '!$I$19</f>
        <v>0.44094482860187678</v>
      </c>
      <c r="J9" s="56">
        <f>'תחשיב הכרה בעלויות '!$M$24</f>
        <v>0.85657249449949613</v>
      </c>
      <c r="K9" s="56">
        <v>1.661</v>
      </c>
      <c r="L9" s="56">
        <f>235000/'כמויות 2013'!G229</f>
        <v>0.13111549154639843</v>
      </c>
      <c r="M9" s="272">
        <f t="shared" si="8"/>
        <v>6.5610803233590609</v>
      </c>
      <c r="P9" s="252">
        <f t="shared" si="0"/>
        <v>3.5028881714727147</v>
      </c>
      <c r="Q9" s="252"/>
      <c r="R9" s="251">
        <f>+IFERROR(VLOOKUP(TRIM(C9&amp;"-"&amp;$R$2),'אגרות ביוב'!$A$8:$J$72,10,0),0)</f>
        <v>1.9090752539421796</v>
      </c>
      <c r="S9" s="252">
        <f>+IFERROR(VLOOKUP(TRIM(C9&amp;"-"&amp;$S$2),'אגרות ביוב'!$A$8:$J$72,10,0),0)</f>
        <v>0</v>
      </c>
      <c r="T9" s="252">
        <f>+IFERROR(VLOOKUP(TRIM(C9&amp;"-"&amp;$T$2),'אגרות ביוב'!$A$8:$J$72,10,0),0)</f>
        <v>0</v>
      </c>
      <c r="Y9" s="250" t="s">
        <v>39</v>
      </c>
      <c r="Z9" s="250" t="s">
        <v>43</v>
      </c>
      <c r="AD9" s="274" t="str">
        <f t="shared" si="3"/>
        <v>טירת כרמל</v>
      </c>
      <c r="AE9" s="251">
        <f t="shared" si="4"/>
        <v>1.3558843521890789</v>
      </c>
      <c r="AF9" s="252">
        <f t="shared" si="5"/>
        <v>1.7107726799263161</v>
      </c>
      <c r="AG9" s="274">
        <f t="shared" si="6"/>
        <v>1.661</v>
      </c>
      <c r="AH9" s="274">
        <f t="shared" si="6"/>
        <v>0.13111549154639843</v>
      </c>
      <c r="AI9" s="251">
        <f t="shared" si="7"/>
        <v>1.7023077996972664</v>
      </c>
    </row>
    <row r="10" spans="1:35" x14ac:dyDescent="0.2">
      <c r="A10" s="255">
        <v>8</v>
      </c>
      <c r="B10" s="55">
        <f t="shared" si="1"/>
        <v>3.9378261022506282</v>
      </c>
      <c r="C10" s="249" t="s">
        <v>8</v>
      </c>
      <c r="D10" s="55">
        <f t="shared" si="2"/>
        <v>3.1130482912436652</v>
      </c>
      <c r="E10" s="55">
        <f>'תעריף מים לכמות נוספת'!E10</f>
        <v>0.72809450879950022</v>
      </c>
      <c r="F10" s="55">
        <f>M10*'תחשיב הכרה בעלויות '!$C$22</f>
        <v>9.8416204850385908E-2</v>
      </c>
      <c r="G10" s="56">
        <f>'תחשיב הכרה בעלויות '!$M$30</f>
        <v>0.55879601295904968</v>
      </c>
      <c r="H10" s="56">
        <f>'תחשיב הכרה בעלויות '!$E$19</f>
        <v>0.38383298240508607</v>
      </c>
      <c r="I10" s="56">
        <f>'תחשיב הכרה בעלויות '!$I$19</f>
        <v>0.44094482860187678</v>
      </c>
      <c r="J10" s="56">
        <f>'תחשיב הכרה בעלויות '!$M$24</f>
        <v>0.85657249449949613</v>
      </c>
      <c r="K10" s="56">
        <f>מטש!B40</f>
        <v>0.38137500000000002</v>
      </c>
      <c r="L10" s="255"/>
      <c r="M10" s="272">
        <f t="shared" si="8"/>
        <v>6.5610803233590609</v>
      </c>
      <c r="P10" s="252">
        <f t="shared" si="0"/>
        <v>2.0921476799263159</v>
      </c>
      <c r="Q10" s="252"/>
      <c r="R10" s="251">
        <f>+IFERROR(VLOOKUP(TRIM(C10&amp;"-"&amp;$R$2),'אגרות ביוב'!$A$8:$J$72,10,0),0)</f>
        <v>0</v>
      </c>
      <c r="S10" s="252">
        <f>+IFERROR(VLOOKUP(TRIM(C10&amp;"-"&amp;$S$2),'אגרות ביוב'!$A$8:$J$72,10,0),0)</f>
        <v>0</v>
      </c>
      <c r="T10" s="252">
        <f>+IFERROR(VLOOKUP(TRIM(C10&amp;"-"&amp;$T$2),'אגרות ביוב'!$A$8:$J$72,10,0),0)</f>
        <v>0</v>
      </c>
      <c r="AD10" s="274" t="str">
        <f t="shared" si="3"/>
        <v>קלנסואה</v>
      </c>
      <c r="AE10" s="251">
        <f t="shared" si="4"/>
        <v>1.3558843521890789</v>
      </c>
      <c r="AF10" s="252">
        <f t="shared" si="5"/>
        <v>1.7107726799263161</v>
      </c>
      <c r="AG10" s="274">
        <f t="shared" si="6"/>
        <v>0.38137500000000002</v>
      </c>
      <c r="AH10" s="274">
        <f t="shared" si="6"/>
        <v>0</v>
      </c>
      <c r="AI10" s="251">
        <f t="shared" si="7"/>
        <v>3.1130482912436652</v>
      </c>
    </row>
    <row r="11" spans="1:35" x14ac:dyDescent="0.2">
      <c r="A11" s="255">
        <v>9</v>
      </c>
      <c r="B11" s="55">
        <f t="shared" si="1"/>
        <v>1.7425969474023275</v>
      </c>
      <c r="C11" s="249" t="s">
        <v>51</v>
      </c>
      <c r="D11" s="55">
        <f t="shared" si="2"/>
        <v>0.91781913639536483</v>
      </c>
      <c r="E11" s="55">
        <f>'תעריף מים לכמות נוספת'!E11</f>
        <v>0.72809450879950022</v>
      </c>
      <c r="F11" s="55">
        <f>M11*'תחשיב הכרה בעלויות '!$C$22</f>
        <v>9.8416204850385908E-2</v>
      </c>
      <c r="G11" s="56">
        <f>'תחשיב הכרה בעלויות '!$M$30</f>
        <v>0.55879601295904968</v>
      </c>
      <c r="H11" s="56">
        <f>'תחשיב הכרה בעלויות '!$E$19</f>
        <v>0.38383298240508607</v>
      </c>
      <c r="I11" s="56">
        <f>'תחשיב הכרה בעלויות '!$I$19</f>
        <v>0.44094482860187678</v>
      </c>
      <c r="J11" s="56">
        <f>'תחשיב הכרה בעלויות '!$M$24</f>
        <v>0.85657249449949613</v>
      </c>
      <c r="K11" s="56">
        <f>K9</f>
        <v>1.661</v>
      </c>
      <c r="L11" s="56">
        <f>234033/'כמויות 2013'!G252</f>
        <v>0.91560415484830104</v>
      </c>
      <c r="M11" s="272">
        <f t="shared" si="8"/>
        <v>6.5610803233590609</v>
      </c>
      <c r="P11" s="252">
        <f t="shared" si="0"/>
        <v>4.2873768347746166</v>
      </c>
      <c r="Q11" s="252"/>
      <c r="R11" s="251">
        <f>+IFERROR(VLOOKUP(TRIM(C11&amp;"-"&amp;$R$2),'אגרות ביוב'!$A$8:$J$72,10,0),0)</f>
        <v>2.1591072493824059</v>
      </c>
      <c r="S11" s="252">
        <f>+IFERROR(VLOOKUP(TRIM(C11&amp;"-"&amp;$S$2),'אגרות ביוב'!$A$8:$J$72,10,0),0)</f>
        <v>0</v>
      </c>
      <c r="T11" s="252">
        <f>+IFERROR(VLOOKUP(TRIM(C11&amp;"-"&amp;$T$2),'אגרות ביוב'!$A$8:$J$72,10,0),0)</f>
        <v>0</v>
      </c>
      <c r="V11" s="250">
        <v>3.028</v>
      </c>
      <c r="W11" s="250" t="s">
        <v>72</v>
      </c>
      <c r="X11" s="250" t="s">
        <v>47</v>
      </c>
      <c r="Y11" s="250" t="s">
        <v>4</v>
      </c>
      <c r="Z11" s="250" t="s">
        <v>41</v>
      </c>
      <c r="AD11" s="274" t="str">
        <f t="shared" si="3"/>
        <v>קריית יערים</v>
      </c>
      <c r="AE11" s="251">
        <f t="shared" si="4"/>
        <v>1.3558843521890789</v>
      </c>
      <c r="AF11" s="252">
        <f t="shared" si="5"/>
        <v>1.7107726799263161</v>
      </c>
      <c r="AG11" s="274">
        <f t="shared" si="6"/>
        <v>1.661</v>
      </c>
      <c r="AH11" s="274">
        <f t="shared" si="6"/>
        <v>0.91560415484830104</v>
      </c>
      <c r="AI11" s="251">
        <f t="shared" si="7"/>
        <v>0.91781913639536483</v>
      </c>
    </row>
    <row r="12" spans="1:35" x14ac:dyDescent="0.2">
      <c r="A12" s="255">
        <v>11</v>
      </c>
      <c r="B12" s="55">
        <f t="shared" si="1"/>
        <v>2.4452011022506288</v>
      </c>
      <c r="C12" s="249" t="s">
        <v>10</v>
      </c>
      <c r="D12" s="55">
        <f t="shared" si="2"/>
        <v>1.6204232912436658</v>
      </c>
      <c r="E12" s="55">
        <f>'תעריף מים לכמות נוספת'!E12</f>
        <v>0.72809450879950022</v>
      </c>
      <c r="F12" s="55">
        <f>M12*'תחשיב הכרה בעלויות '!$C$22</f>
        <v>9.8416204850385908E-2</v>
      </c>
      <c r="G12" s="56">
        <f>'תחשיב הכרה בעלויות '!$M$30</f>
        <v>0.55879601295904968</v>
      </c>
      <c r="H12" s="56">
        <f>'תחשיב הכרה בעלויות '!$E$19</f>
        <v>0.38383298240508607</v>
      </c>
      <c r="I12" s="56">
        <f>'תחשיב הכרה בעלויות '!$I$19</f>
        <v>0.44094482860187678</v>
      </c>
      <c r="J12" s="56">
        <f>'תחשיב הכרה בעלויות '!$M$24</f>
        <v>0.85657249449949613</v>
      </c>
      <c r="K12" s="255">
        <v>1.774</v>
      </c>
      <c r="L12" s="255">
        <v>0.1</v>
      </c>
      <c r="M12" s="272">
        <f t="shared" si="8"/>
        <v>6.5610803233590609</v>
      </c>
      <c r="P12" s="252">
        <f t="shared" si="0"/>
        <v>3.5847726799263162</v>
      </c>
      <c r="Q12" s="252"/>
      <c r="R12" s="251">
        <f>+IFERROR(VLOOKUP(TRIM(C12&amp;"-"&amp;$R$2),'אגרות ביוב'!$A$8:$J$72,10,0),0)</f>
        <v>0.85897937473789809</v>
      </c>
      <c r="S12" s="252">
        <f>+IFERROR(VLOOKUP(TRIM(C12&amp;"-"&amp;$S$2),'אגרות ביוב'!$A$8:$J$72,10,0),0)</f>
        <v>0</v>
      </c>
      <c r="T12" s="252">
        <f>+IFERROR(VLOOKUP(TRIM(C12&amp;"-"&amp;$T$2),'אגרות ביוב'!$A$8:$J$72,10,0),0)</f>
        <v>0</v>
      </c>
      <c r="U12" s="276" t="s">
        <v>382</v>
      </c>
      <c r="X12" s="250" t="s">
        <v>62</v>
      </c>
      <c r="AD12" s="274" t="str">
        <f t="shared" si="3"/>
        <v>כפר שמריהו</v>
      </c>
      <c r="AE12" s="251">
        <f t="shared" si="4"/>
        <v>1.3558843521890789</v>
      </c>
      <c r="AF12" s="252">
        <f t="shared" si="5"/>
        <v>1.7107726799263161</v>
      </c>
      <c r="AG12" s="274">
        <f t="shared" si="6"/>
        <v>1.774</v>
      </c>
      <c r="AH12" s="274">
        <f t="shared" si="6"/>
        <v>0.1</v>
      </c>
      <c r="AI12" s="251">
        <f t="shared" si="7"/>
        <v>1.6204232912436658</v>
      </c>
    </row>
    <row r="13" spans="1:35" x14ac:dyDescent="0.2">
      <c r="A13" s="255">
        <v>12</v>
      </c>
      <c r="B13" s="55">
        <f t="shared" si="1"/>
        <v>3.2259261022506283</v>
      </c>
      <c r="C13" s="249" t="s">
        <v>11</v>
      </c>
      <c r="D13" s="55">
        <f t="shared" si="2"/>
        <v>2.4011482912436652</v>
      </c>
      <c r="E13" s="55">
        <f>'תעריף מים לכמות נוספת'!E13</f>
        <v>0.72809450879950022</v>
      </c>
      <c r="F13" s="55">
        <f>M13*'תחשיב הכרה בעלויות '!$C$22</f>
        <v>9.8416204850385908E-2</v>
      </c>
      <c r="G13" s="56">
        <f>'תחשיב הכרה בעלויות '!$M$30</f>
        <v>0.55879601295904968</v>
      </c>
      <c r="H13" s="56">
        <f>'תחשיב הכרה בעלויות '!$E$19</f>
        <v>0.38383298240508607</v>
      </c>
      <c r="I13" s="56">
        <f>'תחשיב הכרה בעלויות '!$I$19</f>
        <v>0.44094482860187678</v>
      </c>
      <c r="J13" s="56">
        <f>'תחשיב הכרה בעלויות '!$M$24</f>
        <v>0.85657249449949613</v>
      </c>
      <c r="K13" s="56">
        <f>מטש!F40</f>
        <v>1.0932750000000002</v>
      </c>
      <c r="L13" s="255"/>
      <c r="M13" s="272">
        <f t="shared" si="8"/>
        <v>6.5610803233590609</v>
      </c>
      <c r="P13" s="252">
        <f t="shared" si="0"/>
        <v>2.8040476799263159</v>
      </c>
      <c r="Q13" s="252"/>
      <c r="R13" s="251">
        <f>+IFERROR(VLOOKUP(TRIM(C13&amp;"-"&amp;$R$2),'אגרות ביוב'!$A$8:$J$72,10,0),0)</f>
        <v>0.88939133906335688</v>
      </c>
      <c r="S13" s="252">
        <f>+IFERROR(VLOOKUP(TRIM(C13&amp;"-"&amp;$S$2),'אגרות ביוב'!$A$8:$J$72,10,0),0)</f>
        <v>0</v>
      </c>
      <c r="T13" s="252">
        <f>+IFERROR(VLOOKUP(TRIM(C13&amp;"-"&amp;$T$2),'אגרות ביוב'!$A$8:$J$72,10,0),0)</f>
        <v>0</v>
      </c>
      <c r="U13" s="250">
        <v>0.65</v>
      </c>
      <c r="X13" s="250" t="s">
        <v>340</v>
      </c>
      <c r="Y13" s="250" t="s">
        <v>52</v>
      </c>
      <c r="Z13" s="250" t="s">
        <v>42</v>
      </c>
      <c r="AD13" s="274" t="str">
        <f t="shared" si="3"/>
        <v>מיתר</v>
      </c>
      <c r="AE13" s="251">
        <f t="shared" si="4"/>
        <v>1.3558843521890789</v>
      </c>
      <c r="AF13" s="252">
        <f t="shared" si="5"/>
        <v>1.7107726799263161</v>
      </c>
      <c r="AG13" s="274">
        <f t="shared" si="6"/>
        <v>1.0932750000000002</v>
      </c>
      <c r="AH13" s="274">
        <f t="shared" si="6"/>
        <v>0</v>
      </c>
      <c r="AI13" s="251">
        <f t="shared" si="7"/>
        <v>2.4011482912436652</v>
      </c>
    </row>
    <row r="14" spans="1:35" x14ac:dyDescent="0.2">
      <c r="A14" s="255">
        <v>14</v>
      </c>
      <c r="B14" s="55">
        <f t="shared" si="1"/>
        <v>2.7850344355839618</v>
      </c>
      <c r="C14" s="249" t="s">
        <v>12</v>
      </c>
      <c r="D14" s="55">
        <f t="shared" si="2"/>
        <v>1.9602566245769988</v>
      </c>
      <c r="E14" s="55">
        <f>'תעריף מים לכמות נוספת'!E14</f>
        <v>0.72809450879950022</v>
      </c>
      <c r="F14" s="55">
        <f>M14*'תחשיב הכרה בעלויות '!$C$22</f>
        <v>9.8416204850385908E-2</v>
      </c>
      <c r="G14" s="56">
        <f>'תחשיב הכרה בעלויות '!$M$30</f>
        <v>0.55879601295904968</v>
      </c>
      <c r="H14" s="56">
        <f>'תחשיב הכרה בעלויות '!$E$19</f>
        <v>0.38383298240508607</v>
      </c>
      <c r="I14" s="56">
        <f>'תחשיב הכרה בעלויות '!$I$19</f>
        <v>0.44094482860187678</v>
      </c>
      <c r="J14" s="56">
        <f>'תחשיב הכרה בעלויות '!$M$24</f>
        <v>0.85657249449949613</v>
      </c>
      <c r="K14" s="255">
        <f>1.389/1.2</f>
        <v>1.1575</v>
      </c>
      <c r="L14" s="56">
        <f>(49+46+50+54-6+84+60+47+68)/1200</f>
        <v>0.37666666666666665</v>
      </c>
      <c r="M14" s="272">
        <f t="shared" si="8"/>
        <v>6.5610803233590609</v>
      </c>
      <c r="P14" s="252">
        <f t="shared" si="0"/>
        <v>3.2449393465929823</v>
      </c>
      <c r="Q14" s="252"/>
      <c r="R14" s="251">
        <f>+IFERROR(VLOOKUP(TRIM(C14&amp;"-"&amp;$R$2),'אגרות ביוב'!$A$8:$J$72,10,0),0)</f>
        <v>0</v>
      </c>
      <c r="S14" s="252">
        <f>+IFERROR(VLOOKUP(TRIM(C14&amp;"-"&amp;$S$2),'אגרות ביוב'!$A$8:$J$72,10,0),0)</f>
        <v>0</v>
      </c>
      <c r="T14" s="252">
        <f>+IFERROR(VLOOKUP(TRIM(C14&amp;"-"&amp;$T$2),'אגרות ביוב'!$A$8:$J$72,10,0),0)</f>
        <v>0</v>
      </c>
      <c r="X14" s="250" t="s">
        <v>56</v>
      </c>
      <c r="AD14" s="274" t="str">
        <f t="shared" si="3"/>
        <v>שהם</v>
      </c>
      <c r="AE14" s="251">
        <f t="shared" si="4"/>
        <v>1.3558843521890789</v>
      </c>
      <c r="AF14" s="252">
        <f t="shared" si="5"/>
        <v>1.7107726799263161</v>
      </c>
      <c r="AG14" s="274">
        <f t="shared" si="6"/>
        <v>1.1575</v>
      </c>
      <c r="AH14" s="274">
        <f t="shared" si="6"/>
        <v>0.37666666666666665</v>
      </c>
      <c r="AI14" s="251">
        <f t="shared" si="7"/>
        <v>1.9602566245769988</v>
      </c>
    </row>
    <row r="15" spans="1:35" x14ac:dyDescent="0.2">
      <c r="A15" s="255">
        <v>15</v>
      </c>
      <c r="B15" s="55">
        <f t="shared" si="1"/>
        <v>3.4547511022506288</v>
      </c>
      <c r="C15" s="249" t="s">
        <v>13</v>
      </c>
      <c r="D15" s="55">
        <f t="shared" si="2"/>
        <v>2.6299732912436657</v>
      </c>
      <c r="E15" s="55">
        <f>'תעריף מים לכמות נוספת'!E15</f>
        <v>0.72809450879950022</v>
      </c>
      <c r="F15" s="55">
        <f>M15*'תחשיב הכרה בעלויות '!$C$22</f>
        <v>9.8416204850385908E-2</v>
      </c>
      <c r="G15" s="56">
        <f>'תחשיב הכרה בעלויות '!$M$30</f>
        <v>0.55879601295904968</v>
      </c>
      <c r="H15" s="56">
        <f>'תחשיב הכרה בעלויות '!$E$19</f>
        <v>0.38383298240508607</v>
      </c>
      <c r="I15" s="56">
        <f>'תחשיב הכרה בעלויות '!$I$19</f>
        <v>0.44094482860187678</v>
      </c>
      <c r="J15" s="56">
        <f>'תחשיב הכרה בעלויות '!$M$24</f>
        <v>0.85657249449949613</v>
      </c>
      <c r="K15" s="56">
        <f>מטש!G40</f>
        <v>0.86444999999999994</v>
      </c>
      <c r="L15" s="255"/>
      <c r="M15" s="272">
        <f t="shared" si="8"/>
        <v>6.5610803233590609</v>
      </c>
      <c r="P15" s="252">
        <f t="shared" si="0"/>
        <v>2.5752226799263163</v>
      </c>
      <c r="Q15" s="252"/>
      <c r="R15" s="251">
        <f>+IFERROR(VLOOKUP(TRIM(C15&amp;"-"&amp;$R$2),'אגרות ביוב'!$A$8:$J$72,10,0),0)</f>
        <v>1.1493224849682047</v>
      </c>
      <c r="S15" s="252">
        <f>+IFERROR(VLOOKUP(TRIM(C15&amp;"-"&amp;$S$2),'אגרות ביוב'!$A$8:$J$72,10,0),0)</f>
        <v>2.5458110957360236</v>
      </c>
      <c r="T15" s="252">
        <f>+IFERROR(VLOOKUP(TRIM(C15&amp;"-"&amp;$T$2),'אגרות ביוב'!$A$8:$J$72,10,0),0)</f>
        <v>0</v>
      </c>
      <c r="X15" s="250" t="s">
        <v>64</v>
      </c>
      <c r="Y15" s="250" t="s">
        <v>63</v>
      </c>
      <c r="AD15" s="274" t="str">
        <f t="shared" si="3"/>
        <v>אליכין</v>
      </c>
      <c r="AE15" s="251">
        <f t="shared" si="4"/>
        <v>1.3558843521890789</v>
      </c>
      <c r="AF15" s="252">
        <f t="shared" si="5"/>
        <v>1.7107726799263161</v>
      </c>
      <c r="AG15" s="274">
        <f t="shared" si="6"/>
        <v>0.86444999999999994</v>
      </c>
      <c r="AH15" s="274">
        <f t="shared" si="6"/>
        <v>0</v>
      </c>
      <c r="AI15" s="251">
        <f t="shared" si="7"/>
        <v>2.6299732912436657</v>
      </c>
    </row>
    <row r="16" spans="1:35" x14ac:dyDescent="0.2">
      <c r="A16" s="255">
        <v>16</v>
      </c>
      <c r="B16" s="55">
        <f t="shared" si="1"/>
        <v>3.9378261022506282</v>
      </c>
      <c r="C16" s="249" t="s">
        <v>14</v>
      </c>
      <c r="D16" s="55">
        <f t="shared" si="2"/>
        <v>3.1130482912436652</v>
      </c>
      <c r="E16" s="55">
        <f>'תעריף מים לכמות נוספת'!E16</f>
        <v>0.72809450879950022</v>
      </c>
      <c r="F16" s="55">
        <f>M16*'תחשיב הכרה בעלויות '!$C$22</f>
        <v>9.8416204850385908E-2</v>
      </c>
      <c r="G16" s="56">
        <f>'תחשיב הכרה בעלויות '!$M$30</f>
        <v>0.55879601295904968</v>
      </c>
      <c r="H16" s="56">
        <f>'תחשיב הכרה בעלויות '!$E$19</f>
        <v>0.38383298240508607</v>
      </c>
      <c r="I16" s="56">
        <f>'תחשיב הכרה בעלויות '!$I$19</f>
        <v>0.44094482860187678</v>
      </c>
      <c r="J16" s="56">
        <f>'תחשיב הכרה בעלויות '!$M$24</f>
        <v>0.85657249449949613</v>
      </c>
      <c r="K16" s="56">
        <f>K10</f>
        <v>0.38137500000000002</v>
      </c>
      <c r="L16" s="255"/>
      <c r="M16" s="272">
        <f t="shared" si="8"/>
        <v>6.5610803233590609</v>
      </c>
      <c r="P16" s="252">
        <f t="shared" si="0"/>
        <v>2.0921476799263159</v>
      </c>
      <c r="Q16" s="252"/>
      <c r="R16" s="251">
        <f>+IFERROR(VLOOKUP(TRIM(C16&amp;"-"&amp;$R$2),'אגרות ביוב'!$A$8:$J$72,10,0),0)</f>
        <v>1.1924064666198686</v>
      </c>
      <c r="S16" s="252">
        <f>+IFERROR(VLOOKUP(TRIM(C16&amp;"-"&amp;$S$2),'אגרות ביוב'!$A$8:$J$72,10,0),0)</f>
        <v>0.71253557151675073</v>
      </c>
      <c r="T16" s="252">
        <f>+IFERROR(VLOOKUP(TRIM(C16&amp;"-"&amp;$T$2),'אגרות ביוב'!$A$8:$J$72,10,0),0)</f>
        <v>2.2830221373087727</v>
      </c>
      <c r="AD16" s="274" t="str">
        <f t="shared" si="3"/>
        <v>טייבה</v>
      </c>
      <c r="AE16" s="251">
        <f t="shared" si="4"/>
        <v>1.3558843521890789</v>
      </c>
      <c r="AF16" s="252">
        <f t="shared" si="5"/>
        <v>1.7107726799263161</v>
      </c>
      <c r="AG16" s="274">
        <f t="shared" si="6"/>
        <v>0.38137500000000002</v>
      </c>
      <c r="AH16" s="274">
        <f t="shared" si="6"/>
        <v>0</v>
      </c>
      <c r="AI16" s="251">
        <f t="shared" si="7"/>
        <v>3.1130482912436652</v>
      </c>
    </row>
    <row r="17" spans="1:35" x14ac:dyDescent="0.2">
      <c r="A17" s="255">
        <v>17</v>
      </c>
      <c r="B17" s="55">
        <f t="shared" si="1"/>
        <v>2.6582011022506289</v>
      </c>
      <c r="C17" s="249" t="s">
        <v>15</v>
      </c>
      <c r="D17" s="55">
        <f t="shared" si="2"/>
        <v>1.8334232912436659</v>
      </c>
      <c r="E17" s="55">
        <f>'תעריף מים לכמות נוספת'!E17</f>
        <v>0.72809450879950022</v>
      </c>
      <c r="F17" s="55">
        <f>M17*'תחשיב הכרה בעלויות '!$C$22</f>
        <v>9.8416204850385908E-2</v>
      </c>
      <c r="G17" s="56">
        <f>'תחשיב הכרה בעלויות '!$M$30</f>
        <v>0.55879601295904968</v>
      </c>
      <c r="H17" s="56">
        <f>'תחשיב הכרה בעלויות '!$E$19</f>
        <v>0.38383298240508607</v>
      </c>
      <c r="I17" s="56">
        <f>'תחשיב הכרה בעלויות '!$I$19</f>
        <v>0.44094482860187678</v>
      </c>
      <c r="J17" s="56">
        <f>'תחשיב הכרה בעלויות '!$M$24</f>
        <v>0.85657249449949613</v>
      </c>
      <c r="K17" s="56">
        <f>K11</f>
        <v>1.661</v>
      </c>
      <c r="L17" s="255"/>
      <c r="M17" s="272">
        <f t="shared" si="8"/>
        <v>6.5610803233590609</v>
      </c>
      <c r="P17" s="252">
        <f t="shared" si="0"/>
        <v>3.3717726799263161</v>
      </c>
      <c r="Q17" s="252"/>
      <c r="R17" s="251">
        <f>+IFERROR(VLOOKUP(TRIM(C17&amp;"-"&amp;$R$2),'אגרות ביוב'!$A$8:$J$72,10,0),0)</f>
        <v>0.70042006353355413</v>
      </c>
      <c r="S17" s="252">
        <f>+IFERROR(VLOOKUP(TRIM(C17&amp;"-"&amp;$S$2),'אגרות ביוב'!$A$8:$J$72,10,0),0)</f>
        <v>1.5009001361433301</v>
      </c>
      <c r="T17" s="252">
        <f>+IFERROR(VLOOKUP(TRIM(C17&amp;"-"&amp;$T$2),'אגרות ביוב'!$A$8:$J$72,10,0),0)</f>
        <v>0</v>
      </c>
      <c r="AD17" s="274" t="str">
        <f t="shared" si="3"/>
        <v>כפר תבור</v>
      </c>
      <c r="AE17" s="251">
        <f t="shared" si="4"/>
        <v>1.3558843521890789</v>
      </c>
      <c r="AF17" s="252">
        <f t="shared" si="5"/>
        <v>1.7107726799263161</v>
      </c>
      <c r="AG17" s="274">
        <f t="shared" si="6"/>
        <v>1.661</v>
      </c>
      <c r="AH17" s="274">
        <f t="shared" si="6"/>
        <v>0</v>
      </c>
      <c r="AI17" s="251">
        <f t="shared" si="7"/>
        <v>1.8334232912436659</v>
      </c>
    </row>
    <row r="18" spans="1:35" x14ac:dyDescent="0.2">
      <c r="A18" s="255">
        <v>18</v>
      </c>
      <c r="B18" s="55">
        <f t="shared" si="1"/>
        <v>3.2259261022506283</v>
      </c>
      <c r="C18" s="249" t="s">
        <v>16</v>
      </c>
      <c r="D18" s="55">
        <f t="shared" si="2"/>
        <v>2.4011482912436652</v>
      </c>
      <c r="E18" s="55">
        <f>'תעריף מים לכמות נוספת'!E18</f>
        <v>0.72809450879950022</v>
      </c>
      <c r="F18" s="55">
        <f>M18*'תחשיב הכרה בעלויות '!$C$22</f>
        <v>9.8416204850385908E-2</v>
      </c>
      <c r="G18" s="56">
        <f>'תחשיב הכרה בעלויות '!$M$30</f>
        <v>0.55879601295904968</v>
      </c>
      <c r="H18" s="56">
        <f>'תחשיב הכרה בעלויות '!$E$19</f>
        <v>0.38383298240508607</v>
      </c>
      <c r="I18" s="56">
        <f>'תחשיב הכרה בעלויות '!$I$19</f>
        <v>0.44094482860187678</v>
      </c>
      <c r="J18" s="56">
        <f>'תחשיב הכרה בעלויות '!$M$24</f>
        <v>0.85657249449949613</v>
      </c>
      <c r="K18" s="56">
        <f>מטש!F40</f>
        <v>1.0932750000000002</v>
      </c>
      <c r="L18" s="255"/>
      <c r="M18" s="272">
        <f t="shared" si="8"/>
        <v>6.5610803233590609</v>
      </c>
      <c r="P18" s="252">
        <f>J18+I18+K18+L18+(E18+F18)/2</f>
        <v>2.8040476799263159</v>
      </c>
      <c r="Q18" s="252"/>
      <c r="R18" s="251">
        <v>1.51</v>
      </c>
      <c r="S18" s="252">
        <v>1.82</v>
      </c>
      <c r="T18" s="252">
        <f>+IFERROR(VLOOKUP(TRIM(C18&amp;"-"&amp;$T$2),'אגרות ביוב'!$A$8:$J$72,10,0),0)</f>
        <v>0.3213159635394981</v>
      </c>
      <c r="U18" s="251">
        <f>SUM(R18:T18)</f>
        <v>3.6513159635394983</v>
      </c>
      <c r="X18" s="250" t="s">
        <v>59</v>
      </c>
      <c r="Y18" s="250" t="s">
        <v>57</v>
      </c>
      <c r="Z18" s="250" t="s">
        <v>58</v>
      </c>
      <c r="AD18" s="274" t="str">
        <f t="shared" si="3"/>
        <v>להבים</v>
      </c>
      <c r="AE18" s="251">
        <f t="shared" si="4"/>
        <v>1.3558843521890789</v>
      </c>
      <c r="AF18" s="252">
        <f t="shared" si="5"/>
        <v>1.7107726799263161</v>
      </c>
      <c r="AG18" s="274">
        <f t="shared" si="6"/>
        <v>1.0932750000000002</v>
      </c>
      <c r="AH18" s="274">
        <f t="shared" si="6"/>
        <v>0</v>
      </c>
      <c r="AI18" s="251">
        <f t="shared" si="7"/>
        <v>2.4011482912436652</v>
      </c>
    </row>
    <row r="19" spans="1:35" x14ac:dyDescent="0.2">
      <c r="A19" s="255">
        <v>19</v>
      </c>
      <c r="B19" s="55">
        <f t="shared" si="1"/>
        <v>3.2428761022506287</v>
      </c>
      <c r="C19" s="249" t="s">
        <v>17</v>
      </c>
      <c r="D19" s="55">
        <f t="shared" si="2"/>
        <v>2.4180982912436657</v>
      </c>
      <c r="E19" s="55">
        <f>'תעריף מים לכמות נוספת'!E19</f>
        <v>0.72809450879950022</v>
      </c>
      <c r="F19" s="55">
        <f>M19*'תחשיב הכרה בעלויות '!$C$22</f>
        <v>9.8416204850385908E-2</v>
      </c>
      <c r="G19" s="56">
        <f>'תחשיב הכרה בעלויות '!$M$30</f>
        <v>0.55879601295904968</v>
      </c>
      <c r="H19" s="56">
        <f>'תחשיב הכרה בעלויות '!$E$19</f>
        <v>0.38383298240508607</v>
      </c>
      <c r="I19" s="56">
        <f>'תחשיב הכרה בעלויות '!$I$19</f>
        <v>0.44094482860187678</v>
      </c>
      <c r="J19" s="56">
        <f>'תחשיב הכרה בעלויות '!$M$24</f>
        <v>0.85657249449949613</v>
      </c>
      <c r="K19" s="56">
        <f>מטש!E38</f>
        <v>1.0763249999999998</v>
      </c>
      <c r="L19" s="255"/>
      <c r="M19" s="272">
        <f t="shared" si="8"/>
        <v>6.5610803233590609</v>
      </c>
      <c r="P19" s="252">
        <f t="shared" ref="P19:P29" si="9">J19+I19+K19+L19+(E19+F19)/2</f>
        <v>2.7870976799263154</v>
      </c>
      <c r="Q19" s="252"/>
      <c r="R19" s="251">
        <f>+IFERROR(VLOOKUP(TRIM(C19&amp;"-"&amp;$R$2),'אגרות ביוב'!$A$8:$J$72,10,0),0)</f>
        <v>1.9617287775496</v>
      </c>
      <c r="S19" s="252">
        <f>+IFERROR(VLOOKUP(TRIM(C19&amp;"-"&amp;$S$2),'אגרות ביוב'!$A$8:$J$72,10,0),0)</f>
        <v>1.7165126803558997</v>
      </c>
      <c r="T19" s="252">
        <f>+IFERROR(VLOOKUP(TRIM(C19&amp;"-"&amp;$T$2),'אגרות ביוב'!$A$8:$J$72,10,0),0)</f>
        <v>0</v>
      </c>
      <c r="U19" s="252">
        <f>P18-K18-I18</f>
        <v>1.2698278513244388</v>
      </c>
      <c r="Y19" s="250" t="s">
        <v>65</v>
      </c>
      <c r="Z19" s="250" t="s">
        <v>54</v>
      </c>
      <c r="AD19" s="274" t="str">
        <f t="shared" si="3"/>
        <v>נהריה</v>
      </c>
      <c r="AE19" s="251">
        <f t="shared" si="4"/>
        <v>1.3558843521890789</v>
      </c>
      <c r="AF19" s="252">
        <f t="shared" si="5"/>
        <v>1.7107726799263161</v>
      </c>
      <c r="AG19" s="274">
        <f t="shared" si="6"/>
        <v>1.0763249999999998</v>
      </c>
      <c r="AH19" s="274">
        <f t="shared" si="6"/>
        <v>0</v>
      </c>
      <c r="AI19" s="251">
        <f t="shared" si="7"/>
        <v>2.4180982912436657</v>
      </c>
    </row>
    <row r="20" spans="1:35" x14ac:dyDescent="0.2">
      <c r="A20" s="255">
        <v>20</v>
      </c>
      <c r="B20" s="55">
        <f t="shared" si="1"/>
        <v>2.7748184846030504</v>
      </c>
      <c r="C20" s="249" t="s">
        <v>440</v>
      </c>
      <c r="D20" s="55">
        <f t="shared" si="2"/>
        <v>1.9500406735960873</v>
      </c>
      <c r="E20" s="55">
        <f>'תעריף מים לכמות נוספת'!E20</f>
        <v>0.72809450879950022</v>
      </c>
      <c r="F20" s="55">
        <f>M20*'תחשיב הכרה בעלויות '!$C$22</f>
        <v>9.8416204850385908E-2</v>
      </c>
      <c r="G20" s="56">
        <f>'תחשיב הכרה בעלויות '!$M$30</f>
        <v>0.55879601295904968</v>
      </c>
      <c r="H20" s="56">
        <f>'תחשיב הכרה בעלויות '!$E$19</f>
        <v>0.38383298240508607</v>
      </c>
      <c r="I20" s="56">
        <f>'תחשיב הכרה בעלויות '!$I$19</f>
        <v>0.44094482860187678</v>
      </c>
      <c r="J20" s="56">
        <f>'תחשיב הכרה בעלויות '!$M$24</f>
        <v>0.85657249449949613</v>
      </c>
      <c r="K20" s="56">
        <f>'[2]מטשים 2015'!$K$76</f>
        <v>1.5443826176475777</v>
      </c>
      <c r="L20" s="255"/>
      <c r="M20" s="272">
        <f t="shared" si="8"/>
        <v>6.5610803233590609</v>
      </c>
      <c r="P20" s="252">
        <f t="shared" si="9"/>
        <v>3.2551552975738938</v>
      </c>
      <c r="Q20" s="252"/>
      <c r="R20" s="251">
        <f>+IFERROR(VLOOKUP(TRIM(C20&amp;"-"&amp;$R$2),'אגרות ביוב'!$A$8:$J$72,10,0),0)</f>
        <v>0.63122560427978447</v>
      </c>
      <c r="S20" s="252">
        <f>+IFERROR(VLOOKUP(TRIM(C20&amp;"-"&amp;$S$2),'אגרות ביוב'!$A$8:$J$72,10,0),0)</f>
        <v>0</v>
      </c>
      <c r="T20" s="252">
        <f>+IFERROR(VLOOKUP(TRIM(C20&amp;"-"&amp;$T$2),'אגרות ביוב'!$A$8:$J$72,10,0),0)</f>
        <v>0</v>
      </c>
      <c r="W20" s="250" t="s">
        <v>343</v>
      </c>
      <c r="X20" s="250" t="s">
        <v>342</v>
      </c>
      <c r="Y20" s="250" t="s">
        <v>66</v>
      </c>
      <c r="Z20" s="250" t="s">
        <v>54</v>
      </c>
      <c r="AD20" s="274" t="str">
        <f t="shared" si="3"/>
        <v>נשר</v>
      </c>
      <c r="AE20" s="251">
        <f t="shared" si="4"/>
        <v>1.3558843521890789</v>
      </c>
      <c r="AF20" s="252">
        <f t="shared" si="5"/>
        <v>1.7107726799263161</v>
      </c>
      <c r="AG20" s="274">
        <f t="shared" si="6"/>
        <v>1.5443826176475777</v>
      </c>
      <c r="AH20" s="274">
        <f t="shared" si="6"/>
        <v>0</v>
      </c>
      <c r="AI20" s="251">
        <f t="shared" si="7"/>
        <v>1.9500406735960873</v>
      </c>
    </row>
    <row r="21" spans="1:35" x14ac:dyDescent="0.2">
      <c r="A21" s="255">
        <v>21</v>
      </c>
      <c r="B21" s="55">
        <f t="shared" si="1"/>
        <v>2.759201102250628</v>
      </c>
      <c r="C21" s="249" t="s">
        <v>19</v>
      </c>
      <c r="D21" s="55">
        <f t="shared" si="2"/>
        <v>1.934423291243665</v>
      </c>
      <c r="E21" s="55">
        <f>'תעריף מים לכמות נוספת'!E21</f>
        <v>0.72809450879950022</v>
      </c>
      <c r="F21" s="55">
        <f>M21*'תחשיב הכרה בעלויות '!$C$22</f>
        <v>9.8416204850385908E-2</v>
      </c>
      <c r="G21" s="56">
        <f>'תחשיב הכרה בעלויות '!$M$30</f>
        <v>0.55879601295904968</v>
      </c>
      <c r="H21" s="56">
        <f>'תחשיב הכרה בעלויות '!$E$19</f>
        <v>0.38383298240508607</v>
      </c>
      <c r="I21" s="56">
        <f>'תחשיב הכרה בעלויות '!$I$19</f>
        <v>0.44094482860187678</v>
      </c>
      <c r="J21" s="56">
        <f>'תחשיב הכרה בעלויות '!$M$24</f>
        <v>0.85657249449949613</v>
      </c>
      <c r="K21" s="255">
        <v>1.24</v>
      </c>
      <c r="L21" s="255">
        <v>0.32</v>
      </c>
      <c r="M21" s="272">
        <f t="shared" si="8"/>
        <v>6.5610803233590609</v>
      </c>
      <c r="P21" s="252">
        <f t="shared" si="9"/>
        <v>3.2707726799263153</v>
      </c>
      <c r="Q21" s="252"/>
      <c r="R21" s="251">
        <f>+IFERROR(VLOOKUP(TRIM(C21&amp;"-"&amp;$R$2),'אגרות ביוב'!$A$8:$J$72,10,0),0)</f>
        <v>3.3242823842343125</v>
      </c>
      <c r="S21" s="252">
        <f>+IFERROR(VLOOKUP(TRIM(C21&amp;"-"&amp;$S$2),'אגרות ביוב'!$A$8:$J$72,10,0),0)</f>
        <v>0</v>
      </c>
      <c r="T21" s="252">
        <f>+IFERROR(VLOOKUP(TRIM(C21&amp;"-"&amp;$T$2),'אגרות ביוב'!$A$8:$J$72,10,0),0)</f>
        <v>0</v>
      </c>
      <c r="U21" s="276" t="s">
        <v>381</v>
      </c>
      <c r="AD21" s="274" t="str">
        <f t="shared" si="3"/>
        <v>סביון</v>
      </c>
      <c r="AE21" s="251">
        <f t="shared" si="4"/>
        <v>1.3558843521890789</v>
      </c>
      <c r="AF21" s="252">
        <f t="shared" si="5"/>
        <v>1.7107726799263161</v>
      </c>
      <c r="AG21" s="274">
        <f t="shared" si="6"/>
        <v>1.24</v>
      </c>
      <c r="AH21" s="274">
        <f t="shared" si="6"/>
        <v>0.32</v>
      </c>
      <c r="AI21" s="251">
        <f t="shared" si="7"/>
        <v>1.934423291243665</v>
      </c>
    </row>
    <row r="22" spans="1:35" x14ac:dyDescent="0.2">
      <c r="A22" s="255">
        <v>22</v>
      </c>
      <c r="B22" s="55">
        <f t="shared" si="1"/>
        <v>3.2259261022506283</v>
      </c>
      <c r="C22" s="249" t="s">
        <v>20</v>
      </c>
      <c r="D22" s="55">
        <f t="shared" si="2"/>
        <v>2.4011482912436652</v>
      </c>
      <c r="E22" s="55">
        <f>'תעריף מים לכמות נוספת'!E22</f>
        <v>0.72809450879950022</v>
      </c>
      <c r="F22" s="55">
        <f>M22*'תחשיב הכרה בעלויות '!$C$22</f>
        <v>9.8416204850385908E-2</v>
      </c>
      <c r="G22" s="56">
        <f>'תחשיב הכרה בעלויות '!$M$30</f>
        <v>0.55879601295904968</v>
      </c>
      <c r="H22" s="56">
        <f>'תחשיב הכרה בעלויות '!$E$19</f>
        <v>0.38383298240508607</v>
      </c>
      <c r="I22" s="56">
        <f>'תחשיב הכרה בעלויות '!$I$19</f>
        <v>0.44094482860187678</v>
      </c>
      <c r="J22" s="56">
        <f>'תחשיב הכרה בעלויות '!$M$24</f>
        <v>0.85657249449949613</v>
      </c>
      <c r="K22" s="56">
        <f>מטש!F40</f>
        <v>1.0932750000000002</v>
      </c>
      <c r="L22" s="255"/>
      <c r="M22" s="272">
        <f t="shared" si="8"/>
        <v>6.5610803233590609</v>
      </c>
      <c r="P22" s="252">
        <f t="shared" si="9"/>
        <v>2.8040476799263159</v>
      </c>
      <c r="Q22" s="252"/>
      <c r="R22" s="251">
        <f>+IFERROR(VLOOKUP(TRIM(C22&amp;"-"&amp;$R$2),'אגרות ביוב'!$A$8:$J$72,10,0),0)</f>
        <v>2.7805114723392492</v>
      </c>
      <c r="S22" s="252">
        <f>+IFERROR(VLOOKUP(TRIM(C22&amp;"-"&amp;$S$2),'אגרות ביוב'!$A$8:$J$72,10,0),0)</f>
        <v>0</v>
      </c>
      <c r="T22" s="252">
        <f>+IFERROR(VLOOKUP(TRIM(C22&amp;"-"&amp;$T$2),'אגרות ביוב'!$A$8:$J$72,10,0),0)</f>
        <v>0</v>
      </c>
      <c r="Y22" s="250" t="s">
        <v>67</v>
      </c>
      <c r="Z22" s="250" t="s">
        <v>42</v>
      </c>
      <c r="AD22" s="274" t="str">
        <f t="shared" si="3"/>
        <v>עומר</v>
      </c>
      <c r="AE22" s="251">
        <f t="shared" si="4"/>
        <v>1.3558843521890789</v>
      </c>
      <c r="AF22" s="252">
        <f t="shared" si="5"/>
        <v>1.7107726799263161</v>
      </c>
      <c r="AG22" s="274">
        <f t="shared" si="6"/>
        <v>1.0932750000000002</v>
      </c>
      <c r="AH22" s="274">
        <f t="shared" si="6"/>
        <v>0</v>
      </c>
      <c r="AI22" s="251">
        <f t="shared" si="7"/>
        <v>2.4011482912436652</v>
      </c>
    </row>
    <row r="23" spans="1:35" x14ac:dyDescent="0.2">
      <c r="A23" s="255">
        <v>23</v>
      </c>
      <c r="B23" s="55">
        <f>M23-L23-K23-J23-G23-F23-E23</f>
        <v>2.2040875167855121</v>
      </c>
      <c r="C23" s="249" t="s">
        <v>411</v>
      </c>
      <c r="D23" s="55">
        <f>M23-L23-K23-J23-I23-H23-G23-F23-E23</f>
        <v>1.3793097057785491</v>
      </c>
      <c r="E23" s="55">
        <f>'תעריף מים לכמות נוספת'!E23</f>
        <v>0.72809450879950022</v>
      </c>
      <c r="F23" s="55">
        <f>M23*'תחשיב הכרה בעלויות '!$C$22</f>
        <v>9.8416204850385908E-2</v>
      </c>
      <c r="G23" s="56">
        <f>'תחשיב הכרה בעלויות '!$M$30</f>
        <v>0.55879601295904968</v>
      </c>
      <c r="H23" s="56">
        <f>'תחשיב הכרה בעלויות '!$E$19</f>
        <v>0.38383298240508607</v>
      </c>
      <c r="I23" s="56">
        <f>'תחשיב הכרה בעלויות '!$I$19</f>
        <v>0.44094482860187678</v>
      </c>
      <c r="J23" s="56">
        <f>'תחשיב הכרה בעלויות '!$M$24</f>
        <v>0.85657249449949613</v>
      </c>
      <c r="K23" s="56">
        <f>K29</f>
        <v>1.6592421000000002</v>
      </c>
      <c r="L23" s="55">
        <f>(1+0.4+0.2+0.6-K23)*145/(145.5+26.5)</f>
        <v>0.45587148546511591</v>
      </c>
      <c r="M23" s="272">
        <f t="shared" si="8"/>
        <v>6.5610803233590609</v>
      </c>
      <c r="P23" s="252">
        <f>J23+I23+K23+L23+(E23+F23)/2</f>
        <v>3.8258862653914321</v>
      </c>
      <c r="Q23" s="252"/>
      <c r="R23" s="251">
        <f>+IFERROR(VLOOKUP(TRIM(C23&amp;"-"&amp;$R$2),'אגרות ביוב'!$A$8:$J$72,10,0),0)</f>
        <v>2.868819496329567</v>
      </c>
      <c r="S23" s="252">
        <f>+IFERROR(VLOOKUP(TRIM(C23&amp;"-"&amp;$S$2),'אגרות ביוב'!$A$8:$J$72,10,0),0)</f>
        <v>0</v>
      </c>
      <c r="T23" s="252">
        <f>+IFERROR(VLOOKUP(TRIM(C23&amp;"-"&amp;$T$2),'אגרות ביוב'!$A$8:$J$72,10,0),0)</f>
        <v>0</v>
      </c>
      <c r="Y23" s="250" t="s">
        <v>38</v>
      </c>
      <c r="Z23" s="250" t="s">
        <v>54</v>
      </c>
      <c r="AD23" s="274" t="str">
        <f t="shared" si="3"/>
        <v>פרדס חנה-כרכור</v>
      </c>
      <c r="AE23" s="251">
        <f t="shared" si="4"/>
        <v>1.3558843521890789</v>
      </c>
      <c r="AF23" s="252">
        <f t="shared" si="5"/>
        <v>1.7107726799263161</v>
      </c>
      <c r="AG23" s="274">
        <f t="shared" si="6"/>
        <v>1.6592421000000002</v>
      </c>
      <c r="AH23" s="274">
        <f>L23</f>
        <v>0.45587148546511591</v>
      </c>
      <c r="AI23" s="251">
        <f t="shared" si="7"/>
        <v>1.3793097057785491</v>
      </c>
    </row>
    <row r="24" spans="1:35" x14ac:dyDescent="0.2">
      <c r="A24" s="255">
        <v>24</v>
      </c>
      <c r="B24" s="55">
        <f t="shared" si="1"/>
        <v>3.9378261022506282</v>
      </c>
      <c r="C24" s="249" t="s">
        <v>21</v>
      </c>
      <c r="D24" s="55">
        <f t="shared" si="2"/>
        <v>3.1130482912436652</v>
      </c>
      <c r="E24" s="55">
        <f>'תעריף מים לכמות נוספת'!E24</f>
        <v>0.72809450879950022</v>
      </c>
      <c r="F24" s="55">
        <f>M24*'תחשיב הכרה בעלויות '!$C$22</f>
        <v>9.8416204850385908E-2</v>
      </c>
      <c r="G24" s="56">
        <f>'תחשיב הכרה בעלויות '!$M$30</f>
        <v>0.55879601295904968</v>
      </c>
      <c r="H24" s="56">
        <f>'תחשיב הכרה בעלויות '!$E$19</f>
        <v>0.38383298240508607</v>
      </c>
      <c r="I24" s="56">
        <f>'תחשיב הכרה בעלויות '!$I$19</f>
        <v>0.44094482860187678</v>
      </c>
      <c r="J24" s="56">
        <f>'תחשיב הכרה בעלויות '!$M$24</f>
        <v>0.85657249449949613</v>
      </c>
      <c r="K24" s="56">
        <f>מטש!B40</f>
        <v>0.38137500000000002</v>
      </c>
      <c r="L24" s="255"/>
      <c r="M24" s="272">
        <f t="shared" si="8"/>
        <v>6.5610803233590609</v>
      </c>
      <c r="P24" s="252">
        <f t="shared" si="9"/>
        <v>2.0921476799263159</v>
      </c>
      <c r="Q24" s="252"/>
      <c r="R24" s="251">
        <f>+IFERROR(VLOOKUP(TRIM(C24&amp;"-"&amp;$R$2),'אגרות ביוב'!$A$8:$J$72,10,0),0)</f>
        <v>0</v>
      </c>
      <c r="S24" s="252">
        <f>+IFERROR(VLOOKUP(TRIM(C24&amp;"-"&amp;$S$2),'אגרות ביוב'!$A$8:$J$72,10,0),0)</f>
        <v>0</v>
      </c>
      <c r="T24" s="252">
        <f>+IFERROR(VLOOKUP(TRIM(C24&amp;"-"&amp;$T$2),'אגרות ביוב'!$A$8:$J$72,10,0),0)</f>
        <v>0</v>
      </c>
      <c r="X24" s="250" t="s">
        <v>69</v>
      </c>
      <c r="Y24" s="250" t="s">
        <v>68</v>
      </c>
      <c r="Z24" s="250" t="s">
        <v>42</v>
      </c>
      <c r="AD24" s="274" t="str">
        <f t="shared" si="3"/>
        <v>שדרות</v>
      </c>
      <c r="AE24" s="251">
        <f t="shared" si="4"/>
        <v>1.3558843521890789</v>
      </c>
      <c r="AF24" s="252">
        <f t="shared" si="5"/>
        <v>1.7107726799263161</v>
      </c>
      <c r="AG24" s="274">
        <f t="shared" si="6"/>
        <v>0.38137500000000002</v>
      </c>
      <c r="AH24" s="274">
        <f t="shared" si="6"/>
        <v>0</v>
      </c>
      <c r="AI24" s="251">
        <f t="shared" si="7"/>
        <v>3.1130482912436652</v>
      </c>
    </row>
    <row r="25" spans="1:35" x14ac:dyDescent="0.2">
      <c r="A25" s="255">
        <v>25</v>
      </c>
      <c r="B25" s="55">
        <f t="shared" si="1"/>
        <v>3.4462761022506281</v>
      </c>
      <c r="C25" s="249" t="s">
        <v>22</v>
      </c>
      <c r="D25" s="55">
        <f t="shared" si="2"/>
        <v>2.6214982912436651</v>
      </c>
      <c r="E25" s="55">
        <f>'תעריף מים לכמות נוספת'!E25</f>
        <v>0.72809450879950022</v>
      </c>
      <c r="F25" s="55">
        <f>M25*'תחשיב הכרה בעלויות '!$C$22</f>
        <v>9.8416204850385908E-2</v>
      </c>
      <c r="G25" s="56">
        <f>'תחשיב הכרה בעלויות '!$M$30</f>
        <v>0.55879601295904968</v>
      </c>
      <c r="H25" s="56">
        <f>'תחשיב הכרה בעלויות '!$E$19</f>
        <v>0.38383298240508607</v>
      </c>
      <c r="I25" s="56">
        <f>'תחשיב הכרה בעלויות '!$I$19</f>
        <v>0.44094482860187678</v>
      </c>
      <c r="J25" s="56">
        <f>'תחשיב הכרה בעלויות '!$M$24</f>
        <v>0.85657249449949613</v>
      </c>
      <c r="K25" s="56">
        <f>מטש!D40</f>
        <v>0.87292499999999995</v>
      </c>
      <c r="L25" s="255"/>
      <c r="M25" s="272">
        <f t="shared" si="8"/>
        <v>6.5610803233590609</v>
      </c>
      <c r="P25" s="252">
        <f t="shared" si="9"/>
        <v>2.583697679926316</v>
      </c>
      <c r="Q25" s="252"/>
      <c r="R25" s="251">
        <f>+IFERROR(VLOOKUP(TRIM(C25&amp;"-"&amp;$R$2),'אגרות ביוב'!$A$8:$J$72,10,0),0)</f>
        <v>0.97462849184807676</v>
      </c>
      <c r="S25" s="252">
        <f>+IFERROR(VLOOKUP(TRIM(C25&amp;"-"&amp;$S$2),'אגרות ביוב'!$A$8:$J$72,10,0),0)</f>
        <v>0</v>
      </c>
      <c r="T25" s="252">
        <f>+IFERROR(VLOOKUP(TRIM(C25&amp;"-"&amp;$T$2),'אגרות ביוב'!$A$8:$J$72,10,0),0)</f>
        <v>0</v>
      </c>
      <c r="AD25" s="274" t="str">
        <f t="shared" si="3"/>
        <v>מעיליא</v>
      </c>
      <c r="AE25" s="251">
        <f t="shared" si="4"/>
        <v>1.3558843521890789</v>
      </c>
      <c r="AF25" s="252">
        <f t="shared" si="5"/>
        <v>1.7107726799263161</v>
      </c>
      <c r="AG25" s="274">
        <f t="shared" si="6"/>
        <v>0.87292499999999995</v>
      </c>
      <c r="AH25" s="274">
        <f t="shared" si="6"/>
        <v>0</v>
      </c>
      <c r="AI25" s="251">
        <f t="shared" si="7"/>
        <v>2.6214982912436651</v>
      </c>
    </row>
    <row r="26" spans="1:35" x14ac:dyDescent="0.2">
      <c r="A26" s="255">
        <v>26</v>
      </c>
      <c r="B26" s="55">
        <f t="shared" si="1"/>
        <v>3.4462761022506281</v>
      </c>
      <c r="C26" s="249" t="s">
        <v>24</v>
      </c>
      <c r="D26" s="55">
        <f t="shared" si="2"/>
        <v>2.6214982912436651</v>
      </c>
      <c r="E26" s="55">
        <f>'תעריף מים לכמות נוספת'!E26</f>
        <v>0.72809450879950022</v>
      </c>
      <c r="F26" s="55">
        <f>M26*'תחשיב הכרה בעלויות '!$C$22</f>
        <v>9.8416204850385908E-2</v>
      </c>
      <c r="G26" s="56">
        <f>'תחשיב הכרה בעלויות '!$M$30</f>
        <v>0.55879601295904968</v>
      </c>
      <c r="H26" s="56">
        <f>'תחשיב הכרה בעלויות '!$E$19</f>
        <v>0.38383298240508607</v>
      </c>
      <c r="I26" s="56">
        <f>'תחשיב הכרה בעלויות '!$I$19</f>
        <v>0.44094482860187678</v>
      </c>
      <c r="J26" s="56">
        <f>'תחשיב הכרה בעלויות '!$M$24</f>
        <v>0.85657249449949613</v>
      </c>
      <c r="K26" s="56">
        <f>מטש!D40</f>
        <v>0.87292499999999995</v>
      </c>
      <c r="L26" s="255"/>
      <c r="M26" s="272">
        <f t="shared" si="8"/>
        <v>6.5610803233590609</v>
      </c>
      <c r="P26" s="252">
        <f t="shared" si="9"/>
        <v>2.583697679926316</v>
      </c>
      <c r="Q26" s="252"/>
      <c r="R26" s="251">
        <f>+IFERROR(VLOOKUP(TRIM(C26&amp;"-"&amp;$R$2),'אגרות ביוב'!$A$8:$J$72,10,0),0)</f>
        <v>2.0865660633936636</v>
      </c>
      <c r="S26" s="252">
        <f>+IFERROR(VLOOKUP(TRIM(C26&amp;"-"&amp;$S$2),'אגרות ביוב'!$A$8:$J$72,10,0),0)</f>
        <v>0</v>
      </c>
      <c r="T26" s="252">
        <f>+IFERROR(VLOOKUP(TRIM(C26&amp;"-"&amp;$T$2),'אגרות ביוב'!$A$8:$J$72,10,0),0)</f>
        <v>0</v>
      </c>
      <c r="X26" s="250" t="s">
        <v>70</v>
      </c>
      <c r="Y26" s="250" t="s">
        <v>60</v>
      </c>
      <c r="Z26" s="250" t="s">
        <v>58</v>
      </c>
      <c r="AD26" s="274" t="str">
        <f t="shared" si="3"/>
        <v>ראש פינה</v>
      </c>
      <c r="AE26" s="251">
        <f t="shared" si="4"/>
        <v>1.3558843521890789</v>
      </c>
      <c r="AF26" s="252">
        <f t="shared" si="5"/>
        <v>1.7107726799263161</v>
      </c>
      <c r="AG26" s="274">
        <f t="shared" si="6"/>
        <v>0.87292499999999995</v>
      </c>
      <c r="AH26" s="274">
        <f t="shared" si="6"/>
        <v>0</v>
      </c>
      <c r="AI26" s="251">
        <f t="shared" si="7"/>
        <v>2.6214982912436651</v>
      </c>
    </row>
    <row r="27" spans="1:35" x14ac:dyDescent="0.2">
      <c r="A27" s="255">
        <v>27</v>
      </c>
      <c r="B27" s="55">
        <f t="shared" si="1"/>
        <v>2.6599590022506283</v>
      </c>
      <c r="C27" s="249" t="s">
        <v>405</v>
      </c>
      <c r="D27" s="55">
        <f>M27-L27-K27-J27-I27-H27-G27-F27-E27</f>
        <v>1.8351811912436653</v>
      </c>
      <c r="E27" s="55">
        <f>'תעריף מים לכמות נוספת'!E27</f>
        <v>0.72809450879950022</v>
      </c>
      <c r="F27" s="55">
        <f>M27*'תחשיב הכרה בעלויות '!$C$22</f>
        <v>9.8416204850385908E-2</v>
      </c>
      <c r="G27" s="56">
        <f>'תחשיב הכרה בעלויות '!$M$30</f>
        <v>0.55879601295904968</v>
      </c>
      <c r="H27" s="56">
        <f>'תחשיב הכרה בעלויות '!$E$19</f>
        <v>0.38383298240508607</v>
      </c>
      <c r="I27" s="56">
        <f>'תחשיב הכרה בעלויות '!$I$19</f>
        <v>0.44094482860187678</v>
      </c>
      <c r="J27" s="56">
        <f>'תחשיב הכרה בעלויות '!$M$24</f>
        <v>0.85657249449949613</v>
      </c>
      <c r="K27" s="254">
        <f>K29</f>
        <v>1.6592421000000002</v>
      </c>
      <c r="L27" s="255"/>
      <c r="M27" s="272">
        <f t="shared" si="8"/>
        <v>6.5610803233590609</v>
      </c>
      <c r="P27" s="252">
        <f t="shared" si="9"/>
        <v>3.3700147799263158</v>
      </c>
      <c r="R27" s="251">
        <f>+IFERROR(VLOOKUP(TRIM(C27&amp;"-"&amp;$R$2),'אגרות ביוב'!$A$8:$J$72,10,0),0)</f>
        <v>2.4541020612835185</v>
      </c>
      <c r="S27" s="252">
        <f>+IFERROR(VLOOKUP(TRIM(C27&amp;"-"&amp;$S$2),'אגרות ביוב'!$A$8:$J$72,10,0),0)</f>
        <v>0</v>
      </c>
      <c r="T27" s="252">
        <f>+IFERROR(VLOOKUP(TRIM(C27&amp;"-"&amp;$T$2),'אגרות ביוב'!$A$8:$J$72,10,0),0)</f>
        <v>0.82218647738432615</v>
      </c>
      <c r="X27" s="250" t="str">
        <f>X5</f>
        <v xml:space="preserve">נתונים מגזבר אור עקיבא במייל </v>
      </c>
      <c r="Y27" s="250" t="s">
        <v>38</v>
      </c>
      <c r="Z27" s="250" t="s">
        <v>54</v>
      </c>
      <c r="AD27" s="274" t="str">
        <f t="shared" si="3"/>
        <v>ג'סר אל זרקא</v>
      </c>
      <c r="AE27" s="251">
        <f t="shared" si="4"/>
        <v>1.3558843521890789</v>
      </c>
      <c r="AF27" s="252">
        <f t="shared" si="5"/>
        <v>1.7107726799263161</v>
      </c>
      <c r="AG27" s="274">
        <f t="shared" si="6"/>
        <v>1.6592421000000002</v>
      </c>
      <c r="AH27" s="274">
        <f t="shared" si="6"/>
        <v>0</v>
      </c>
      <c r="AI27" s="251">
        <f t="shared" si="7"/>
        <v>1.8351811912436653</v>
      </c>
    </row>
    <row r="28" spans="1:35" x14ac:dyDescent="0.2">
      <c r="A28" s="255">
        <v>28</v>
      </c>
      <c r="B28" s="55">
        <f t="shared" si="1"/>
        <v>3.6412011022506285</v>
      </c>
      <c r="C28" s="249" t="s">
        <v>23</v>
      </c>
      <c r="D28" s="55">
        <f>M28-L28-K28-J28-I28-H28-G28-F28-E28</f>
        <v>2.8164232912436655</v>
      </c>
      <c r="E28" s="55">
        <f>'תעריף מים לכמות נוספת'!E28</f>
        <v>0.72809450879950022</v>
      </c>
      <c r="F28" s="55">
        <f>M28*'תחשיב הכרה בעלויות '!$C$22</f>
        <v>9.8416204850385908E-2</v>
      </c>
      <c r="G28" s="56">
        <f>'תחשיב הכרה בעלויות '!$M$30</f>
        <v>0.55879601295904968</v>
      </c>
      <c r="H28" s="56">
        <f>'תחשיב הכרה בעלויות '!$E$19</f>
        <v>0.38383298240508607</v>
      </c>
      <c r="I28" s="56">
        <f>'תחשיב הכרה בעלויות '!$I$19</f>
        <v>0.44094482860187678</v>
      </c>
      <c r="J28" s="56">
        <f>'תחשיב הכרה בעלויות '!$M$24</f>
        <v>0.85657249449949613</v>
      </c>
      <c r="K28" s="56">
        <f>מטש!E40</f>
        <v>0.67799999999999983</v>
      </c>
      <c r="L28" s="255"/>
      <c r="M28" s="272">
        <f t="shared" si="8"/>
        <v>6.5610803233590609</v>
      </c>
      <c r="P28" s="252">
        <f t="shared" si="9"/>
        <v>2.3887726799263156</v>
      </c>
      <c r="R28" s="251">
        <f>+IFERROR(VLOOKUP(TRIM(C28&amp;"-"&amp;$R$2),'אגרות ביוב'!$A$8:$J$72,10,0),0)</f>
        <v>1.06505900919592</v>
      </c>
      <c r="S28" s="252">
        <f>+IFERROR(VLOOKUP(TRIM(C28&amp;"-"&amp;$S$2),'אגרות ביוב'!$A$8:$J$72,10,0),0)</f>
        <v>0</v>
      </c>
      <c r="T28" s="252">
        <f>+IFERROR(VLOOKUP(TRIM(C28&amp;"-"&amp;$T$2),'אגרות ביוב'!$A$8:$J$72,10,0),0)</f>
        <v>0</v>
      </c>
      <c r="X28" s="250" t="s">
        <v>61</v>
      </c>
      <c r="AD28" s="274" t="str">
        <f t="shared" si="3"/>
        <v>קציר-חריש</v>
      </c>
      <c r="AE28" s="251">
        <f t="shared" si="4"/>
        <v>1.3558843521890789</v>
      </c>
      <c r="AF28" s="252">
        <f t="shared" si="5"/>
        <v>1.7107726799263161</v>
      </c>
      <c r="AG28" s="274">
        <f t="shared" si="6"/>
        <v>0.67799999999999983</v>
      </c>
      <c r="AH28" s="274">
        <f t="shared" si="6"/>
        <v>0</v>
      </c>
      <c r="AI28" s="251">
        <f t="shared" si="7"/>
        <v>2.8164232912436655</v>
      </c>
    </row>
    <row r="29" spans="1:35" x14ac:dyDescent="0.2">
      <c r="A29" s="255">
        <v>29</v>
      </c>
      <c r="B29" s="55">
        <f t="shared" si="1"/>
        <v>2.6599590022506283</v>
      </c>
      <c r="C29" s="249" t="s">
        <v>33</v>
      </c>
      <c r="D29" s="55">
        <f>M29-L29-K29-J29-I29-H29-G29-F29-E29</f>
        <v>1.8351811912436653</v>
      </c>
      <c r="E29" s="55">
        <f>'תעריף מים לכמות נוספת'!E29</f>
        <v>0.72809450879950022</v>
      </c>
      <c r="F29" s="55">
        <f>M29*'תחשיב הכרה בעלויות '!$C$22</f>
        <v>9.8416204850385908E-2</v>
      </c>
      <c r="G29" s="56">
        <f>'תחשיב הכרה בעלויות '!$M$30</f>
        <v>0.55879601295904968</v>
      </c>
      <c r="H29" s="56">
        <f>'תחשיב הכרה בעלויות '!$E$19</f>
        <v>0.38383298240508607</v>
      </c>
      <c r="I29" s="56">
        <f>'תחשיב הכרה בעלויות '!$I$19</f>
        <v>0.44094482860187678</v>
      </c>
      <c r="J29" s="56">
        <f>'תחשיב הכרה בעלויות '!$M$24</f>
        <v>0.85657249449949613</v>
      </c>
      <c r="K29" s="56">
        <f>'[2]מטשים 2015'!$K$56</f>
        <v>1.6592421000000002</v>
      </c>
      <c r="L29" s="255"/>
      <c r="M29" s="272">
        <f t="shared" si="8"/>
        <v>6.5610803233590609</v>
      </c>
      <c r="P29" s="252">
        <f t="shared" si="9"/>
        <v>3.3700147799263158</v>
      </c>
      <c r="R29" s="251">
        <f>+IFERROR(VLOOKUP(TRIM(C29&amp;"-"&amp;$R$2),'אגרות ביוב'!$A$8:$J$72,10,0),0)</f>
        <v>2.610678966511407</v>
      </c>
      <c r="S29" s="252">
        <f>+IFERROR(VLOOKUP(TRIM(C29&amp;"-"&amp;$S$2),'אגרות ביוב'!$A$8:$J$72,10,0),0)</f>
        <v>0</v>
      </c>
      <c r="T29" s="252">
        <f>+IFERROR(VLOOKUP(TRIM(C29&amp;"-"&amp;$T$2),'אגרות ביוב'!$A$8:$J$72,10,0),0)</f>
        <v>0</v>
      </c>
      <c r="U29" s="250">
        <f>1045/1643</f>
        <v>0.63603164942178936</v>
      </c>
      <c r="X29" s="250" t="s">
        <v>339</v>
      </c>
      <c r="Y29" s="250" t="s">
        <v>3</v>
      </c>
      <c r="Z29" s="250" t="s">
        <v>41</v>
      </c>
    </row>
    <row r="30" spans="1:35" x14ac:dyDescent="0.2">
      <c r="A30" s="248"/>
      <c r="C30" s="253" t="s">
        <v>431</v>
      </c>
      <c r="D30" s="55">
        <f>M30-L30-K30-J30-I30-H30-G30-F30-E30</f>
        <v>2.6062112995306372</v>
      </c>
      <c r="E30" s="55">
        <f>+E29</f>
        <v>0.72809450879950022</v>
      </c>
      <c r="F30" s="55">
        <f>+F29</f>
        <v>9.8416204850385908E-2</v>
      </c>
      <c r="G30" s="56">
        <f>'תחשיב הכרה בעלויות '!$M$30</f>
        <v>0.55879601295904968</v>
      </c>
      <c r="H30" s="56">
        <f>'תחשיב הכרה בעלויות '!$E$19</f>
        <v>0.38383298240508607</v>
      </c>
      <c r="I30" s="56">
        <f>'תחשיב הכרה בעלויות '!$I$19</f>
        <v>0.44094482860187678</v>
      </c>
      <c r="J30" s="56">
        <f>'תחשיב הכרה בעלויות '!$M$24</f>
        <v>0.85657249449949613</v>
      </c>
      <c r="K30" s="254">
        <f>+'[3]מטשים 2015'!$B$7</f>
        <v>0.88821199171302834</v>
      </c>
      <c r="M30" s="272">
        <f t="shared" si="8"/>
        <v>6.5610803233590609</v>
      </c>
      <c r="R30" s="251"/>
      <c r="S30" s="252"/>
      <c r="T30" s="252"/>
    </row>
    <row r="31" spans="1:35" hidden="1" x14ac:dyDescent="0.2">
      <c r="C31" s="249"/>
      <c r="D31" s="246"/>
      <c r="E31" s="246"/>
      <c r="F31" s="246"/>
      <c r="G31" s="247"/>
      <c r="H31" s="247"/>
      <c r="I31" s="247"/>
      <c r="J31" s="247"/>
      <c r="R31" s="251"/>
      <c r="S31" s="252"/>
      <c r="T31" s="252"/>
    </row>
    <row r="32" spans="1:35" hidden="1" x14ac:dyDescent="0.2">
      <c r="A32" s="250">
        <v>1</v>
      </c>
      <c r="C32" s="249" t="s">
        <v>6</v>
      </c>
      <c r="D32" s="251">
        <f t="shared" ref="D32:D40" si="10">M32-L32-K32-J32-I32-H32-G32-F32-E32</f>
        <v>6.5100450030862005</v>
      </c>
      <c r="E32" s="251">
        <f>'תחשיב הכרה בעלויות '!$C$14+'תחשיב הכרה בעלויות '!$J$14</f>
        <v>0.87303059279996109</v>
      </c>
      <c r="F32" s="251">
        <f>'תחשיב הכרה בעלויות '!$C$15+'תחשיב הכרה בעלויות '!$J$15</f>
        <v>0.15177808564833167</v>
      </c>
      <c r="G32" s="252">
        <f>'תחשיב הכרה בעלויות '!$M$30</f>
        <v>0.55879601295904968</v>
      </c>
      <c r="H32" s="252">
        <f>'תחשיב הכרה בעלויות '!$E$19</f>
        <v>0.38383298240508607</v>
      </c>
      <c r="I32" s="252">
        <f>'תחשיב הכרה בעלויות '!$I$19</f>
        <v>0.44094482860187678</v>
      </c>
      <c r="J32" s="252">
        <f>'תחשיב הכרה בעלויות '!$M$24</f>
        <v>0.85657249449949613</v>
      </c>
      <c r="K32" s="250">
        <v>1.2</v>
      </c>
      <c r="M32" s="257">
        <v>10.975</v>
      </c>
      <c r="R32" s="251">
        <f>+IFERROR(VLOOKUP(TRIM(C32&amp;"-"&amp;$R$2),'אגרות ביוב'!$A$8:$J$72,10,0),0)</f>
        <v>1.4729215091074577</v>
      </c>
      <c r="S32" s="252">
        <f>+IFERROR(VLOOKUP(TRIM(C32&amp;"-"&amp;$S$2),'אגרות ביוב'!$A$8:$J$72,10,0),0)</f>
        <v>1.011073239302577</v>
      </c>
      <c r="T32" s="252">
        <f>+IFERROR(VLOOKUP(TRIM(C32&amp;"-"&amp;$T$2),'אגרות ביוב'!$A$8:$J$72,10,0),0)</f>
        <v>0</v>
      </c>
      <c r="W32" s="250" t="s">
        <v>32</v>
      </c>
      <c r="Y32" s="250" t="s">
        <v>2</v>
      </c>
      <c r="Z32" s="250" t="s">
        <v>42</v>
      </c>
      <c r="AD32" s="255" t="s">
        <v>477</v>
      </c>
      <c r="AE32" s="255" t="s">
        <v>473</v>
      </c>
      <c r="AF32" s="255" t="s">
        <v>474</v>
      </c>
      <c r="AG32" s="255" t="s">
        <v>36</v>
      </c>
      <c r="AH32" s="255" t="s">
        <v>475</v>
      </c>
      <c r="AI32" s="255" t="s">
        <v>476</v>
      </c>
    </row>
    <row r="33" spans="1:35" hidden="1" x14ac:dyDescent="0.2">
      <c r="A33" s="250">
        <v>2</v>
      </c>
      <c r="C33" s="249" t="s">
        <v>7</v>
      </c>
      <c r="D33" s="251">
        <f t="shared" si="10"/>
        <v>7.7100450030861998</v>
      </c>
      <c r="E33" s="251">
        <f>'תחשיב הכרה בעלויות '!$C$14+'תחשיב הכרה בעלויות '!$J$14</f>
        <v>0.87303059279996109</v>
      </c>
      <c r="F33" s="251">
        <f>'תחשיב הכרה בעלויות '!$C$15+'תחשיב הכרה בעלויות '!$J$15</f>
        <v>0.15177808564833167</v>
      </c>
      <c r="G33" s="252">
        <f>'תחשיב הכרה בעלויות '!$M$30</f>
        <v>0.55879601295904968</v>
      </c>
      <c r="H33" s="252">
        <f>'תחשיב הכרה בעלויות '!$E$19</f>
        <v>0.38383298240508607</v>
      </c>
      <c r="I33" s="252">
        <f>'תחשיב הכרה בעלויות '!$I$19</f>
        <v>0.44094482860187678</v>
      </c>
      <c r="J33" s="252">
        <f>'תחשיב הכרה בעלויות '!$M$24</f>
        <v>0.85657249449949613</v>
      </c>
      <c r="M33" s="257">
        <v>10.975</v>
      </c>
      <c r="R33" s="251">
        <f>+IFERROR(VLOOKUP(TRIM(C33&amp;"-"&amp;$R$2),'אגרות ביוב'!$A$8:$J$72,10,0),0)</f>
        <v>0</v>
      </c>
      <c r="S33" s="252">
        <f>+IFERROR(VLOOKUP(TRIM(C33&amp;"-"&amp;$S$2),'אגרות ביוב'!$A$8:$J$72,10,0),0)</f>
        <v>0</v>
      </c>
      <c r="T33" s="252">
        <f>+IFERROR(VLOOKUP(TRIM(C33&amp;"-"&amp;$T$2),'אגרות ביוב'!$A$8:$J$72,10,0),0)</f>
        <v>0</v>
      </c>
      <c r="W33" s="250" t="s">
        <v>34</v>
      </c>
      <c r="AD33" s="254" t="str">
        <f t="shared" ref="AD33:AI33" si="11">AD3</f>
        <v>גבעת שמואל</v>
      </c>
      <c r="AE33" s="254">
        <f t="shared" si="11"/>
        <v>1.3558843521890789</v>
      </c>
      <c r="AF33" s="254">
        <f t="shared" si="11"/>
        <v>1.7107726799263161</v>
      </c>
      <c r="AG33" s="254">
        <f t="shared" si="11"/>
        <v>2.0556593554478284</v>
      </c>
      <c r="AH33" s="254">
        <f t="shared" si="11"/>
        <v>9.0318952348322865E-2</v>
      </c>
      <c r="AI33" s="254">
        <f t="shared" si="11"/>
        <v>1.3484449834475147</v>
      </c>
    </row>
    <row r="34" spans="1:35" hidden="1" x14ac:dyDescent="0.2">
      <c r="A34" s="250">
        <v>3</v>
      </c>
      <c r="C34" s="249" t="s">
        <v>410</v>
      </c>
      <c r="D34" s="251">
        <f t="shared" si="10"/>
        <v>6.5100450030862005</v>
      </c>
      <c r="E34" s="251">
        <f>'תחשיב הכרה בעלויות '!$C$14+'תחשיב הכרה בעלויות '!$J$14</f>
        <v>0.87303059279996109</v>
      </c>
      <c r="F34" s="251">
        <f>'תחשיב הכרה בעלויות '!$C$15+'תחשיב הכרה בעלויות '!$J$15</f>
        <v>0.15177808564833167</v>
      </c>
      <c r="G34" s="252">
        <f>'תחשיב הכרה בעלויות '!$M$30</f>
        <v>0.55879601295904968</v>
      </c>
      <c r="H34" s="252">
        <f>'תחשיב הכרה בעלויות '!$E$19</f>
        <v>0.38383298240508607</v>
      </c>
      <c r="I34" s="252">
        <f>'תחשיב הכרה בעלויות '!$I$19</f>
        <v>0.44094482860187678</v>
      </c>
      <c r="J34" s="252">
        <f>'תחשיב הכרה בעלויות '!$M$24</f>
        <v>0.85657249449949613</v>
      </c>
      <c r="K34" s="250">
        <v>1.2</v>
      </c>
      <c r="M34" s="257">
        <v>10.975</v>
      </c>
      <c r="R34" s="251">
        <f>+IFERROR(VLOOKUP(TRIM(C34&amp;"-"&amp;$R$2),'אגרות ביוב'!$A$8:$J$72,10,0),0)</f>
        <v>2.2685739869260892</v>
      </c>
      <c r="S34" s="252">
        <f>+IFERROR(VLOOKUP(TRIM(C34&amp;"-"&amp;$S$2),'אגרות ביוב'!$A$8:$J$72,10,0),0)</f>
        <v>0.91270015223345469</v>
      </c>
      <c r="T34" s="252">
        <f>+IFERROR(VLOOKUP(TRIM(C34&amp;"-"&amp;$T$2),'אגרות ביוב'!$A$8:$J$72,10,0),0)</f>
        <v>0</v>
      </c>
      <c r="W34" s="250" t="s">
        <v>35</v>
      </c>
      <c r="Y34" s="250" t="s">
        <v>2</v>
      </c>
      <c r="Z34" s="250" t="s">
        <v>42</v>
      </c>
      <c r="AD34" s="254" t="str">
        <f>AD19</f>
        <v>נהריה</v>
      </c>
      <c r="AE34" s="254">
        <f t="shared" ref="AE34:AI35" si="12">AE19</f>
        <v>1.3558843521890789</v>
      </c>
      <c r="AF34" s="254">
        <f t="shared" si="12"/>
        <v>1.7107726799263161</v>
      </c>
      <c r="AG34" s="254">
        <f t="shared" si="12"/>
        <v>1.0763249999999998</v>
      </c>
      <c r="AH34" s="254">
        <f t="shared" si="12"/>
        <v>0</v>
      </c>
      <c r="AI34" s="254">
        <f t="shared" si="12"/>
        <v>2.4180982912436657</v>
      </c>
    </row>
    <row r="35" spans="1:35" hidden="1" x14ac:dyDescent="0.2">
      <c r="A35" s="250">
        <v>4</v>
      </c>
      <c r="C35" s="249" t="s">
        <v>404</v>
      </c>
      <c r="D35" s="251">
        <f t="shared" si="10"/>
        <v>7.1100450030862001</v>
      </c>
      <c r="E35" s="251">
        <f>'תחשיב הכרה בעלויות '!$C$14+'תחשיב הכרה בעלויות '!$J$14</f>
        <v>0.87303059279996109</v>
      </c>
      <c r="F35" s="251">
        <f>'תחשיב הכרה בעלויות '!$C$15+'תחשיב הכרה בעלויות '!$J$15</f>
        <v>0.15177808564833167</v>
      </c>
      <c r="G35" s="252">
        <f>'תחשיב הכרה בעלויות '!$M$30</f>
        <v>0.55879601295904968</v>
      </c>
      <c r="H35" s="252">
        <f>'תחשיב הכרה בעלויות '!$E$19</f>
        <v>0.38383298240508607</v>
      </c>
      <c r="I35" s="252">
        <f>'תחשיב הכרה בעלויות '!$I$19</f>
        <v>0.44094482860187678</v>
      </c>
      <c r="J35" s="252">
        <f>'תחשיב הכרה בעלויות '!$M$24</f>
        <v>0.85657249449949613</v>
      </c>
      <c r="L35" s="250">
        <v>0.6</v>
      </c>
      <c r="M35" s="257">
        <v>10.975</v>
      </c>
      <c r="R35" s="251">
        <f>+IFERROR(VLOOKUP(TRIM(C35&amp;"-"&amp;$R$2),'אגרות ביוב'!$A$8:$J$72,10,0),0)</f>
        <v>1.0805431399717185</v>
      </c>
      <c r="S35" s="252">
        <f>+IFERROR(VLOOKUP(TRIM(C35&amp;"-"&amp;$S$2),'אגרות ביוב'!$A$8:$J$72,10,0),0)</f>
        <v>2.3598068574095001</v>
      </c>
      <c r="T35" s="252">
        <f>+IFERROR(VLOOKUP(TRIM(C35&amp;"-"&amp;$T$2),'אגרות ביוב'!$A$8:$J$72,10,0),0)</f>
        <v>1.6394447640950214</v>
      </c>
      <c r="V35" s="250">
        <f>3.531</f>
        <v>3.5310000000000001</v>
      </c>
      <c r="W35" s="250" t="s">
        <v>71</v>
      </c>
      <c r="X35" s="250" t="s">
        <v>46</v>
      </c>
      <c r="Y35" s="250" t="s">
        <v>0</v>
      </c>
      <c r="Z35" s="250" t="s">
        <v>0</v>
      </c>
      <c r="AD35" s="254" t="str">
        <f>AD20</f>
        <v>נשר</v>
      </c>
      <c r="AE35" s="254">
        <f t="shared" si="12"/>
        <v>1.3558843521890789</v>
      </c>
      <c r="AF35" s="254">
        <f t="shared" si="12"/>
        <v>1.7107726799263161</v>
      </c>
      <c r="AG35" s="254">
        <f t="shared" si="12"/>
        <v>1.5443826176475777</v>
      </c>
      <c r="AH35" s="254">
        <f t="shared" si="12"/>
        <v>0</v>
      </c>
      <c r="AI35" s="254">
        <f t="shared" si="12"/>
        <v>1.9500406735960873</v>
      </c>
    </row>
    <row r="36" spans="1:35" hidden="1" x14ac:dyDescent="0.2">
      <c r="A36" s="250">
        <v>5</v>
      </c>
      <c r="C36" s="249" t="s">
        <v>9</v>
      </c>
      <c r="D36" s="251">
        <f t="shared" si="10"/>
        <v>6.0600450030861985</v>
      </c>
      <c r="E36" s="251">
        <f>'תחשיב הכרה בעלויות '!$C$14+'תחשיב הכרה בעלויות '!$J$14</f>
        <v>0.87303059279996109</v>
      </c>
      <c r="F36" s="251">
        <f>'תחשיב הכרה בעלויות '!$C$15+'תחשיב הכרה בעלויות '!$J$15</f>
        <v>0.15177808564833167</v>
      </c>
      <c r="G36" s="252">
        <f>'תחשיב הכרה בעלויות '!$M$30</f>
        <v>0.55879601295904968</v>
      </c>
      <c r="H36" s="252">
        <f>'תחשיב הכרה בעלויות '!$E$19</f>
        <v>0.38383298240508607</v>
      </c>
      <c r="I36" s="252">
        <f>'תחשיב הכרה בעלויות '!$I$19</f>
        <v>0.44094482860187678</v>
      </c>
      <c r="J36" s="252">
        <f>'תחשיב הכרה בעלויות '!$M$24</f>
        <v>0.85657249449949613</v>
      </c>
      <c r="K36" s="250">
        <v>1.65</v>
      </c>
      <c r="M36" s="257">
        <v>10.975</v>
      </c>
      <c r="R36" s="251">
        <f>+IFERROR(VLOOKUP(TRIM(C36&amp;"-"&amp;$R$2),'אגרות ביוב'!$A$8:$J$72,10,0),0)</f>
        <v>1.4354743520962512</v>
      </c>
      <c r="S36" s="252">
        <f>+IFERROR(VLOOKUP(TRIM(C36&amp;"-"&amp;$S$2),'אגרות ביוב'!$A$8:$J$72,10,0),0)</f>
        <v>1.4354743520962512</v>
      </c>
      <c r="T36" s="252">
        <f>+IFERROR(VLOOKUP(TRIM(C36&amp;"-"&amp;$T$2),'אגרות ביוב'!$A$8:$J$72,10,0),0)</f>
        <v>0</v>
      </c>
      <c r="W36" s="250" t="s">
        <v>32</v>
      </c>
      <c r="Y36" s="250" t="s">
        <v>50</v>
      </c>
      <c r="Z36" s="250" t="s">
        <v>41</v>
      </c>
      <c r="AD36" s="254" t="str">
        <f>AD14</f>
        <v>שהם</v>
      </c>
      <c r="AE36" s="254">
        <f t="shared" ref="AE36:AI36" si="13">AE14</f>
        <v>1.3558843521890789</v>
      </c>
      <c r="AF36" s="254">
        <f t="shared" si="13"/>
        <v>1.7107726799263161</v>
      </c>
      <c r="AG36" s="254">
        <f t="shared" si="13"/>
        <v>1.1575</v>
      </c>
      <c r="AH36" s="254">
        <f t="shared" si="13"/>
        <v>0.37666666666666665</v>
      </c>
      <c r="AI36" s="254">
        <f t="shared" si="13"/>
        <v>1.9602566245769988</v>
      </c>
    </row>
    <row r="37" spans="1:35" hidden="1" x14ac:dyDescent="0.2">
      <c r="AD37" s="254" t="e">
        <f>#REF!</f>
        <v>#REF!</v>
      </c>
      <c r="AE37" s="254" t="e">
        <f>#REF!</f>
        <v>#REF!</v>
      </c>
      <c r="AF37" s="254" t="e">
        <f>#REF!</f>
        <v>#REF!</v>
      </c>
      <c r="AG37" s="254" t="e">
        <f>#REF!</f>
        <v>#REF!</v>
      </c>
      <c r="AH37" s="254" t="e">
        <f>#REF!</f>
        <v>#REF!</v>
      </c>
      <c r="AI37" s="254" t="e">
        <f>#REF!</f>
        <v>#REF!</v>
      </c>
    </row>
    <row r="38" spans="1:35" hidden="1" x14ac:dyDescent="0.2"/>
    <row r="39" spans="1:35" hidden="1" x14ac:dyDescent="0.2"/>
    <row r="40" spans="1:35" hidden="1" x14ac:dyDescent="0.2">
      <c r="A40" s="250">
        <v>9</v>
      </c>
      <c r="C40" s="249" t="s">
        <v>447</v>
      </c>
      <c r="D40" s="251">
        <f t="shared" si="10"/>
        <v>7.7100450030861998</v>
      </c>
      <c r="E40" s="251">
        <f>'תחשיב הכרה בעלויות '!$C$14+'תחשיב הכרה בעלויות '!$J$14</f>
        <v>0.87303059279996109</v>
      </c>
      <c r="F40" s="251">
        <f>'תחשיב הכרה בעלויות '!$C$15+'תחשיב הכרה בעלויות '!$J$15</f>
        <v>0.15177808564833167</v>
      </c>
      <c r="G40" s="252">
        <f>'תחשיב הכרה בעלויות '!$M$30</f>
        <v>0.55879601295904968</v>
      </c>
      <c r="H40" s="252">
        <f>'תחשיב הכרה בעלויות '!$E$19</f>
        <v>0.38383298240508607</v>
      </c>
      <c r="I40" s="252">
        <f>'תחשיב הכרה בעלויות '!$I$19</f>
        <v>0.44094482860187678</v>
      </c>
      <c r="J40" s="252">
        <f>'תחשיב הכרה בעלויות '!$M$24</f>
        <v>0.85657249449949613</v>
      </c>
      <c r="M40" s="257">
        <v>10.975</v>
      </c>
      <c r="R40" s="251">
        <f>+IFERROR(VLOOKUP(TRIM(C40&amp;"-"&amp;$R$2),'אגרות ביוב'!$A$8:$J$72,10,0),0)</f>
        <v>0</v>
      </c>
      <c r="S40" s="252">
        <f>+IFERROR(VLOOKUP(TRIM(C40&amp;"-"&amp;$S$2),'אגרות ביוב'!$A$8:$J$72,10,0),0)</f>
        <v>0</v>
      </c>
      <c r="T40" s="252">
        <f>+IFERROR(VLOOKUP(TRIM(C40&amp;"-"&amp;$T$2),'אגרות ביוב'!$A$8:$J$72,10,0),0)</f>
        <v>0</v>
      </c>
    </row>
    <row r="41" spans="1:35" hidden="1" x14ac:dyDescent="0.2"/>
    <row r="42" spans="1:35" hidden="1" x14ac:dyDescent="0.2"/>
    <row r="43" spans="1:35" hidden="1" x14ac:dyDescent="0.2"/>
    <row r="44" spans="1:35" hidden="1" x14ac:dyDescent="0.2"/>
    <row r="45" spans="1:35" x14ac:dyDescent="0.2">
      <c r="K45" s="250">
        <f>2.2*0.75</f>
        <v>1.6500000000000001</v>
      </c>
    </row>
  </sheetData>
  <mergeCells count="1">
    <mergeCell ref="R1:T1"/>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44"/>
  <sheetViews>
    <sheetView rightToLeft="1" workbookViewId="0">
      <pane xSplit="3" ySplit="2" topLeftCell="D14" activePane="bottomRight" state="frozen"/>
      <selection pane="topRight" activeCell="C1" sqref="C1"/>
      <selection pane="bottomLeft" activeCell="A3" sqref="A3"/>
      <selection pane="bottomRight" activeCell="D29" sqref="D29"/>
    </sheetView>
  </sheetViews>
  <sheetFormatPr defaultRowHeight="12.75" x14ac:dyDescent="0.2"/>
  <cols>
    <col min="1" max="1" width="9.140625" style="250"/>
    <col min="2" max="2" width="18.28515625" style="250" customWidth="1"/>
    <col min="3" max="3" width="18.7109375" style="250" bestFit="1" customWidth="1"/>
    <col min="4" max="4" width="18.5703125" style="250" customWidth="1"/>
    <col min="5" max="6" width="11.7109375" style="250" customWidth="1"/>
    <col min="7" max="7" width="12.28515625" style="250" customWidth="1"/>
    <col min="8" max="8" width="10.7109375" style="250" customWidth="1"/>
    <col min="9" max="9" width="8.42578125" style="250" customWidth="1"/>
    <col min="10" max="10" width="11" style="250" customWidth="1"/>
    <col min="11" max="11" width="9.5703125" style="250" customWidth="1"/>
    <col min="12" max="12" width="11.42578125" style="250" customWidth="1"/>
    <col min="13" max="13" width="16.42578125" style="257" customWidth="1"/>
    <col min="14" max="20" width="9.140625" style="250" customWidth="1"/>
    <col min="21" max="21" width="13" style="250" hidden="1" customWidth="1"/>
    <col min="22" max="22" width="18.5703125" style="250" hidden="1" customWidth="1"/>
    <col min="23" max="23" width="39" style="250" hidden="1" customWidth="1"/>
    <col min="24" max="24" width="39.140625" style="250" hidden="1" customWidth="1"/>
    <col min="25" max="25" width="11.7109375" style="250" hidden="1" customWidth="1"/>
    <col min="26" max="29" width="9.140625" style="250" hidden="1" customWidth="1"/>
    <col min="30" max="30" width="14.140625" style="250" hidden="1" customWidth="1"/>
    <col min="31" max="34" width="9.140625" style="250" hidden="1" customWidth="1"/>
    <col min="35" max="35" width="17.42578125" style="250" hidden="1" customWidth="1"/>
    <col min="36" max="36" width="12.7109375" style="250" hidden="1" customWidth="1"/>
    <col min="37" max="37" width="15" style="250" hidden="1" customWidth="1"/>
    <col min="38" max="38" width="15" style="259" hidden="1" customWidth="1"/>
    <col min="39" max="39" width="0" style="250" hidden="1" customWidth="1"/>
    <col min="40" max="40" width="14.28515625" style="250" hidden="1" customWidth="1"/>
    <col min="41" max="43" width="0" style="250" hidden="1" customWidth="1"/>
    <col min="44" max="44" width="12.140625" style="250" hidden="1" customWidth="1"/>
    <col min="45" max="45" width="0" style="261" hidden="1" customWidth="1"/>
    <col min="46" max="47" width="0" style="250" hidden="1" customWidth="1"/>
    <col min="48" max="48" width="0" style="261" hidden="1" customWidth="1"/>
    <col min="49" max="49" width="21.140625" style="261" hidden="1" customWidth="1"/>
    <col min="50" max="50" width="17.42578125" style="250" hidden="1" customWidth="1"/>
    <col min="51" max="16384" width="9.140625" style="250"/>
  </cols>
  <sheetData>
    <row r="1" spans="1:50" ht="13.5" thickBot="1" x14ac:dyDescent="0.25">
      <c r="R1" s="309" t="s">
        <v>454</v>
      </c>
      <c r="S1" s="309"/>
      <c r="T1" s="309"/>
      <c r="AI1" s="250" t="s">
        <v>489</v>
      </c>
      <c r="AJ1" s="250">
        <v>4.8849999999999998</v>
      </c>
      <c r="AK1" s="250" t="s">
        <v>490</v>
      </c>
      <c r="AM1" s="250">
        <v>9.5589999999999993</v>
      </c>
      <c r="AR1" s="276"/>
    </row>
    <row r="2" spans="1:50" ht="114.75" x14ac:dyDescent="0.2">
      <c r="A2" s="267" t="s">
        <v>374</v>
      </c>
      <c r="B2" s="268" t="s">
        <v>472</v>
      </c>
      <c r="C2" s="269" t="s">
        <v>29</v>
      </c>
      <c r="D2" s="270" t="s">
        <v>31</v>
      </c>
      <c r="E2" s="270" t="s">
        <v>348</v>
      </c>
      <c r="F2" s="270" t="s">
        <v>349</v>
      </c>
      <c r="G2" s="270" t="s">
        <v>344</v>
      </c>
      <c r="H2" s="270" t="s">
        <v>347</v>
      </c>
      <c r="I2" s="270" t="s">
        <v>346</v>
      </c>
      <c r="J2" s="270" t="s">
        <v>345</v>
      </c>
      <c r="K2" s="271" t="s">
        <v>36</v>
      </c>
      <c r="L2" s="271" t="s">
        <v>372</v>
      </c>
      <c r="M2" s="272" t="s">
        <v>30</v>
      </c>
      <c r="P2" s="273" t="s">
        <v>478</v>
      </c>
      <c r="Q2" s="273" t="s">
        <v>453</v>
      </c>
      <c r="R2" s="147" t="s">
        <v>401</v>
      </c>
      <c r="S2" s="89" t="s">
        <v>36</v>
      </c>
      <c r="T2" s="89" t="s">
        <v>402</v>
      </c>
      <c r="U2" s="250" t="s">
        <v>338</v>
      </c>
      <c r="V2" s="250" t="s">
        <v>49</v>
      </c>
      <c r="W2" s="250" t="s">
        <v>44</v>
      </c>
      <c r="X2" s="250" t="s">
        <v>45</v>
      </c>
      <c r="Y2" s="250" t="s">
        <v>36</v>
      </c>
      <c r="Z2" s="250" t="s">
        <v>40</v>
      </c>
      <c r="AD2" s="250" t="s">
        <v>477</v>
      </c>
      <c r="AE2" s="250" t="s">
        <v>473</v>
      </c>
      <c r="AF2" s="250" t="s">
        <v>474</v>
      </c>
      <c r="AG2" s="250" t="s">
        <v>36</v>
      </c>
      <c r="AH2" s="250" t="s">
        <v>475</v>
      </c>
      <c r="AI2" s="250" t="s">
        <v>476</v>
      </c>
      <c r="AJ2" s="273" t="s">
        <v>488</v>
      </c>
      <c r="AK2" s="273" t="s">
        <v>492</v>
      </c>
      <c r="AL2" s="286" t="s">
        <v>493</v>
      </c>
      <c r="AM2" s="287" t="s">
        <v>497</v>
      </c>
      <c r="AN2" s="273" t="s">
        <v>491</v>
      </c>
      <c r="AO2" s="273" t="s">
        <v>494</v>
      </c>
      <c r="AP2" s="287" t="s">
        <v>495</v>
      </c>
      <c r="AQ2" s="287" t="s">
        <v>504</v>
      </c>
      <c r="AR2" s="287" t="s">
        <v>496</v>
      </c>
      <c r="AS2" s="288" t="s">
        <v>502</v>
      </c>
      <c r="AT2" s="273" t="s">
        <v>503</v>
      </c>
      <c r="AV2" s="264" t="s">
        <v>498</v>
      </c>
      <c r="AW2" s="262"/>
    </row>
    <row r="3" spans="1:50" ht="25.5" x14ac:dyDescent="0.2">
      <c r="A3" s="255">
        <v>1</v>
      </c>
      <c r="B3" s="55">
        <f>M3-L3-K3-J3-G3-F3-E3</f>
        <v>6.111908801652949</v>
      </c>
      <c r="C3" s="254" t="s">
        <v>421</v>
      </c>
      <c r="D3" s="55">
        <f>M3-L3-K3-J3-I3-H3-G3-F3-E3</f>
        <v>5.287130990645986</v>
      </c>
      <c r="E3" s="55">
        <f>(M3-F3)*'תחשיב הכרה בעלויות '!$C$21</f>
        <v>0.72809450879950022</v>
      </c>
      <c r="F3" s="55">
        <f>M3*'תחשיב הכרה בעלויות '!$C$22</f>
        <v>0.15839619480772302</v>
      </c>
      <c r="G3" s="56">
        <f>'תחשיב הכרה בעלויות '!$M$30</f>
        <v>0.55879601295904968</v>
      </c>
      <c r="H3" s="56">
        <f>'תחשיב הכרה בעלויות '!$E$19</f>
        <v>0.38383298240508607</v>
      </c>
      <c r="I3" s="56">
        <f>'תחשיב הכרה בעלויות '!$I$19</f>
        <v>0.44094482860187678</v>
      </c>
      <c r="J3" s="56">
        <f>'תחשיב הכרה בעלויות '!$M$24</f>
        <v>0.85657249449949613</v>
      </c>
      <c r="K3" s="254">
        <f>'תעריף כמות מוכרת'!K3</f>
        <v>2.0556593554478284</v>
      </c>
      <c r="L3" s="254">
        <f>150*1000/'כמויות 2013'!H220</f>
        <v>9.0318952348322865E-2</v>
      </c>
      <c r="M3" s="272">
        <f>+'[1]גיליון סימולציה לתעריפי 2016'!$F$39</f>
        <v>10.559746320514869</v>
      </c>
      <c r="P3" s="252">
        <f>J3+I3+K3+L3</f>
        <v>3.443495630897524</v>
      </c>
      <c r="Q3" s="252"/>
      <c r="R3" s="251">
        <f>+IFERROR(VLOOKUP(TRIM(C3&amp;"-"&amp;$R$2),'אגרות ביוב'!$A$8:$J$72,10,0),0)</f>
        <v>2.5179916422430919</v>
      </c>
      <c r="S3" s="252">
        <f>+IFERROR(VLOOKUP(TRIM(C3&amp;"-"&amp;$S$2),'אגרות ביוב'!$A$8:$J$72,10,0),0)</f>
        <v>0</v>
      </c>
      <c r="T3" s="252">
        <f>+IFERROR(VLOOKUP(TRIM(C3&amp;"-"&amp;$T$2),'אגרות ביוב'!$A$8:$J$72,10,0),0)</f>
        <v>0</v>
      </c>
      <c r="V3" s="250">
        <f>3.703</f>
        <v>3.7029999999999998</v>
      </c>
      <c r="W3" s="273" t="s">
        <v>341</v>
      </c>
      <c r="X3" s="250" t="s">
        <v>48</v>
      </c>
      <c r="Y3" s="250" t="s">
        <v>0</v>
      </c>
      <c r="Z3" s="250" t="s">
        <v>0</v>
      </c>
      <c r="AD3" s="274" t="str">
        <f>C3</f>
        <v>גבעת שמואל</v>
      </c>
      <c r="AE3" s="251">
        <f>E3/2+F3/2+G3+H3</f>
        <v>1.3858743471677475</v>
      </c>
      <c r="AF3" s="252">
        <f>E3/2+F3/2+I3+J3</f>
        <v>1.7407626749049845</v>
      </c>
      <c r="AG3" s="274">
        <f>K3</f>
        <v>2.0556593554478284</v>
      </c>
      <c r="AH3" s="274">
        <f>L3</f>
        <v>9.0318952348322865E-2</v>
      </c>
      <c r="AI3" s="251">
        <f>D3</f>
        <v>5.287130990645986</v>
      </c>
      <c r="AJ3" s="251">
        <f>R3+T3+S3+$AJ$1</f>
        <v>7.4029916422430917</v>
      </c>
      <c r="AK3" s="250">
        <v>7.9660000000000002</v>
      </c>
      <c r="AL3" s="289">
        <f t="shared" ref="AL3:AL29" si="0">IF(R3+S3+T3=0,"E",AK3-AJ3)</f>
        <v>0.5630083577569085</v>
      </c>
      <c r="AM3" s="251">
        <f>R3+T3+S3+$AM$1</f>
        <v>12.07699164224309</v>
      </c>
      <c r="AN3" s="250">
        <v>12.821</v>
      </c>
      <c r="AO3" s="289">
        <f t="shared" ref="AO3:AO29" si="1">IF(R3+T3+S3=0,"E",AN3-AM3)</f>
        <v>0.74400835775690943</v>
      </c>
      <c r="AP3" s="251">
        <f>'[4]תעריף רכישה רשויות '!D3</f>
        <v>4.1663862526374897</v>
      </c>
      <c r="AQ3" s="251">
        <f>AP3+$AM$1</f>
        <v>13.725386252637488</v>
      </c>
      <c r="AR3" s="251">
        <f>IF(($AM$1+AP3)&gt;AN3,AN3,$AM$1+AP3)</f>
        <v>12.821</v>
      </c>
      <c r="AS3" s="263">
        <f>IF(R3+T3+S3=0,"E",AR3-AM3)</f>
        <v>0.74400835775690943</v>
      </c>
      <c r="AT3" s="251">
        <f>AN3-AR3+AS3</f>
        <v>0.74400835775690943</v>
      </c>
      <c r="AV3" s="263">
        <v>3.36</v>
      </c>
      <c r="AW3" s="265" t="s">
        <v>499</v>
      </c>
    </row>
    <row r="4" spans="1:50" x14ac:dyDescent="0.2">
      <c r="A4" s="255">
        <v>2</v>
      </c>
      <c r="B4" s="55">
        <f t="shared" ref="B4:B30" si="2">M4-L4-K4-J4-G4-F4-E4</f>
        <v>7.3849621094490994</v>
      </c>
      <c r="C4" s="275" t="s">
        <v>1</v>
      </c>
      <c r="D4" s="55">
        <f t="shared" ref="D4:D26" si="3">M4-L4-K4-J4-I4-H4-G4-F4-E4</f>
        <v>6.5601842984421381</v>
      </c>
      <c r="E4" s="55">
        <f>(M4-F4)*'תחשיב הכרה בעלויות '!$C$21</f>
        <v>0.72809450879950022</v>
      </c>
      <c r="F4" s="55">
        <f>M4*'תחשיב הכרה בעלויות '!$C$22</f>
        <v>0.15839619480772302</v>
      </c>
      <c r="G4" s="56">
        <f>'תחשיב הכרה בעלויות '!$M$30</f>
        <v>0.55879601295904968</v>
      </c>
      <c r="H4" s="56">
        <f>'תחשיב הכרה בעלויות '!$E$19</f>
        <v>0.38383298240508607</v>
      </c>
      <c r="I4" s="56">
        <f>'תחשיב הכרה בעלויות '!$I$19</f>
        <v>0.44094482860187678</v>
      </c>
      <c r="J4" s="56">
        <f>'תחשיב הכרה בעלויות '!$M$24</f>
        <v>0.85657249449949613</v>
      </c>
      <c r="K4" s="254">
        <f>'תעריף כמות מוכרת'!K4</f>
        <v>0.87292499999999995</v>
      </c>
      <c r="L4" s="255"/>
      <c r="M4" s="272">
        <f>M3</f>
        <v>10.559746320514869</v>
      </c>
      <c r="P4" s="252">
        <f t="shared" ref="P4:P26" si="4">J4+I4+K4+L4</f>
        <v>2.1704423231013728</v>
      </c>
      <c r="Q4" s="252"/>
      <c r="R4" s="251">
        <f>+IFERROR(VLOOKUP(TRIM(C4&amp;"-"&amp;$R$2),'אגרות ביוב'!$A$8:$J$72,10,0),0)</f>
        <v>1.602924405560441</v>
      </c>
      <c r="S4" s="252">
        <f>+IFERROR(VLOOKUP(TRIM(C4&amp;"-"&amp;$S$2),'אגרות ביוב'!$A$8:$J$72,10,0),0)</f>
        <v>0</v>
      </c>
      <c r="T4" s="252">
        <f>+IFERROR(VLOOKUP(TRIM(C4&amp;"-"&amp;$T$2),'אגרות ביוב'!$A$8:$J$72,10,0),0)</f>
        <v>0</v>
      </c>
      <c r="Y4" s="250" t="s">
        <v>37</v>
      </c>
      <c r="Z4" s="250" t="s">
        <v>41</v>
      </c>
      <c r="AD4" s="274" t="str">
        <f t="shared" ref="AD4:AD28" si="5">C4</f>
        <v>בית שאן</v>
      </c>
      <c r="AE4" s="251">
        <f t="shared" ref="AE4:AE28" si="6">E4/2+F4/2+G4+H4</f>
        <v>1.3858743471677475</v>
      </c>
      <c r="AF4" s="252">
        <f t="shared" ref="AF4:AF28" si="7">E4/2+F4/2+I4+J4</f>
        <v>1.7407626749049845</v>
      </c>
      <c r="AG4" s="274">
        <f t="shared" ref="AG4:AG28" si="8">K4</f>
        <v>0.87292499999999995</v>
      </c>
      <c r="AH4" s="274">
        <f t="shared" ref="AH4:AH28" si="9">L4</f>
        <v>0</v>
      </c>
      <c r="AI4" s="251">
        <f t="shared" ref="AI4:AI28" si="10">D4</f>
        <v>6.5601842984421381</v>
      </c>
      <c r="AJ4" s="251">
        <f t="shared" ref="AJ4:AJ28" si="11">R4+T4+S4+$AJ$1</f>
        <v>6.4879244055604408</v>
      </c>
      <c r="AK4" s="250">
        <v>7.9660000000000002</v>
      </c>
      <c r="AL4" s="289">
        <f t="shared" si="0"/>
        <v>1.4780755944395594</v>
      </c>
      <c r="AM4" s="251">
        <f t="shared" ref="AM4:AM29" si="12">R4+T4+S4+$AM$1</f>
        <v>11.161924405560441</v>
      </c>
      <c r="AN4" s="250">
        <v>12.821</v>
      </c>
      <c r="AO4" s="289">
        <f t="shared" si="1"/>
        <v>1.6590755944395585</v>
      </c>
      <c r="AP4" s="251">
        <f>'[4]תעריף רכישה רשויות '!D4</f>
        <v>2.5404134671765464</v>
      </c>
      <c r="AQ4" s="251">
        <f t="shared" ref="AQ4:AQ29" si="13">AP4+$AM$1</f>
        <v>12.099413467176547</v>
      </c>
      <c r="AR4" s="251">
        <f t="shared" ref="AR4:AR29" si="14">IF(($AM$1+AP4)&gt;AN4,AN4,$AM$1+AP4)</f>
        <v>12.099413467176547</v>
      </c>
      <c r="AS4" s="263">
        <f t="shared" ref="AS4:AS29" si="15">IF(R4+T4+S4=0,"E",AR4-AM4)</f>
        <v>0.93748906161610535</v>
      </c>
      <c r="AT4" s="251">
        <f t="shared" ref="AT4:AT29" si="16">AN4-AR4+AS4</f>
        <v>1.6590755944395585</v>
      </c>
      <c r="AV4" s="263"/>
      <c r="AW4" s="263"/>
      <c r="AX4" s="251">
        <f t="shared" ref="AX4:AX16" si="17">+AR4-AM4</f>
        <v>0.93748906161610535</v>
      </c>
    </row>
    <row r="5" spans="1:50" x14ac:dyDescent="0.2">
      <c r="A5" s="255">
        <v>3</v>
      </c>
      <c r="B5" s="55">
        <f t="shared" si="2"/>
        <v>6.5986450094491005</v>
      </c>
      <c r="C5" s="275" t="s">
        <v>418</v>
      </c>
      <c r="D5" s="55">
        <f t="shared" si="3"/>
        <v>5.7738671984421375</v>
      </c>
      <c r="E5" s="55">
        <f>(M5-F5)*'תחשיב הכרה בעלויות '!$C$21</f>
        <v>0.72809450879950022</v>
      </c>
      <c r="F5" s="55">
        <f>M5*'תחשיב הכרה בעלויות '!$C$22</f>
        <v>0.15839619480772302</v>
      </c>
      <c r="G5" s="56">
        <f>'תחשיב הכרה בעלויות '!$M$30</f>
        <v>0.55879601295904968</v>
      </c>
      <c r="H5" s="56">
        <f>'תחשיב הכרה בעלויות '!$E$19</f>
        <v>0.38383298240508607</v>
      </c>
      <c r="I5" s="56">
        <f>'תחשיב הכרה בעלויות '!$I$19</f>
        <v>0.44094482860187678</v>
      </c>
      <c r="J5" s="56">
        <f>'תחשיב הכרה בעלויות '!$M$24</f>
        <v>0.85657249449949613</v>
      </c>
      <c r="K5" s="254">
        <f>'תעריף כמות מוכרת'!K5</f>
        <v>1.6592421000000002</v>
      </c>
      <c r="L5" s="255"/>
      <c r="M5" s="272">
        <f t="shared" ref="M5:M44" si="18">M4</f>
        <v>10.559746320514869</v>
      </c>
      <c r="P5" s="252">
        <f t="shared" si="4"/>
        <v>2.956759423101373</v>
      </c>
      <c r="Q5" s="252"/>
      <c r="R5" s="251">
        <f>+IFERROR(VLOOKUP(TRIM(C5&amp;"-"&amp;$R$2),'אגרות ביוב'!$A$8:$J$72,10,0),0)</f>
        <v>2.6831401346794044</v>
      </c>
      <c r="S5" s="252">
        <f>+IFERROR(VLOOKUP(TRIM(C5&amp;"-"&amp;$S$2),'אגרות ביוב'!$A$8:$J$72,10,0),0)</f>
        <v>0</v>
      </c>
      <c r="T5" s="252">
        <f>+IFERROR(VLOOKUP(TRIM(C5&amp;"-"&amp;$T$2),'אגרות ביוב'!$A$8:$J$72,10,0),0)</f>
        <v>0</v>
      </c>
      <c r="X5" s="250" t="s">
        <v>339</v>
      </c>
      <c r="Y5" s="250" t="s">
        <v>38</v>
      </c>
      <c r="Z5" s="250" t="s">
        <v>41</v>
      </c>
      <c r="AD5" s="274" t="str">
        <f t="shared" si="5"/>
        <v>בנימינה- גבעת עדה</v>
      </c>
      <c r="AE5" s="251">
        <f t="shared" si="6"/>
        <v>1.3858743471677475</v>
      </c>
      <c r="AF5" s="252">
        <f t="shared" si="7"/>
        <v>1.7407626749049845</v>
      </c>
      <c r="AG5" s="274">
        <f t="shared" si="8"/>
        <v>1.6592421000000002</v>
      </c>
      <c r="AH5" s="274">
        <f t="shared" si="9"/>
        <v>0</v>
      </c>
      <c r="AI5" s="251">
        <f t="shared" si="10"/>
        <v>5.7738671984421375</v>
      </c>
      <c r="AJ5" s="251">
        <f t="shared" si="11"/>
        <v>7.5681401346794042</v>
      </c>
      <c r="AK5" s="250">
        <v>7.9660000000000002</v>
      </c>
      <c r="AL5" s="289">
        <f t="shared" si="0"/>
        <v>0.39785986532059603</v>
      </c>
      <c r="AM5" s="251">
        <f t="shared" si="12"/>
        <v>12.242140134679403</v>
      </c>
      <c r="AN5" s="250">
        <v>12.821</v>
      </c>
      <c r="AO5" s="289">
        <f t="shared" si="1"/>
        <v>0.57885986532059697</v>
      </c>
      <c r="AP5" s="251">
        <f>'[4]תעריף רכישה רשויות '!D5</f>
        <v>3.2126728587072328</v>
      </c>
      <c r="AQ5" s="251">
        <f t="shared" si="13"/>
        <v>12.771672858707232</v>
      </c>
      <c r="AR5" s="251">
        <f t="shared" si="14"/>
        <v>12.771672858707232</v>
      </c>
      <c r="AS5" s="263">
        <f t="shared" si="15"/>
        <v>0.52953272402782936</v>
      </c>
      <c r="AT5" s="251">
        <f t="shared" si="16"/>
        <v>0.57885986532059697</v>
      </c>
      <c r="AV5" s="263"/>
      <c r="AW5" s="263"/>
      <c r="AX5" s="251">
        <f t="shared" si="17"/>
        <v>0.52953272402782936</v>
      </c>
    </row>
    <row r="6" spans="1:50" x14ac:dyDescent="0.2">
      <c r="A6" s="255">
        <v>4</v>
      </c>
      <c r="B6" s="55">
        <f t="shared" si="2"/>
        <v>7.2303871094491008</v>
      </c>
      <c r="C6" s="275" t="s">
        <v>373</v>
      </c>
      <c r="D6" s="55">
        <f t="shared" si="3"/>
        <v>6.4056092984421378</v>
      </c>
      <c r="E6" s="55">
        <f>(M6-F6)*'תחשיב הכרה בעלויות '!$C$21</f>
        <v>0.72809450879950022</v>
      </c>
      <c r="F6" s="55">
        <f>M6*'תחשיב הכרה בעלויות '!$C$22</f>
        <v>0.15839619480772302</v>
      </c>
      <c r="G6" s="56">
        <f>'תחשיב הכרה בעלויות '!$M$30</f>
        <v>0.55879601295904968</v>
      </c>
      <c r="H6" s="56">
        <f>'תחשיב הכרה בעלויות '!$E$19</f>
        <v>0.38383298240508607</v>
      </c>
      <c r="I6" s="56">
        <f>'תחשיב הכרה בעלויות '!$I$19</f>
        <v>0.44094482860187678</v>
      </c>
      <c r="J6" s="56">
        <f>'תחשיב הכרה בעלויות '!$M$24</f>
        <v>0.85657249449949613</v>
      </c>
      <c r="K6" s="254">
        <f>'תעריף כמות מוכרת'!K6</f>
        <v>1.0275000000000001</v>
      </c>
      <c r="L6" s="255"/>
      <c r="M6" s="272">
        <f t="shared" si="18"/>
        <v>10.559746320514869</v>
      </c>
      <c r="P6" s="252">
        <f t="shared" si="4"/>
        <v>2.3250173231013731</v>
      </c>
      <c r="Q6" s="252"/>
      <c r="R6" s="251">
        <f>+IFERROR(VLOOKUP(TRIM(C6&amp;"-"&amp;$R$2),'אגרות ביוב'!$A$8:$J$72,10,0),0)</f>
        <v>0</v>
      </c>
      <c r="S6" s="252">
        <f>+IFERROR(VLOOKUP(TRIM(C6&amp;"-"&amp;$S$2),'אגרות ביוב'!$A$8:$J$72,10,0),0)</f>
        <v>0</v>
      </c>
      <c r="T6" s="252">
        <f>+IFERROR(VLOOKUP(TRIM(C6&amp;"-"&amp;$T$2),'אגרות ביוב'!$A$8:$J$72,10,0),0)</f>
        <v>0</v>
      </c>
      <c r="Y6" s="250" t="s">
        <v>55</v>
      </c>
      <c r="Z6" s="250" t="s">
        <v>41</v>
      </c>
      <c r="AD6" s="274" t="str">
        <f t="shared" si="5"/>
        <v>פרדיס</v>
      </c>
      <c r="AE6" s="251">
        <f t="shared" si="6"/>
        <v>1.3858743471677475</v>
      </c>
      <c r="AF6" s="252">
        <f t="shared" si="7"/>
        <v>1.7407626749049845</v>
      </c>
      <c r="AG6" s="274">
        <f t="shared" si="8"/>
        <v>1.0275000000000001</v>
      </c>
      <c r="AH6" s="274">
        <f t="shared" si="9"/>
        <v>0</v>
      </c>
      <c r="AI6" s="251">
        <f t="shared" si="10"/>
        <v>6.4056092984421378</v>
      </c>
      <c r="AJ6" s="251">
        <f t="shared" si="11"/>
        <v>4.8849999999999998</v>
      </c>
      <c r="AK6" s="250">
        <v>7.9660000000000002</v>
      </c>
      <c r="AL6" s="289" t="str">
        <f t="shared" si="0"/>
        <v>E</v>
      </c>
      <c r="AM6" s="251">
        <f>R6+T6+S6+$AM$1</f>
        <v>9.5589999999999993</v>
      </c>
      <c r="AN6" s="250">
        <v>12.821</v>
      </c>
      <c r="AO6" s="289" t="str">
        <f t="shared" si="1"/>
        <v>E</v>
      </c>
      <c r="AP6" s="251">
        <f>'[4]תעריף רכישה רשויות '!D6</f>
        <v>2.4753708930812457</v>
      </c>
      <c r="AQ6" s="251">
        <f t="shared" si="13"/>
        <v>12.034370893081245</v>
      </c>
      <c r="AR6" s="251">
        <f t="shared" si="14"/>
        <v>12.034370893081245</v>
      </c>
      <c r="AS6" s="263" t="str">
        <f t="shared" si="15"/>
        <v>E</v>
      </c>
      <c r="AT6" s="251" t="e">
        <f t="shared" si="16"/>
        <v>#VALUE!</v>
      </c>
      <c r="AV6" s="263"/>
      <c r="AW6" s="263"/>
      <c r="AX6" s="251">
        <f t="shared" si="17"/>
        <v>2.4753708930812461</v>
      </c>
    </row>
    <row r="7" spans="1:50" x14ac:dyDescent="0.2">
      <c r="A7" s="255">
        <v>5</v>
      </c>
      <c r="B7" s="55">
        <f t="shared" si="2"/>
        <v>7.3849621094490994</v>
      </c>
      <c r="C7" s="249" t="s">
        <v>310</v>
      </c>
      <c r="D7" s="55">
        <f t="shared" si="3"/>
        <v>6.5601842984421381</v>
      </c>
      <c r="E7" s="55">
        <f>(M7-F7)*'תחשיב הכרה בעלויות '!$C$21</f>
        <v>0.72809450879950022</v>
      </c>
      <c r="F7" s="55">
        <f>M7*'תחשיב הכרה בעלויות '!$C$22</f>
        <v>0.15839619480772302</v>
      </c>
      <c r="G7" s="56">
        <f>'תחשיב הכרה בעלויות '!$M$30</f>
        <v>0.55879601295904968</v>
      </c>
      <c r="H7" s="56">
        <f>'תחשיב הכרה בעלויות '!$E$19</f>
        <v>0.38383298240508607</v>
      </c>
      <c r="I7" s="56">
        <f>'תחשיב הכרה בעלויות '!$I$19</f>
        <v>0.44094482860187678</v>
      </c>
      <c r="J7" s="56">
        <f>'תחשיב הכרה בעלויות '!$M$24</f>
        <v>0.85657249449949613</v>
      </c>
      <c r="K7" s="254">
        <f>'תעריף כמות מוכרת'!K7</f>
        <v>0.87292499999999995</v>
      </c>
      <c r="L7" s="255"/>
      <c r="M7" s="272">
        <f t="shared" si="18"/>
        <v>10.559746320514869</v>
      </c>
      <c r="P7" s="252">
        <f t="shared" si="4"/>
        <v>2.1704423231013728</v>
      </c>
      <c r="Q7" s="252"/>
      <c r="R7" s="251">
        <f>1.1*מדדים!G69/מדדים!K61</f>
        <v>1.3675701740492616</v>
      </c>
      <c r="S7" s="252">
        <f>0.46*מדדים!G69/מדדים!K61</f>
        <v>0.5718929818751457</v>
      </c>
      <c r="T7" s="252">
        <f>+IFERROR(VLOOKUP(TRIM(C7&amp;"-"&amp;$T$2),'אגרות ביוב'!$A$8:$J$72,10,0),0)</f>
        <v>0</v>
      </c>
      <c r="Y7" s="250" t="s">
        <v>39</v>
      </c>
      <c r="Z7" s="250" t="s">
        <v>41</v>
      </c>
      <c r="AD7" s="274" t="str">
        <f t="shared" si="5"/>
        <v>דלית אל כרמל</v>
      </c>
      <c r="AE7" s="251">
        <f t="shared" si="6"/>
        <v>1.3858743471677475</v>
      </c>
      <c r="AF7" s="252">
        <f t="shared" si="7"/>
        <v>1.7407626749049845</v>
      </c>
      <c r="AG7" s="274">
        <f t="shared" si="8"/>
        <v>0.87292499999999995</v>
      </c>
      <c r="AH7" s="274">
        <f t="shared" si="9"/>
        <v>0</v>
      </c>
      <c r="AI7" s="251">
        <f t="shared" si="10"/>
        <v>6.5601842984421381</v>
      </c>
      <c r="AJ7" s="251">
        <f t="shared" si="11"/>
        <v>6.8244631559244073</v>
      </c>
      <c r="AK7" s="250">
        <v>7.9660000000000002</v>
      </c>
      <c r="AL7" s="289">
        <f t="shared" si="0"/>
        <v>1.1415368440755929</v>
      </c>
      <c r="AM7" s="251">
        <f t="shared" si="12"/>
        <v>11.498463155924407</v>
      </c>
      <c r="AN7" s="250">
        <v>12.821</v>
      </c>
      <c r="AO7" s="289">
        <f t="shared" si="1"/>
        <v>1.3225368440755929</v>
      </c>
      <c r="AP7" s="251">
        <f>'[4]תעריף רכישה רשויות '!D7</f>
        <v>2.5404134671765464</v>
      </c>
      <c r="AQ7" s="251">
        <f t="shared" si="13"/>
        <v>12.099413467176547</v>
      </c>
      <c r="AR7" s="251">
        <f t="shared" si="14"/>
        <v>12.099413467176547</v>
      </c>
      <c r="AS7" s="263">
        <f t="shared" si="15"/>
        <v>0.60095031125213971</v>
      </c>
      <c r="AT7" s="251">
        <f t="shared" si="16"/>
        <v>1.3225368440755929</v>
      </c>
      <c r="AV7" s="263"/>
      <c r="AW7" s="263"/>
      <c r="AX7" s="251">
        <f t="shared" si="17"/>
        <v>0.60095031125213971</v>
      </c>
    </row>
    <row r="8" spans="1:50" x14ac:dyDescent="0.2">
      <c r="A8" s="255">
        <v>6</v>
      </c>
      <c r="B8" s="55">
        <f t="shared" si="2"/>
        <v>7.3849621094490994</v>
      </c>
      <c r="C8" s="249" t="s">
        <v>446</v>
      </c>
      <c r="D8" s="55">
        <f t="shared" si="3"/>
        <v>6.5601842984421381</v>
      </c>
      <c r="E8" s="55">
        <f>(M8-F8)*'תחשיב הכרה בעלויות '!$C$21</f>
        <v>0.72809450879950022</v>
      </c>
      <c r="F8" s="55">
        <f>M8*'תחשיב הכרה בעלויות '!$C$22</f>
        <v>0.15839619480772302</v>
      </c>
      <c r="G8" s="56">
        <f>'תחשיב הכרה בעלויות '!$M$30</f>
        <v>0.55879601295904968</v>
      </c>
      <c r="H8" s="56">
        <f>'תחשיב הכרה בעלויות '!$E$19</f>
        <v>0.38383298240508607</v>
      </c>
      <c r="I8" s="56">
        <f>'תחשיב הכרה בעלויות '!$I$19</f>
        <v>0.44094482860187678</v>
      </c>
      <c r="J8" s="56">
        <f>'תחשיב הכרה בעלויות '!$M$24</f>
        <v>0.85657249449949613</v>
      </c>
      <c r="K8" s="254">
        <f>'תעריף כמות מוכרת'!K8</f>
        <v>0.87292499999999995</v>
      </c>
      <c r="L8" s="255"/>
      <c r="M8" s="272">
        <f t="shared" si="18"/>
        <v>10.559746320514869</v>
      </c>
      <c r="P8" s="252">
        <f t="shared" si="4"/>
        <v>2.1704423231013728</v>
      </c>
      <c r="Q8" s="252"/>
      <c r="R8" s="251">
        <f>+IFERROR(VLOOKUP(TRIM(C8&amp;"-"&amp;$R$2),'אגרות ביוב'!$A$8:$J$72,10,0),0)</f>
        <v>0</v>
      </c>
      <c r="S8" s="252">
        <f>+IFERROR(VLOOKUP(TRIM(C8&amp;"-"&amp;$S$2),'אגרות ביוב'!$A$8:$J$72,10,0),0)</f>
        <v>0</v>
      </c>
      <c r="T8" s="252">
        <f>+IFERROR(VLOOKUP(TRIM(C8&amp;"-"&amp;$T$2),'אגרות ביוב'!$A$8:$J$72,10,0),0)</f>
        <v>0</v>
      </c>
      <c r="Y8" s="250" t="s">
        <v>39</v>
      </c>
      <c r="Z8" s="250" t="s">
        <v>41</v>
      </c>
      <c r="AD8" s="274" t="str">
        <f t="shared" si="5"/>
        <v>עספייה</v>
      </c>
      <c r="AE8" s="251">
        <f t="shared" si="6"/>
        <v>1.3858743471677475</v>
      </c>
      <c r="AF8" s="252">
        <f t="shared" si="7"/>
        <v>1.7407626749049845</v>
      </c>
      <c r="AG8" s="274">
        <f t="shared" si="8"/>
        <v>0.87292499999999995</v>
      </c>
      <c r="AH8" s="274">
        <f t="shared" si="9"/>
        <v>0</v>
      </c>
      <c r="AI8" s="251">
        <f t="shared" si="10"/>
        <v>6.5601842984421381</v>
      </c>
      <c r="AJ8" s="251">
        <f t="shared" si="11"/>
        <v>4.8849999999999998</v>
      </c>
      <c r="AK8" s="250">
        <v>7.9660000000000002</v>
      </c>
      <c r="AL8" s="289" t="str">
        <f t="shared" si="0"/>
        <v>E</v>
      </c>
      <c r="AM8" s="251">
        <f t="shared" si="12"/>
        <v>9.5589999999999993</v>
      </c>
      <c r="AN8" s="250">
        <v>12.821</v>
      </c>
      <c r="AO8" s="289" t="str">
        <f t="shared" si="1"/>
        <v>E</v>
      </c>
      <c r="AP8" s="251">
        <f>'[4]תעריף רכישה רשויות '!D8</f>
        <v>2.5404134671765464</v>
      </c>
      <c r="AQ8" s="251">
        <f t="shared" si="13"/>
        <v>12.099413467176547</v>
      </c>
      <c r="AR8" s="251">
        <f t="shared" si="14"/>
        <v>12.099413467176547</v>
      </c>
      <c r="AS8" s="263" t="str">
        <f t="shared" si="15"/>
        <v>E</v>
      </c>
      <c r="AT8" s="251" t="e">
        <f t="shared" si="16"/>
        <v>#VALUE!</v>
      </c>
      <c r="AV8" s="263"/>
      <c r="AW8" s="263"/>
      <c r="AX8" s="251">
        <f t="shared" si="17"/>
        <v>2.5404134671765473</v>
      </c>
    </row>
    <row r="9" spans="1:50" x14ac:dyDescent="0.2">
      <c r="A9" s="255">
        <v>7</v>
      </c>
      <c r="B9" s="55">
        <f t="shared" si="2"/>
        <v>6.5968871094491011</v>
      </c>
      <c r="C9" s="249" t="s">
        <v>429</v>
      </c>
      <c r="D9" s="55">
        <f t="shared" si="3"/>
        <v>5.772109298442138</v>
      </c>
      <c r="E9" s="55">
        <f>(M9-F9)*'תחשיב הכרה בעלויות '!$C$21</f>
        <v>0.72809450879950022</v>
      </c>
      <c r="F9" s="55">
        <f>M9*'תחשיב הכרה בעלויות '!$C$22</f>
        <v>0.15839619480772302</v>
      </c>
      <c r="G9" s="56">
        <f>'תחשיב הכרה בעלויות '!$M$30</f>
        <v>0.55879601295904968</v>
      </c>
      <c r="H9" s="56">
        <f>'תחשיב הכרה בעלויות '!$E$19</f>
        <v>0.38383298240508607</v>
      </c>
      <c r="I9" s="56">
        <f>'תחשיב הכרה בעלויות '!$I$19</f>
        <v>0.44094482860187678</v>
      </c>
      <c r="J9" s="56">
        <f>'תחשיב הכרה בעלויות '!$M$24</f>
        <v>0.85657249449949613</v>
      </c>
      <c r="K9" s="254">
        <f>'תעריף כמות מוכרת'!K9</f>
        <v>1.661</v>
      </c>
      <c r="L9" s="255"/>
      <c r="M9" s="272">
        <f t="shared" si="18"/>
        <v>10.559746320514869</v>
      </c>
      <c r="P9" s="252">
        <f t="shared" si="4"/>
        <v>2.9585173231013728</v>
      </c>
      <c r="Q9" s="252"/>
      <c r="R9" s="251">
        <f>+IFERROR(VLOOKUP(TRIM(C9&amp;"-"&amp;$R$2),'אגרות ביוב'!$A$8:$J$72,10,0),0)</f>
        <v>1.9090752539421796</v>
      </c>
      <c r="S9" s="252">
        <f>+IFERROR(VLOOKUP(TRIM(C9&amp;"-"&amp;$S$2),'אגרות ביוב'!$A$8:$J$72,10,0),0)</f>
        <v>0</v>
      </c>
      <c r="T9" s="252">
        <f>+IFERROR(VLOOKUP(TRIM(C9&amp;"-"&amp;$T$2),'אגרות ביוב'!$A$8:$J$72,10,0),0)</f>
        <v>0</v>
      </c>
      <c r="Y9" s="250" t="s">
        <v>39</v>
      </c>
      <c r="Z9" s="250" t="s">
        <v>43</v>
      </c>
      <c r="AD9" s="274" t="str">
        <f t="shared" si="5"/>
        <v>טירת כרמל</v>
      </c>
      <c r="AE9" s="251">
        <f t="shared" si="6"/>
        <v>1.3858743471677475</v>
      </c>
      <c r="AF9" s="252">
        <f t="shared" si="7"/>
        <v>1.7407626749049845</v>
      </c>
      <c r="AG9" s="274">
        <f t="shared" si="8"/>
        <v>1.661</v>
      </c>
      <c r="AH9" s="274">
        <f t="shared" si="9"/>
        <v>0</v>
      </c>
      <c r="AI9" s="251">
        <f t="shared" si="10"/>
        <v>5.772109298442138</v>
      </c>
      <c r="AJ9" s="251">
        <f t="shared" si="11"/>
        <v>6.7940752539421796</v>
      </c>
      <c r="AK9" s="250">
        <v>7.9660000000000002</v>
      </c>
      <c r="AL9" s="289">
        <f t="shared" si="0"/>
        <v>1.1719247460578206</v>
      </c>
      <c r="AM9" s="251">
        <f t="shared" si="12"/>
        <v>11.468075253942178</v>
      </c>
      <c r="AN9" s="250">
        <v>12.821</v>
      </c>
      <c r="AO9" s="289">
        <f t="shared" si="1"/>
        <v>1.3529247460578215</v>
      </c>
      <c r="AP9" s="251">
        <f>'[4]תעריף רכישה רשויות '!D9</f>
        <v>2.5404134671765464</v>
      </c>
      <c r="AQ9" s="251">
        <f t="shared" si="13"/>
        <v>12.099413467176547</v>
      </c>
      <c r="AR9" s="251">
        <f t="shared" si="14"/>
        <v>12.099413467176547</v>
      </c>
      <c r="AS9" s="263">
        <f t="shared" si="15"/>
        <v>0.63133821323436834</v>
      </c>
      <c r="AT9" s="251">
        <f t="shared" si="16"/>
        <v>1.3529247460578215</v>
      </c>
      <c r="AV9" s="263"/>
      <c r="AW9" s="263"/>
      <c r="AX9" s="251">
        <f t="shared" si="17"/>
        <v>0.63133821323436834</v>
      </c>
    </row>
    <row r="10" spans="1:50" x14ac:dyDescent="0.2">
      <c r="A10" s="255">
        <v>8</v>
      </c>
      <c r="B10" s="55">
        <f t="shared" si="2"/>
        <v>7.8765121094490995</v>
      </c>
      <c r="C10" s="249" t="s">
        <v>8</v>
      </c>
      <c r="D10" s="55">
        <f t="shared" si="3"/>
        <v>7.0517342984421383</v>
      </c>
      <c r="E10" s="55">
        <f>(M10-F10)*'תחשיב הכרה בעלויות '!$C$21</f>
        <v>0.72809450879950022</v>
      </c>
      <c r="F10" s="55">
        <f>M10*'תחשיב הכרה בעלויות '!$C$22</f>
        <v>0.15839619480772302</v>
      </c>
      <c r="G10" s="56">
        <f>'תחשיב הכרה בעלויות '!$M$30</f>
        <v>0.55879601295904968</v>
      </c>
      <c r="H10" s="56">
        <f>'תחשיב הכרה בעלויות '!$E$19</f>
        <v>0.38383298240508607</v>
      </c>
      <c r="I10" s="56">
        <f>'תחשיב הכרה בעלויות '!$I$19</f>
        <v>0.44094482860187678</v>
      </c>
      <c r="J10" s="56">
        <f>'תחשיב הכרה בעלויות '!$M$24</f>
        <v>0.85657249449949613</v>
      </c>
      <c r="K10" s="254">
        <f>'תעריף כמות מוכרת'!K10</f>
        <v>0.38137500000000002</v>
      </c>
      <c r="L10" s="255"/>
      <c r="M10" s="272">
        <f t="shared" si="18"/>
        <v>10.559746320514869</v>
      </c>
      <c r="P10" s="252">
        <f t="shared" si="4"/>
        <v>1.6788923231013728</v>
      </c>
      <c r="Q10" s="252"/>
      <c r="R10" s="251">
        <f>+IFERROR(VLOOKUP(TRIM(C10&amp;"-"&amp;$R$2),'אגרות ביוב'!$A$8:$J$72,10,0),0)</f>
        <v>0</v>
      </c>
      <c r="S10" s="252">
        <f>+IFERROR(VLOOKUP(TRIM(C10&amp;"-"&amp;$S$2),'אגרות ביוב'!$A$8:$J$72,10,0),0)</f>
        <v>0</v>
      </c>
      <c r="T10" s="252">
        <f>+IFERROR(VLOOKUP(TRIM(C10&amp;"-"&amp;$T$2),'אגרות ביוב'!$A$8:$J$72,10,0),0)</f>
        <v>0</v>
      </c>
      <c r="AD10" s="274" t="str">
        <f t="shared" si="5"/>
        <v>קלנסואה</v>
      </c>
      <c r="AE10" s="251">
        <f t="shared" si="6"/>
        <v>1.3858743471677475</v>
      </c>
      <c r="AF10" s="252">
        <f t="shared" si="7"/>
        <v>1.7407626749049845</v>
      </c>
      <c r="AG10" s="274">
        <f t="shared" si="8"/>
        <v>0.38137500000000002</v>
      </c>
      <c r="AH10" s="274">
        <f t="shared" si="9"/>
        <v>0</v>
      </c>
      <c r="AI10" s="251">
        <f t="shared" si="10"/>
        <v>7.0517342984421383</v>
      </c>
      <c r="AJ10" s="251">
        <f t="shared" si="11"/>
        <v>4.8849999999999998</v>
      </c>
      <c r="AK10" s="250">
        <v>7.9660000000000002</v>
      </c>
      <c r="AL10" s="289" t="str">
        <f t="shared" si="0"/>
        <v>E</v>
      </c>
      <c r="AM10" s="251">
        <f t="shared" si="12"/>
        <v>9.5589999999999993</v>
      </c>
      <c r="AN10" s="250">
        <v>12.821</v>
      </c>
      <c r="AO10" s="289" t="str">
        <f t="shared" si="1"/>
        <v>E</v>
      </c>
      <c r="AP10" s="251">
        <f>'[4]תעריף רכישה רשויות '!D10</f>
        <v>1.9125945708280938</v>
      </c>
      <c r="AQ10" s="251">
        <f t="shared" si="13"/>
        <v>11.471594570828094</v>
      </c>
      <c r="AR10" s="251">
        <f t="shared" si="14"/>
        <v>11.471594570828094</v>
      </c>
      <c r="AS10" s="263" t="str">
        <f t="shared" si="15"/>
        <v>E</v>
      </c>
      <c r="AT10" s="251" t="e">
        <f t="shared" si="16"/>
        <v>#VALUE!</v>
      </c>
      <c r="AV10" s="263"/>
      <c r="AW10" s="263"/>
      <c r="AX10" s="251">
        <f t="shared" si="17"/>
        <v>1.9125945708280945</v>
      </c>
    </row>
    <row r="11" spans="1:50" x14ac:dyDescent="0.2">
      <c r="A11" s="255">
        <v>9</v>
      </c>
      <c r="B11" s="55">
        <f t="shared" si="2"/>
        <v>6.5968871094491011</v>
      </c>
      <c r="C11" s="249" t="s">
        <v>51</v>
      </c>
      <c r="D11" s="55">
        <f t="shared" si="3"/>
        <v>5.772109298442138</v>
      </c>
      <c r="E11" s="55">
        <f>(M11-F11)*'תחשיב הכרה בעלויות '!$C$21</f>
        <v>0.72809450879950022</v>
      </c>
      <c r="F11" s="55">
        <f>M11*'תחשיב הכרה בעלויות '!$C$22</f>
        <v>0.15839619480772302</v>
      </c>
      <c r="G11" s="56">
        <f>'תחשיב הכרה בעלויות '!$M$30</f>
        <v>0.55879601295904968</v>
      </c>
      <c r="H11" s="56">
        <f>'תחשיב הכרה בעלויות '!$E$19</f>
        <v>0.38383298240508607</v>
      </c>
      <c r="I11" s="56">
        <f>'תחשיב הכרה בעלויות '!$I$19</f>
        <v>0.44094482860187678</v>
      </c>
      <c r="J11" s="56">
        <f>'תחשיב הכרה בעלויות '!$M$24</f>
        <v>0.85657249449949613</v>
      </c>
      <c r="K11" s="254">
        <f>'תעריף כמות מוכרת'!K11</f>
        <v>1.661</v>
      </c>
      <c r="L11" s="255"/>
      <c r="M11" s="272">
        <f t="shared" si="18"/>
        <v>10.559746320514869</v>
      </c>
      <c r="P11" s="252">
        <f t="shared" si="4"/>
        <v>2.9585173231013728</v>
      </c>
      <c r="Q11" s="252"/>
      <c r="R11" s="251">
        <f>+IFERROR(VLOOKUP(TRIM(C11&amp;"-"&amp;$R$2),'אגרות ביוב'!$A$8:$J$72,10,0),0)</f>
        <v>2.1591072493824059</v>
      </c>
      <c r="S11" s="252">
        <f>+IFERROR(VLOOKUP(TRIM(C11&amp;"-"&amp;$S$2),'אגרות ביוב'!$A$8:$J$72,10,0),0)</f>
        <v>0</v>
      </c>
      <c r="T11" s="252">
        <f>+IFERROR(VLOOKUP(TRIM(C11&amp;"-"&amp;$T$2),'אגרות ביוב'!$A$8:$J$72,10,0),0)</f>
        <v>0</v>
      </c>
      <c r="V11" s="250">
        <v>3.028</v>
      </c>
      <c r="W11" s="250" t="s">
        <v>72</v>
      </c>
      <c r="X11" s="250" t="s">
        <v>47</v>
      </c>
      <c r="Y11" s="250" t="s">
        <v>4</v>
      </c>
      <c r="Z11" s="250" t="s">
        <v>41</v>
      </c>
      <c r="AD11" s="274" t="str">
        <f t="shared" si="5"/>
        <v>קריית יערים</v>
      </c>
      <c r="AE11" s="251">
        <f t="shared" si="6"/>
        <v>1.3858743471677475</v>
      </c>
      <c r="AF11" s="252">
        <f t="shared" si="7"/>
        <v>1.7407626749049845</v>
      </c>
      <c r="AG11" s="274">
        <f t="shared" si="8"/>
        <v>1.661</v>
      </c>
      <c r="AH11" s="274">
        <f t="shared" si="9"/>
        <v>0</v>
      </c>
      <c r="AI11" s="251">
        <f t="shared" si="10"/>
        <v>5.772109298442138</v>
      </c>
      <c r="AJ11" s="251">
        <f t="shared" si="11"/>
        <v>7.0441072493824057</v>
      </c>
      <c r="AK11" s="250">
        <v>7.9660000000000002</v>
      </c>
      <c r="AL11" s="289">
        <f t="shared" si="0"/>
        <v>0.92189275061759446</v>
      </c>
      <c r="AM11" s="251">
        <f t="shared" si="12"/>
        <v>11.718107249382406</v>
      </c>
      <c r="AN11" s="250">
        <v>12.821</v>
      </c>
      <c r="AO11" s="289">
        <f t="shared" si="1"/>
        <v>1.1028927506175936</v>
      </c>
      <c r="AP11" s="251">
        <f>'[4]תעריף רכישה רשויות '!D11</f>
        <v>2.5404134671765464</v>
      </c>
      <c r="AQ11" s="251">
        <f t="shared" si="13"/>
        <v>12.099413467176547</v>
      </c>
      <c r="AR11" s="251">
        <f t="shared" si="14"/>
        <v>12.099413467176547</v>
      </c>
      <c r="AS11" s="263">
        <f t="shared" si="15"/>
        <v>0.38130621779414042</v>
      </c>
      <c r="AT11" s="251">
        <f t="shared" si="16"/>
        <v>1.1028927506175936</v>
      </c>
      <c r="AV11" s="263"/>
      <c r="AW11" s="263"/>
      <c r="AX11" s="251">
        <f t="shared" si="17"/>
        <v>0.38130621779414042</v>
      </c>
    </row>
    <row r="12" spans="1:50" x14ac:dyDescent="0.2">
      <c r="A12" s="255">
        <v>11</v>
      </c>
      <c r="B12" s="55">
        <f t="shared" si="2"/>
        <v>6.4838871094490989</v>
      </c>
      <c r="C12" s="249" t="s">
        <v>10</v>
      </c>
      <c r="D12" s="55">
        <f t="shared" si="3"/>
        <v>5.6591092984421358</v>
      </c>
      <c r="E12" s="55">
        <f>(M12-F12)*'תחשיב הכרה בעלויות '!$C$21</f>
        <v>0.72809450879950022</v>
      </c>
      <c r="F12" s="55">
        <f>M12*'תחשיב הכרה בעלויות '!$C$22</f>
        <v>0.15839619480772302</v>
      </c>
      <c r="G12" s="56">
        <f>'תחשיב הכרה בעלויות '!$M$30</f>
        <v>0.55879601295904968</v>
      </c>
      <c r="H12" s="56">
        <f>'תחשיב הכרה בעלויות '!$E$19</f>
        <v>0.38383298240508607</v>
      </c>
      <c r="I12" s="56">
        <f>'תחשיב הכרה בעלויות '!$I$19</f>
        <v>0.44094482860187678</v>
      </c>
      <c r="J12" s="56">
        <f>'תחשיב הכרה בעלויות '!$M$24</f>
        <v>0.85657249449949613</v>
      </c>
      <c r="K12" s="254">
        <f>'תעריף כמות מוכרת'!K12</f>
        <v>1.774</v>
      </c>
      <c r="L12" s="255"/>
      <c r="M12" s="272">
        <f t="shared" si="18"/>
        <v>10.559746320514869</v>
      </c>
      <c r="P12" s="252">
        <f t="shared" si="4"/>
        <v>3.0715173231013728</v>
      </c>
      <c r="Q12" s="252"/>
      <c r="R12" s="251">
        <f>+IFERROR(VLOOKUP(TRIM(C12&amp;"-"&amp;$R$2),'אגרות ביוב'!$A$8:$J$72,10,0),0)</f>
        <v>0.85897937473789809</v>
      </c>
      <c r="S12" s="252">
        <f>+IFERROR(VLOOKUP(TRIM(C12&amp;"-"&amp;$S$2),'אגרות ביוב'!$A$8:$J$72,10,0),0)</f>
        <v>0</v>
      </c>
      <c r="T12" s="252">
        <f>+IFERROR(VLOOKUP(TRIM(C12&amp;"-"&amp;$T$2),'אגרות ביוב'!$A$8:$J$72,10,0),0)</f>
        <v>0</v>
      </c>
      <c r="U12" s="276" t="s">
        <v>382</v>
      </c>
      <c r="X12" s="250" t="s">
        <v>62</v>
      </c>
      <c r="AD12" s="274" t="str">
        <f t="shared" si="5"/>
        <v>כפר שמריהו</v>
      </c>
      <c r="AE12" s="251">
        <f t="shared" si="6"/>
        <v>1.3858743471677475</v>
      </c>
      <c r="AF12" s="252">
        <f t="shared" si="7"/>
        <v>1.7407626749049845</v>
      </c>
      <c r="AG12" s="274">
        <f t="shared" si="8"/>
        <v>1.774</v>
      </c>
      <c r="AH12" s="274">
        <f t="shared" si="9"/>
        <v>0</v>
      </c>
      <c r="AI12" s="251">
        <f t="shared" si="10"/>
        <v>5.6591092984421358</v>
      </c>
      <c r="AJ12" s="251">
        <f t="shared" si="11"/>
        <v>5.743979374737898</v>
      </c>
      <c r="AK12" s="250">
        <v>7.9660000000000002</v>
      </c>
      <c r="AL12" s="289">
        <f t="shared" si="0"/>
        <v>2.2220206252621022</v>
      </c>
      <c r="AM12" s="251">
        <f t="shared" si="12"/>
        <v>10.417979374737897</v>
      </c>
      <c r="AN12" s="250">
        <v>12.821</v>
      </c>
      <c r="AO12" s="289">
        <f t="shared" si="1"/>
        <v>2.4030206252621031</v>
      </c>
      <c r="AP12" s="251">
        <f>'[4]תעריף רכישה רשויות '!D13</f>
        <v>2.9581611337886304</v>
      </c>
      <c r="AQ12" s="251">
        <f t="shared" si="13"/>
        <v>12.51716113378863</v>
      </c>
      <c r="AR12" s="251">
        <f t="shared" si="14"/>
        <v>12.51716113378863</v>
      </c>
      <c r="AS12" s="263">
        <f>IF(R12+T12+S12=0,"E",AR12-AM12)</f>
        <v>2.0991817590507331</v>
      </c>
      <c r="AT12" s="251">
        <f t="shared" si="16"/>
        <v>2.4030206252621031</v>
      </c>
      <c r="AV12" s="263"/>
      <c r="AW12" s="263"/>
      <c r="AX12" s="251">
        <f t="shared" si="17"/>
        <v>2.0991817590507331</v>
      </c>
    </row>
    <row r="13" spans="1:50" x14ac:dyDescent="0.2">
      <c r="A13" s="255">
        <v>12</v>
      </c>
      <c r="B13" s="55">
        <f t="shared" si="2"/>
        <v>7.1646121094491004</v>
      </c>
      <c r="C13" s="249" t="s">
        <v>11</v>
      </c>
      <c r="D13" s="55">
        <f t="shared" si="3"/>
        <v>6.3398342984421374</v>
      </c>
      <c r="E13" s="55">
        <f>(M13-F13)*'תחשיב הכרה בעלויות '!$C$21</f>
        <v>0.72809450879950022</v>
      </c>
      <c r="F13" s="55">
        <f>M13*'תחשיב הכרה בעלויות '!$C$22</f>
        <v>0.15839619480772302</v>
      </c>
      <c r="G13" s="56">
        <f>'תחשיב הכרה בעלויות '!$M$30</f>
        <v>0.55879601295904968</v>
      </c>
      <c r="H13" s="56">
        <f>'תחשיב הכרה בעלויות '!$E$19</f>
        <v>0.38383298240508607</v>
      </c>
      <c r="I13" s="56">
        <f>'תחשיב הכרה בעלויות '!$I$19</f>
        <v>0.44094482860187678</v>
      </c>
      <c r="J13" s="56">
        <f>'תחשיב הכרה בעלויות '!$M$24</f>
        <v>0.85657249449949613</v>
      </c>
      <c r="K13" s="254">
        <f>'תעריף כמות מוכרת'!K13</f>
        <v>1.0932750000000002</v>
      </c>
      <c r="L13" s="255"/>
      <c r="M13" s="272">
        <f t="shared" si="18"/>
        <v>10.559746320514869</v>
      </c>
      <c r="P13" s="252">
        <f t="shared" si="4"/>
        <v>2.390792323101373</v>
      </c>
      <c r="Q13" s="252"/>
      <c r="R13" s="251">
        <f>+IFERROR(VLOOKUP(TRIM(C13&amp;"-"&amp;$R$2),'אגרות ביוב'!$A$8:$J$72,10,0),0)</f>
        <v>0.88939133906335688</v>
      </c>
      <c r="S13" s="252">
        <f>+IFERROR(VLOOKUP(TRIM(C13&amp;"-"&amp;$S$2),'אגרות ביוב'!$A$8:$J$72,10,0),0)</f>
        <v>0</v>
      </c>
      <c r="T13" s="252">
        <f>+IFERROR(VLOOKUP(TRIM(C13&amp;"-"&amp;$T$2),'אגרות ביוב'!$A$8:$J$72,10,0),0)</f>
        <v>0</v>
      </c>
      <c r="U13" s="250">
        <v>0.75</v>
      </c>
      <c r="X13" s="250" t="s">
        <v>340</v>
      </c>
      <c r="Y13" s="250" t="s">
        <v>52</v>
      </c>
      <c r="Z13" s="250" t="s">
        <v>42</v>
      </c>
      <c r="AD13" s="274" t="str">
        <f t="shared" si="5"/>
        <v>מיתר</v>
      </c>
      <c r="AE13" s="251">
        <f t="shared" si="6"/>
        <v>1.3858743471677475</v>
      </c>
      <c r="AF13" s="252">
        <f t="shared" si="7"/>
        <v>1.7407626749049845</v>
      </c>
      <c r="AG13" s="274">
        <f t="shared" si="8"/>
        <v>1.0932750000000002</v>
      </c>
      <c r="AH13" s="274">
        <f t="shared" si="9"/>
        <v>0</v>
      </c>
      <c r="AI13" s="251">
        <f t="shared" si="10"/>
        <v>6.3398342984421374</v>
      </c>
      <c r="AJ13" s="251">
        <f t="shared" si="11"/>
        <v>5.7743913390633566</v>
      </c>
      <c r="AK13" s="250">
        <v>7.9660000000000002</v>
      </c>
      <c r="AL13" s="289">
        <f t="shared" si="0"/>
        <v>2.1916086609366436</v>
      </c>
      <c r="AM13" s="251">
        <f t="shared" si="12"/>
        <v>10.448391339063356</v>
      </c>
      <c r="AN13" s="250">
        <v>12.821</v>
      </c>
      <c r="AO13" s="289">
        <f t="shared" si="1"/>
        <v>2.3726086609366437</v>
      </c>
      <c r="AP13" s="251">
        <f>'[4]תעריף רכישה רשויות '!D14</f>
        <v>2.5877665046744993</v>
      </c>
      <c r="AQ13" s="251">
        <f t="shared" si="13"/>
        <v>12.146766504674499</v>
      </c>
      <c r="AR13" s="251">
        <f t="shared" si="14"/>
        <v>12.146766504674499</v>
      </c>
      <c r="AS13" s="263">
        <f t="shared" si="15"/>
        <v>1.698375165611143</v>
      </c>
      <c r="AT13" s="251">
        <f t="shared" si="16"/>
        <v>2.3726086609366437</v>
      </c>
      <c r="AV13" s="263">
        <v>1.75</v>
      </c>
      <c r="AW13" s="265" t="s">
        <v>499</v>
      </c>
      <c r="AX13" s="251">
        <f t="shared" si="17"/>
        <v>1.698375165611143</v>
      </c>
    </row>
    <row r="14" spans="1:50" x14ac:dyDescent="0.2">
      <c r="A14" s="255">
        <v>14</v>
      </c>
      <c r="B14" s="55">
        <f t="shared" si="2"/>
        <v>6.7237204427824331</v>
      </c>
      <c r="C14" s="249" t="s">
        <v>12</v>
      </c>
      <c r="D14" s="55">
        <f t="shared" si="3"/>
        <v>5.8989426317754701</v>
      </c>
      <c r="E14" s="55">
        <f>(M14-F14)*'תחשיב הכרה בעלויות '!$C$21</f>
        <v>0.72809450879950022</v>
      </c>
      <c r="F14" s="55">
        <f>M14*'תחשיב הכרה בעלויות '!$C$22</f>
        <v>0.15839619480772302</v>
      </c>
      <c r="G14" s="56">
        <f>'תחשיב הכרה בעלויות '!$M$30</f>
        <v>0.55879601295904968</v>
      </c>
      <c r="H14" s="56">
        <f>'תחשיב הכרה בעלויות '!$E$19</f>
        <v>0.38383298240508607</v>
      </c>
      <c r="I14" s="56">
        <f>'תחשיב הכרה בעלויות '!$I$19</f>
        <v>0.44094482860187678</v>
      </c>
      <c r="J14" s="56">
        <f>'תחשיב הכרה בעלויות '!$M$24</f>
        <v>0.85657249449949613</v>
      </c>
      <c r="K14" s="254">
        <f>'תעריף כמות מוכרת'!K14</f>
        <v>1.1575</v>
      </c>
      <c r="L14" s="56">
        <f>(49+46+50+54-6+84+60+47+68)/1200</f>
        <v>0.37666666666666665</v>
      </c>
      <c r="M14" s="272">
        <f t="shared" si="18"/>
        <v>10.559746320514869</v>
      </c>
      <c r="P14" s="252">
        <f t="shared" si="4"/>
        <v>2.8316839897680395</v>
      </c>
      <c r="Q14" s="252"/>
      <c r="R14" s="251">
        <f>1.27*מדדים!G69/מדדים!B50</f>
        <v>2.3697976063784547</v>
      </c>
      <c r="S14" s="252">
        <f>+IFERROR(VLOOKUP(TRIM(C14&amp;"-"&amp;$S$2),'אגרות ביוב'!$A$8:$J$72,10,0),0)</f>
        <v>0</v>
      </c>
      <c r="T14" s="252">
        <f>+IFERROR(VLOOKUP(TRIM(C14&amp;"-"&amp;$T$2),'אגרות ביוב'!$A$8:$J$72,10,0),0)</f>
        <v>0</v>
      </c>
      <c r="X14" s="250" t="s">
        <v>56</v>
      </c>
      <c r="AD14" s="274" t="str">
        <f t="shared" si="5"/>
        <v>שהם</v>
      </c>
      <c r="AE14" s="251">
        <f t="shared" si="6"/>
        <v>1.3858743471677475</v>
      </c>
      <c r="AF14" s="252">
        <f t="shared" si="7"/>
        <v>1.7407626749049845</v>
      </c>
      <c r="AG14" s="274">
        <f t="shared" si="8"/>
        <v>1.1575</v>
      </c>
      <c r="AH14" s="274">
        <f t="shared" si="9"/>
        <v>0.37666666666666665</v>
      </c>
      <c r="AI14" s="251">
        <f t="shared" si="10"/>
        <v>5.8989426317754701</v>
      </c>
      <c r="AJ14" s="251">
        <f t="shared" si="11"/>
        <v>7.2547976063784549</v>
      </c>
      <c r="AK14" s="250">
        <v>7.9660000000000002</v>
      </c>
      <c r="AL14" s="289">
        <f t="shared" si="0"/>
        <v>0.71120239362154525</v>
      </c>
      <c r="AM14" s="251">
        <f t="shared" si="12"/>
        <v>11.928797606378454</v>
      </c>
      <c r="AN14" s="250">
        <v>12.821</v>
      </c>
      <c r="AO14" s="289">
        <f t="shared" si="1"/>
        <v>0.8922023936215453</v>
      </c>
      <c r="AP14" s="251">
        <f>'[4]תעריף רכישה רשויות '!D16</f>
        <v>3.3849664391758907</v>
      </c>
      <c r="AQ14" s="251">
        <f t="shared" si="13"/>
        <v>12.94396643917589</v>
      </c>
      <c r="AR14" s="251">
        <f t="shared" si="14"/>
        <v>12.821</v>
      </c>
      <c r="AS14" s="263">
        <f t="shared" si="15"/>
        <v>0.8922023936215453</v>
      </c>
      <c r="AT14" s="251">
        <f t="shared" si="16"/>
        <v>0.8922023936215453</v>
      </c>
      <c r="AV14" s="263"/>
      <c r="AW14" s="263"/>
      <c r="AX14" s="251">
        <f t="shared" si="17"/>
        <v>0.8922023936215453</v>
      </c>
    </row>
    <row r="15" spans="1:50" x14ac:dyDescent="0.2">
      <c r="A15" s="255">
        <v>15</v>
      </c>
      <c r="B15" s="55">
        <f t="shared" si="2"/>
        <v>7.3934371094491</v>
      </c>
      <c r="C15" s="249" t="s">
        <v>13</v>
      </c>
      <c r="D15" s="55">
        <f t="shared" si="3"/>
        <v>6.5686592984421388</v>
      </c>
      <c r="E15" s="55">
        <f>(M15-F15)*'תחשיב הכרה בעלויות '!$C$21</f>
        <v>0.72809450879950022</v>
      </c>
      <c r="F15" s="55">
        <f>M15*'תחשיב הכרה בעלויות '!$C$22</f>
        <v>0.15839619480772302</v>
      </c>
      <c r="G15" s="56">
        <f>'תחשיב הכרה בעלויות '!$M$30</f>
        <v>0.55879601295904968</v>
      </c>
      <c r="H15" s="56">
        <f>'תחשיב הכרה בעלויות '!$E$19</f>
        <v>0.38383298240508607</v>
      </c>
      <c r="I15" s="56">
        <f>'תחשיב הכרה בעלויות '!$I$19</f>
        <v>0.44094482860187678</v>
      </c>
      <c r="J15" s="56">
        <f>'תחשיב הכרה בעלויות '!$M$24</f>
        <v>0.85657249449949613</v>
      </c>
      <c r="K15" s="254">
        <f>'תעריף כמות מוכרת'!K15</f>
        <v>0.86444999999999994</v>
      </c>
      <c r="L15" s="255"/>
      <c r="M15" s="272">
        <f t="shared" si="18"/>
        <v>10.559746320514869</v>
      </c>
      <c r="P15" s="252">
        <f t="shared" si="4"/>
        <v>2.161967323101373</v>
      </c>
      <c r="Q15" s="252"/>
      <c r="R15" s="251">
        <f>+IFERROR(VLOOKUP(TRIM(C15&amp;"-"&amp;$R$2),'אגרות ביוב'!$A$8:$J$72,10,0),0)</f>
        <v>1.1493224849682047</v>
      </c>
      <c r="S15" s="252">
        <f>+IFERROR(VLOOKUP(TRIM(C15&amp;"-"&amp;$S$2),'אגרות ביוב'!$A$8:$J$72,10,0),0)</f>
        <v>2.5458110957360236</v>
      </c>
      <c r="T15" s="252">
        <f>+IFERROR(VLOOKUP(TRIM(C15&amp;"-"&amp;$T$2),'אגרות ביוב'!$A$8:$J$72,10,0),0)</f>
        <v>0</v>
      </c>
      <c r="X15" s="250" t="s">
        <v>64</v>
      </c>
      <c r="Y15" s="250" t="s">
        <v>63</v>
      </c>
      <c r="AD15" s="274" t="str">
        <f t="shared" si="5"/>
        <v>אליכין</v>
      </c>
      <c r="AE15" s="251">
        <f t="shared" si="6"/>
        <v>1.3858743471677475</v>
      </c>
      <c r="AF15" s="252">
        <f t="shared" si="7"/>
        <v>1.7407626749049845</v>
      </c>
      <c r="AG15" s="274">
        <f t="shared" si="8"/>
        <v>0.86444999999999994</v>
      </c>
      <c r="AH15" s="274">
        <f t="shared" si="9"/>
        <v>0</v>
      </c>
      <c r="AI15" s="251">
        <f t="shared" si="10"/>
        <v>6.5686592984421388</v>
      </c>
      <c r="AJ15" s="251">
        <f t="shared" si="11"/>
        <v>8.5801335807042278</v>
      </c>
      <c r="AK15" s="250">
        <v>7.9660000000000002</v>
      </c>
      <c r="AL15" s="289">
        <f t="shared" si="0"/>
        <v>-0.61413358070422763</v>
      </c>
      <c r="AM15" s="251">
        <f t="shared" si="12"/>
        <v>13.254133580704227</v>
      </c>
      <c r="AN15" s="250">
        <v>12.821</v>
      </c>
      <c r="AO15" s="289">
        <f t="shared" si="1"/>
        <v>-0.43313358070422758</v>
      </c>
      <c r="AP15" s="251">
        <f>'[4]תעריף רכישה רשויות '!D17</f>
        <v>2.5295890034464001</v>
      </c>
      <c r="AQ15" s="251">
        <f t="shared" si="13"/>
        <v>12.088589003446399</v>
      </c>
      <c r="AR15" s="251">
        <f t="shared" si="14"/>
        <v>12.088589003446399</v>
      </c>
      <c r="AS15" s="263">
        <f t="shared" si="15"/>
        <v>-1.1655445772578279</v>
      </c>
      <c r="AT15" s="251">
        <f t="shared" si="16"/>
        <v>-0.43313358070422758</v>
      </c>
      <c r="AV15" s="263"/>
      <c r="AW15" s="263"/>
      <c r="AX15" s="251">
        <f t="shared" si="17"/>
        <v>-1.1655445772578279</v>
      </c>
    </row>
    <row r="16" spans="1:50" x14ac:dyDescent="0.2">
      <c r="A16" s="255">
        <v>16</v>
      </c>
      <c r="B16" s="55">
        <f t="shared" si="2"/>
        <v>7.8765121094490995</v>
      </c>
      <c r="C16" s="249" t="s">
        <v>14</v>
      </c>
      <c r="D16" s="55">
        <f t="shared" si="3"/>
        <v>7.0517342984421383</v>
      </c>
      <c r="E16" s="55">
        <f>(M16-F16)*'תחשיב הכרה בעלויות '!$C$21</f>
        <v>0.72809450879950022</v>
      </c>
      <c r="F16" s="55">
        <f>M16*'תחשיב הכרה בעלויות '!$C$22</f>
        <v>0.15839619480772302</v>
      </c>
      <c r="G16" s="56">
        <f>'תחשיב הכרה בעלויות '!$M$30</f>
        <v>0.55879601295904968</v>
      </c>
      <c r="H16" s="56">
        <f>'תחשיב הכרה בעלויות '!$E$19</f>
        <v>0.38383298240508607</v>
      </c>
      <c r="I16" s="56">
        <f>'תחשיב הכרה בעלויות '!$I$19</f>
        <v>0.44094482860187678</v>
      </c>
      <c r="J16" s="56">
        <f>'תחשיב הכרה בעלויות '!$M$24</f>
        <v>0.85657249449949613</v>
      </c>
      <c r="K16" s="254">
        <f>'תעריף כמות מוכרת'!K16</f>
        <v>0.38137500000000002</v>
      </c>
      <c r="L16" s="255"/>
      <c r="M16" s="272">
        <f t="shared" si="18"/>
        <v>10.559746320514869</v>
      </c>
      <c r="P16" s="252">
        <f t="shared" si="4"/>
        <v>1.6788923231013728</v>
      </c>
      <c r="Q16" s="252"/>
      <c r="R16" s="251">
        <f>+IFERROR(VLOOKUP(TRIM(C16&amp;"-"&amp;$R$2),'אגרות ביוב'!$A$8:$J$72,10,0),0)</f>
        <v>1.1924064666198686</v>
      </c>
      <c r="S16" s="252">
        <f>+IFERROR(VLOOKUP(TRIM(C16&amp;"-"&amp;$S$2),'אגרות ביוב'!$A$8:$J$72,10,0),0)</f>
        <v>0.71253557151675073</v>
      </c>
      <c r="T16" s="252">
        <f>+IFERROR(VLOOKUP(TRIM(C16&amp;"-"&amp;$T$2),'אגרות ביוב'!$A$8:$J$72,10,0),0)</f>
        <v>2.2830221373087727</v>
      </c>
      <c r="AD16" s="274" t="str">
        <f t="shared" si="5"/>
        <v>טייבה</v>
      </c>
      <c r="AE16" s="251">
        <f t="shared" si="6"/>
        <v>1.3858743471677475</v>
      </c>
      <c r="AF16" s="252">
        <f t="shared" si="7"/>
        <v>1.7407626749049845</v>
      </c>
      <c r="AG16" s="274">
        <f t="shared" si="8"/>
        <v>0.38137500000000002</v>
      </c>
      <c r="AH16" s="274">
        <f t="shared" si="9"/>
        <v>0</v>
      </c>
      <c r="AI16" s="251">
        <f t="shared" si="10"/>
        <v>7.0517342984421383</v>
      </c>
      <c r="AJ16" s="251">
        <f t="shared" si="11"/>
        <v>9.0729641754453922</v>
      </c>
      <c r="AK16" s="250">
        <v>7.9660000000000002</v>
      </c>
      <c r="AL16" s="289">
        <f t="shared" si="0"/>
        <v>-1.1069641754453921</v>
      </c>
      <c r="AM16" s="251">
        <f t="shared" si="12"/>
        <v>13.746964175445392</v>
      </c>
      <c r="AN16" s="250">
        <v>12.821</v>
      </c>
      <c r="AO16" s="289">
        <f t="shared" si="1"/>
        <v>-0.925964175445392</v>
      </c>
      <c r="AP16" s="251">
        <f>'[4]תעריף רכישה רשויות '!D18</f>
        <v>1.9125945708280938</v>
      </c>
      <c r="AQ16" s="251">
        <f t="shared" si="13"/>
        <v>11.471594570828094</v>
      </c>
      <c r="AR16" s="251">
        <f t="shared" si="14"/>
        <v>11.471594570828094</v>
      </c>
      <c r="AS16" s="263">
        <f t="shared" si="15"/>
        <v>-2.275369604617298</v>
      </c>
      <c r="AT16" s="251">
        <f t="shared" si="16"/>
        <v>-0.925964175445392</v>
      </c>
      <c r="AV16" s="263"/>
      <c r="AW16" s="263"/>
      <c r="AX16" s="251">
        <f t="shared" si="17"/>
        <v>-2.275369604617298</v>
      </c>
    </row>
    <row r="17" spans="1:49" x14ac:dyDescent="0.2">
      <c r="A17" s="255">
        <v>17</v>
      </c>
      <c r="B17" s="55">
        <f t="shared" si="2"/>
        <v>6.5968871094491011</v>
      </c>
      <c r="C17" s="249" t="s">
        <v>15</v>
      </c>
      <c r="D17" s="55">
        <f t="shared" si="3"/>
        <v>5.772109298442138</v>
      </c>
      <c r="E17" s="55">
        <f>(M17-F17)*'תחשיב הכרה בעלויות '!$C$21</f>
        <v>0.72809450879950022</v>
      </c>
      <c r="F17" s="55">
        <f>M17*'תחשיב הכרה בעלויות '!$C$22</f>
        <v>0.15839619480772302</v>
      </c>
      <c r="G17" s="56">
        <f>'תחשיב הכרה בעלויות '!$M$30</f>
        <v>0.55879601295904968</v>
      </c>
      <c r="H17" s="56">
        <f>'תחשיב הכרה בעלויות '!$E$19</f>
        <v>0.38383298240508607</v>
      </c>
      <c r="I17" s="56">
        <f>'תחשיב הכרה בעלויות '!$I$19</f>
        <v>0.44094482860187678</v>
      </c>
      <c r="J17" s="56">
        <f>'תחשיב הכרה בעלויות '!$M$24</f>
        <v>0.85657249449949613</v>
      </c>
      <c r="K17" s="254">
        <f>'תעריף כמות מוכרת'!K17</f>
        <v>1.661</v>
      </c>
      <c r="L17" s="255"/>
      <c r="M17" s="272">
        <f t="shared" si="18"/>
        <v>10.559746320514869</v>
      </c>
      <c r="P17" s="252">
        <f t="shared" si="4"/>
        <v>2.9585173231013728</v>
      </c>
      <c r="Q17" s="252"/>
      <c r="R17" s="251">
        <f>+IFERROR(VLOOKUP(TRIM(C17&amp;"-"&amp;$R$2),'אגרות ביוב'!$A$8:$J$72,10,0),0)</f>
        <v>0.70042006353355413</v>
      </c>
      <c r="S17" s="252">
        <f>+IFERROR(VLOOKUP(TRIM(C17&amp;"-"&amp;$S$2),'אגרות ביוב'!$A$8:$J$72,10,0),0)</f>
        <v>1.5009001361433301</v>
      </c>
      <c r="T17" s="252">
        <f>+IFERROR(VLOOKUP(TRIM(C17&amp;"-"&amp;$T$2),'אגרות ביוב'!$A$8:$J$72,10,0),0)</f>
        <v>0</v>
      </c>
      <c r="AD17" s="274" t="str">
        <f t="shared" si="5"/>
        <v>כפר תבור</v>
      </c>
      <c r="AE17" s="251">
        <f t="shared" si="6"/>
        <v>1.3858743471677475</v>
      </c>
      <c r="AF17" s="252">
        <f t="shared" si="7"/>
        <v>1.7407626749049845</v>
      </c>
      <c r="AG17" s="274">
        <f t="shared" si="8"/>
        <v>1.661</v>
      </c>
      <c r="AH17" s="274">
        <f t="shared" si="9"/>
        <v>0</v>
      </c>
      <c r="AI17" s="251">
        <f t="shared" si="10"/>
        <v>5.772109298442138</v>
      </c>
      <c r="AJ17" s="251">
        <f t="shared" si="11"/>
        <v>7.0863201996768836</v>
      </c>
      <c r="AK17" s="250">
        <v>7.9660000000000002</v>
      </c>
      <c r="AL17" s="289">
        <f t="shared" si="0"/>
        <v>0.87967980032311655</v>
      </c>
      <c r="AM17" s="251">
        <f t="shared" si="12"/>
        <v>11.760320199676883</v>
      </c>
      <c r="AN17" s="250">
        <v>12.821</v>
      </c>
      <c r="AO17" s="289">
        <f t="shared" si="1"/>
        <v>1.0606798003231166</v>
      </c>
      <c r="AP17" s="251">
        <f>'[4]תעריף רכישה רשויות '!D19</f>
        <v>2.5404134671765464</v>
      </c>
      <c r="AQ17" s="251">
        <f t="shared" si="13"/>
        <v>12.099413467176547</v>
      </c>
      <c r="AR17" s="251">
        <f t="shared" si="14"/>
        <v>12.099413467176547</v>
      </c>
      <c r="AS17" s="263">
        <f t="shared" si="15"/>
        <v>0.3390932674996634</v>
      </c>
      <c r="AT17" s="251">
        <f t="shared" si="16"/>
        <v>1.0606798003231166</v>
      </c>
      <c r="AV17" s="263">
        <v>3.79</v>
      </c>
      <c r="AW17" s="265" t="s">
        <v>501</v>
      </c>
    </row>
    <row r="18" spans="1:49" x14ac:dyDescent="0.2">
      <c r="A18" s="255">
        <v>18</v>
      </c>
      <c r="B18" s="55">
        <f t="shared" si="2"/>
        <v>7.1646121094491004</v>
      </c>
      <c r="C18" s="249" t="s">
        <v>16</v>
      </c>
      <c r="D18" s="55">
        <f t="shared" si="3"/>
        <v>6.3398342984421374</v>
      </c>
      <c r="E18" s="55">
        <f>(M18-F18)*'תחשיב הכרה בעלויות '!$C$21</f>
        <v>0.72809450879950022</v>
      </c>
      <c r="F18" s="55">
        <f>M18*'תחשיב הכרה בעלויות '!$C$22</f>
        <v>0.15839619480772302</v>
      </c>
      <c r="G18" s="56">
        <f>'תחשיב הכרה בעלויות '!$M$30</f>
        <v>0.55879601295904968</v>
      </c>
      <c r="H18" s="56">
        <f>'תחשיב הכרה בעלויות '!$E$19</f>
        <v>0.38383298240508607</v>
      </c>
      <c r="I18" s="56">
        <f>'תחשיב הכרה בעלויות '!$I$19</f>
        <v>0.44094482860187678</v>
      </c>
      <c r="J18" s="56">
        <f>'תחשיב הכרה בעלויות '!$M$24</f>
        <v>0.85657249449949613</v>
      </c>
      <c r="K18" s="254">
        <f>'תעריף כמות מוכרת'!K18</f>
        <v>1.0932750000000002</v>
      </c>
      <c r="L18" s="255"/>
      <c r="M18" s="272">
        <f t="shared" si="18"/>
        <v>10.559746320514869</v>
      </c>
      <c r="P18" s="252">
        <f t="shared" si="4"/>
        <v>2.390792323101373</v>
      </c>
      <c r="Q18" s="252"/>
      <c r="R18" s="251">
        <f>+IFERROR(VLOOKUP(TRIM(C18&amp;"-"&amp;$R$2),'אגרות ביוב'!$A$8:$J$72,10,0),0)</f>
        <v>1.5324299799576062</v>
      </c>
      <c r="S18" s="252">
        <f>+IFERROR(VLOOKUP(TRIM(C18&amp;"-"&amp;$S$2),'אגרות ביוב'!$A$8:$J$72,10,0),0)</f>
        <v>1.8537459434971042</v>
      </c>
      <c r="T18" s="252">
        <f>+IFERROR(VLOOKUP(TRIM(C18&amp;"-"&amp;$T$2),'אגרות ביוב'!$A$8:$J$72,10,0),0)</f>
        <v>0.3213159635394981</v>
      </c>
      <c r="X18" s="250" t="s">
        <v>59</v>
      </c>
      <c r="Y18" s="250" t="s">
        <v>57</v>
      </c>
      <c r="Z18" s="250" t="s">
        <v>58</v>
      </c>
      <c r="AD18" s="274" t="str">
        <f t="shared" si="5"/>
        <v>להבים</v>
      </c>
      <c r="AE18" s="251">
        <f t="shared" si="6"/>
        <v>1.3858743471677475</v>
      </c>
      <c r="AF18" s="252">
        <f t="shared" si="7"/>
        <v>1.7407626749049845</v>
      </c>
      <c r="AG18" s="274">
        <f t="shared" si="8"/>
        <v>1.0932750000000002</v>
      </c>
      <c r="AH18" s="274">
        <f t="shared" si="9"/>
        <v>0</v>
      </c>
      <c r="AI18" s="251">
        <f t="shared" si="10"/>
        <v>6.3398342984421374</v>
      </c>
      <c r="AJ18" s="251">
        <f t="shared" si="11"/>
        <v>8.5924918869942086</v>
      </c>
      <c r="AK18" s="250">
        <v>7.9660000000000002</v>
      </c>
      <c r="AL18" s="289">
        <f t="shared" si="0"/>
        <v>-0.62649188699420844</v>
      </c>
      <c r="AM18" s="251">
        <f t="shared" si="12"/>
        <v>13.266491886994208</v>
      </c>
      <c r="AN18" s="250">
        <v>12.821</v>
      </c>
      <c r="AO18" s="289">
        <f t="shared" si="1"/>
        <v>-0.44549188699420839</v>
      </c>
      <c r="AP18" s="251">
        <f>'[4]תעריף רכישה רשויות '!D20</f>
        <v>2.8218495241603359</v>
      </c>
      <c r="AQ18" s="251">
        <f t="shared" si="13"/>
        <v>12.380849524160336</v>
      </c>
      <c r="AR18" s="251">
        <f t="shared" si="14"/>
        <v>12.380849524160336</v>
      </c>
      <c r="AS18" s="263">
        <f t="shared" si="15"/>
        <v>-0.8856423628338721</v>
      </c>
      <c r="AT18" s="251">
        <f t="shared" si="16"/>
        <v>-0.44549188699420839</v>
      </c>
      <c r="AV18" s="263">
        <v>3.29</v>
      </c>
      <c r="AW18" s="265" t="s">
        <v>500</v>
      </c>
    </row>
    <row r="19" spans="1:49" x14ac:dyDescent="0.2">
      <c r="A19" s="255">
        <v>19</v>
      </c>
      <c r="B19" s="55">
        <f t="shared" si="2"/>
        <v>7.1815621094491</v>
      </c>
      <c r="C19" s="249" t="s">
        <v>17</v>
      </c>
      <c r="D19" s="55">
        <f t="shared" si="3"/>
        <v>6.356784298442137</v>
      </c>
      <c r="E19" s="55">
        <f>(M19-F19)*'תחשיב הכרה בעלויות '!$C$21</f>
        <v>0.72809450879950022</v>
      </c>
      <c r="F19" s="55">
        <f>M19*'תחשיב הכרה בעלויות '!$C$22</f>
        <v>0.15839619480772302</v>
      </c>
      <c r="G19" s="56">
        <f>'תחשיב הכרה בעלויות '!$M$30</f>
        <v>0.55879601295904968</v>
      </c>
      <c r="H19" s="56">
        <f>'תחשיב הכרה בעלויות '!$E$19</f>
        <v>0.38383298240508607</v>
      </c>
      <c r="I19" s="56">
        <f>'תחשיב הכרה בעלויות '!$I$19</f>
        <v>0.44094482860187678</v>
      </c>
      <c r="J19" s="56">
        <f>'תחשיב הכרה בעלויות '!$M$24</f>
        <v>0.85657249449949613</v>
      </c>
      <c r="K19" s="254">
        <f>'תעריף כמות מוכרת'!K19</f>
        <v>1.0763249999999998</v>
      </c>
      <c r="L19" s="255"/>
      <c r="M19" s="272">
        <f t="shared" si="18"/>
        <v>10.559746320514869</v>
      </c>
      <c r="P19" s="252">
        <f t="shared" si="4"/>
        <v>2.3738423231013726</v>
      </c>
      <c r="Q19" s="252"/>
      <c r="R19" s="251">
        <f>+IFERROR(VLOOKUP(TRIM(C19&amp;"-"&amp;$R$2),'אגרות ביוב'!$A$8:$J$72,10,0),0)</f>
        <v>1.9617287775496</v>
      </c>
      <c r="S19" s="252">
        <f>+IFERROR(VLOOKUP(TRIM(C19&amp;"-"&amp;$S$2),'אגרות ביוב'!$A$8:$J$72,10,0),0)</f>
        <v>1.7165126803558997</v>
      </c>
      <c r="T19" s="252">
        <f>+IFERROR(VLOOKUP(TRIM(C19&amp;"-"&amp;$T$2),'אגרות ביוב'!$A$8:$J$72,10,0),0)</f>
        <v>0</v>
      </c>
      <c r="Y19" s="250" t="s">
        <v>65</v>
      </c>
      <c r="Z19" s="250" t="s">
        <v>54</v>
      </c>
      <c r="AD19" s="274" t="str">
        <f t="shared" si="5"/>
        <v>נהריה</v>
      </c>
      <c r="AE19" s="251">
        <f t="shared" si="6"/>
        <v>1.3858743471677475</v>
      </c>
      <c r="AF19" s="252">
        <f t="shared" si="7"/>
        <v>1.7407626749049845</v>
      </c>
      <c r="AG19" s="274">
        <f t="shared" si="8"/>
        <v>1.0763249999999998</v>
      </c>
      <c r="AH19" s="274">
        <f t="shared" si="9"/>
        <v>0</v>
      </c>
      <c r="AI19" s="251">
        <f t="shared" si="10"/>
        <v>6.356784298442137</v>
      </c>
      <c r="AJ19" s="251">
        <f t="shared" si="11"/>
        <v>8.5632414579054998</v>
      </c>
      <c r="AK19" s="250">
        <v>7.9660000000000002</v>
      </c>
      <c r="AL19" s="289">
        <f t="shared" si="0"/>
        <v>-0.59724145790549965</v>
      </c>
      <c r="AM19" s="251">
        <f t="shared" si="12"/>
        <v>13.237241457905499</v>
      </c>
      <c r="AN19" s="250">
        <v>12.821</v>
      </c>
      <c r="AO19" s="289">
        <f t="shared" si="1"/>
        <v>-0.4162414579054996</v>
      </c>
      <c r="AP19" s="251">
        <f>'[4]תעריף רכישה רשויות '!D21</f>
        <v>2.2914508013831942</v>
      </c>
      <c r="AQ19" s="251">
        <f t="shared" si="13"/>
        <v>11.850450801383193</v>
      </c>
      <c r="AR19" s="251">
        <f t="shared" si="14"/>
        <v>11.850450801383193</v>
      </c>
      <c r="AS19" s="263">
        <f t="shared" si="15"/>
        <v>-1.3867906565223063</v>
      </c>
      <c r="AT19" s="251">
        <f t="shared" si="16"/>
        <v>-0.4162414579054996</v>
      </c>
      <c r="AV19" s="263"/>
      <c r="AW19" s="263"/>
    </row>
    <row r="20" spans="1:49" x14ac:dyDescent="0.2">
      <c r="A20" s="255">
        <v>20</v>
      </c>
      <c r="B20" s="55">
        <f t="shared" si="2"/>
        <v>6.7135044918015225</v>
      </c>
      <c r="C20" s="249" t="s">
        <v>440</v>
      </c>
      <c r="D20" s="55">
        <f t="shared" si="3"/>
        <v>5.8887266807945595</v>
      </c>
      <c r="E20" s="55">
        <f>(M20-F20)*'תחשיב הכרה בעלויות '!$C$21</f>
        <v>0.72809450879950022</v>
      </c>
      <c r="F20" s="55">
        <f>M20*'תחשיב הכרה בעלויות '!$C$22</f>
        <v>0.15839619480772302</v>
      </c>
      <c r="G20" s="56">
        <f>'תחשיב הכרה בעלויות '!$M$30</f>
        <v>0.55879601295904968</v>
      </c>
      <c r="H20" s="56">
        <f>'תחשיב הכרה בעלויות '!$E$19</f>
        <v>0.38383298240508607</v>
      </c>
      <c r="I20" s="56">
        <f>'תחשיב הכרה בעלויות '!$I$19</f>
        <v>0.44094482860187678</v>
      </c>
      <c r="J20" s="56">
        <f>'תחשיב הכרה בעלויות '!$M$24</f>
        <v>0.85657249449949613</v>
      </c>
      <c r="K20" s="254">
        <f>'תעריף כמות מוכרת'!K20</f>
        <v>1.5443826176475777</v>
      </c>
      <c r="L20" s="255"/>
      <c r="M20" s="272">
        <f t="shared" si="18"/>
        <v>10.559746320514869</v>
      </c>
      <c r="P20" s="252">
        <f t="shared" si="4"/>
        <v>2.8418999407489505</v>
      </c>
      <c r="Q20" s="252"/>
      <c r="R20" s="251">
        <f>+IFERROR(VLOOKUP(TRIM(C20&amp;"-"&amp;$R$2),'אגרות ביוב'!$A$8:$J$72,10,0),0)</f>
        <v>0.63122560427978447</v>
      </c>
      <c r="S20" s="252">
        <f>+IFERROR(VLOOKUP(TRIM(C20&amp;"-"&amp;$S$2),'אגרות ביוב'!$A$8:$J$72,10,0),0)</f>
        <v>0</v>
      </c>
      <c r="T20" s="252">
        <f>+IFERROR(VLOOKUP(TRIM(C20&amp;"-"&amp;$T$2),'אגרות ביוב'!$A$8:$J$72,10,0),0)</f>
        <v>0</v>
      </c>
      <c r="W20" s="250" t="s">
        <v>343</v>
      </c>
      <c r="X20" s="250" t="s">
        <v>342</v>
      </c>
      <c r="Y20" s="250" t="s">
        <v>66</v>
      </c>
      <c r="Z20" s="250" t="s">
        <v>54</v>
      </c>
      <c r="AD20" s="274" t="str">
        <f t="shared" si="5"/>
        <v>נשר</v>
      </c>
      <c r="AE20" s="251">
        <f t="shared" si="6"/>
        <v>1.3858743471677475</v>
      </c>
      <c r="AF20" s="252">
        <f t="shared" si="7"/>
        <v>1.7407626749049845</v>
      </c>
      <c r="AG20" s="274">
        <f t="shared" si="8"/>
        <v>1.5443826176475777</v>
      </c>
      <c r="AH20" s="274">
        <f t="shared" si="9"/>
        <v>0</v>
      </c>
      <c r="AI20" s="251">
        <f t="shared" si="10"/>
        <v>5.8887266807945595</v>
      </c>
      <c r="AJ20" s="251">
        <f t="shared" si="11"/>
        <v>5.5162256042797839</v>
      </c>
      <c r="AK20" s="250">
        <v>7.9660000000000002</v>
      </c>
      <c r="AL20" s="289">
        <f t="shared" si="0"/>
        <v>2.4497743957202163</v>
      </c>
      <c r="AM20" s="251">
        <f t="shared" si="12"/>
        <v>10.190225604279783</v>
      </c>
      <c r="AN20" s="250">
        <v>12.821</v>
      </c>
      <c r="AO20" s="289">
        <f t="shared" si="1"/>
        <v>2.6307743957202163</v>
      </c>
      <c r="AP20" s="251">
        <f>'[4]תעריף רכישה רשויות '!D22</f>
        <v>3.5705152657719128</v>
      </c>
      <c r="AQ20" s="251">
        <f t="shared" si="13"/>
        <v>13.129515265771913</v>
      </c>
      <c r="AR20" s="251">
        <f t="shared" si="14"/>
        <v>12.821</v>
      </c>
      <c r="AS20" s="263">
        <f t="shared" si="15"/>
        <v>2.6307743957202163</v>
      </c>
      <c r="AT20" s="251">
        <f t="shared" si="16"/>
        <v>2.6307743957202163</v>
      </c>
      <c r="AV20" s="263">
        <v>2.76</v>
      </c>
      <c r="AW20" s="265" t="s">
        <v>499</v>
      </c>
    </row>
    <row r="21" spans="1:49" x14ac:dyDescent="0.2">
      <c r="A21" s="255">
        <v>21</v>
      </c>
      <c r="B21" s="55">
        <f t="shared" si="2"/>
        <v>7.0178871094491004</v>
      </c>
      <c r="C21" s="249" t="s">
        <v>19</v>
      </c>
      <c r="D21" s="55">
        <f t="shared" si="3"/>
        <v>6.1931092984421374</v>
      </c>
      <c r="E21" s="55">
        <f>(M21-F21)*'תחשיב הכרה בעלויות '!$C$21</f>
        <v>0.72809450879950022</v>
      </c>
      <c r="F21" s="55">
        <f>M21*'תחשיב הכרה בעלויות '!$C$22</f>
        <v>0.15839619480772302</v>
      </c>
      <c r="G21" s="56">
        <f>'תחשיב הכרה בעלויות '!$M$30</f>
        <v>0.55879601295904968</v>
      </c>
      <c r="H21" s="56">
        <f>'תחשיב הכרה בעלויות '!$E$19</f>
        <v>0.38383298240508607</v>
      </c>
      <c r="I21" s="56">
        <f>'תחשיב הכרה בעלויות '!$I$19</f>
        <v>0.44094482860187678</v>
      </c>
      <c r="J21" s="56">
        <f>'תחשיב הכרה בעלויות '!$M$24</f>
        <v>0.85657249449949613</v>
      </c>
      <c r="K21" s="254">
        <f>'תעריף כמות מוכרת'!K21</f>
        <v>1.24</v>
      </c>
      <c r="L21" s="255"/>
      <c r="M21" s="272">
        <f t="shared" si="18"/>
        <v>10.559746320514869</v>
      </c>
      <c r="P21" s="252">
        <f t="shared" si="4"/>
        <v>2.5375173231013726</v>
      </c>
      <c r="Q21" s="252"/>
      <c r="R21" s="251">
        <f>+IFERROR(VLOOKUP(TRIM(C21&amp;"-"&amp;$R$2),'אגרות ביוב'!$A$8:$J$72,10,0),0)</f>
        <v>3.3242823842343125</v>
      </c>
      <c r="S21" s="252">
        <f>+IFERROR(VLOOKUP(TRIM(C21&amp;"-"&amp;$S$2),'אגרות ביוב'!$A$8:$J$72,10,0),0)</f>
        <v>0</v>
      </c>
      <c r="T21" s="252">
        <f>+IFERROR(VLOOKUP(TRIM(C21&amp;"-"&amp;$T$2),'אגרות ביוב'!$A$8:$J$72,10,0),0)</f>
        <v>0</v>
      </c>
      <c r="U21" s="276" t="s">
        <v>381</v>
      </c>
      <c r="AD21" s="274" t="str">
        <f t="shared" si="5"/>
        <v>סביון</v>
      </c>
      <c r="AE21" s="251">
        <f t="shared" si="6"/>
        <v>1.3858743471677475</v>
      </c>
      <c r="AF21" s="252">
        <f t="shared" si="7"/>
        <v>1.7407626749049845</v>
      </c>
      <c r="AG21" s="274">
        <f t="shared" si="8"/>
        <v>1.24</v>
      </c>
      <c r="AH21" s="274">
        <f t="shared" si="9"/>
        <v>0</v>
      </c>
      <c r="AI21" s="251">
        <f t="shared" si="10"/>
        <v>6.1931092984421374</v>
      </c>
      <c r="AJ21" s="251">
        <f t="shared" si="11"/>
        <v>8.2092823842343119</v>
      </c>
      <c r="AK21" s="250">
        <v>7.9660000000000002</v>
      </c>
      <c r="AL21" s="289">
        <f t="shared" si="0"/>
        <v>-0.2432823842343117</v>
      </c>
      <c r="AM21" s="251">
        <f t="shared" si="12"/>
        <v>12.883282384234311</v>
      </c>
      <c r="AN21" s="250">
        <v>12.821</v>
      </c>
      <c r="AO21" s="289">
        <f t="shared" si="1"/>
        <v>-6.228238423431165E-2</v>
      </c>
      <c r="AP21" s="251">
        <f>'[4]תעריף רכישה רשויות '!D23</f>
        <v>1.4254937029715355</v>
      </c>
      <c r="AQ21" s="251">
        <f t="shared" si="13"/>
        <v>10.984493702971534</v>
      </c>
      <c r="AR21" s="251">
        <f t="shared" si="14"/>
        <v>10.984493702971534</v>
      </c>
      <c r="AS21" s="263">
        <f t="shared" si="15"/>
        <v>-1.8987886812627774</v>
      </c>
      <c r="AT21" s="251">
        <f t="shared" si="16"/>
        <v>-6.228238423431165E-2</v>
      </c>
      <c r="AV21" s="263"/>
      <c r="AW21" s="263"/>
    </row>
    <row r="22" spans="1:49" x14ac:dyDescent="0.2">
      <c r="A22" s="255">
        <v>22</v>
      </c>
      <c r="B22" s="55">
        <f t="shared" si="2"/>
        <v>7.1646121094491004</v>
      </c>
      <c r="C22" s="249" t="s">
        <v>20</v>
      </c>
      <c r="D22" s="55">
        <f t="shared" si="3"/>
        <v>6.3398342984421374</v>
      </c>
      <c r="E22" s="55">
        <f>(M22-F22)*'תחשיב הכרה בעלויות '!$C$21</f>
        <v>0.72809450879950022</v>
      </c>
      <c r="F22" s="55">
        <f>M22*'תחשיב הכרה בעלויות '!$C$22</f>
        <v>0.15839619480772302</v>
      </c>
      <c r="G22" s="56">
        <f>'תחשיב הכרה בעלויות '!$M$30</f>
        <v>0.55879601295904968</v>
      </c>
      <c r="H22" s="56">
        <f>'תחשיב הכרה בעלויות '!$E$19</f>
        <v>0.38383298240508607</v>
      </c>
      <c r="I22" s="56">
        <f>'תחשיב הכרה בעלויות '!$I$19</f>
        <v>0.44094482860187678</v>
      </c>
      <c r="J22" s="56">
        <f>'תחשיב הכרה בעלויות '!$M$24</f>
        <v>0.85657249449949613</v>
      </c>
      <c r="K22" s="254">
        <f>'תעריף כמות מוכרת'!K22</f>
        <v>1.0932750000000002</v>
      </c>
      <c r="L22" s="255"/>
      <c r="M22" s="272">
        <f t="shared" si="18"/>
        <v>10.559746320514869</v>
      </c>
      <c r="P22" s="252">
        <f t="shared" si="4"/>
        <v>2.390792323101373</v>
      </c>
      <c r="Q22" s="252"/>
      <c r="R22" s="251">
        <f>+IFERROR(VLOOKUP(TRIM(C22&amp;"-"&amp;$R$2),'אגרות ביוב'!$A$8:$J$72,10,0),0)</f>
        <v>2.7805114723392492</v>
      </c>
      <c r="S22" s="252">
        <f>+IFERROR(VLOOKUP(TRIM(C22&amp;"-"&amp;$S$2),'אגרות ביוב'!$A$8:$J$72,10,0),0)</f>
        <v>0</v>
      </c>
      <c r="T22" s="252">
        <f>+IFERROR(VLOOKUP(TRIM(C22&amp;"-"&amp;$T$2),'אגרות ביוב'!$A$8:$J$72,10,0),0)</f>
        <v>0</v>
      </c>
      <c r="Y22" s="250" t="s">
        <v>67</v>
      </c>
      <c r="Z22" s="250" t="s">
        <v>42</v>
      </c>
      <c r="AD22" s="274" t="str">
        <f t="shared" si="5"/>
        <v>עומר</v>
      </c>
      <c r="AE22" s="251">
        <f t="shared" si="6"/>
        <v>1.3858743471677475</v>
      </c>
      <c r="AF22" s="252">
        <f t="shared" si="7"/>
        <v>1.7407626749049845</v>
      </c>
      <c r="AG22" s="274">
        <f t="shared" si="8"/>
        <v>1.0932750000000002</v>
      </c>
      <c r="AH22" s="274">
        <f t="shared" si="9"/>
        <v>0</v>
      </c>
      <c r="AI22" s="251">
        <f t="shared" si="10"/>
        <v>6.3398342984421374</v>
      </c>
      <c r="AJ22" s="251">
        <f t="shared" si="11"/>
        <v>7.665511472339249</v>
      </c>
      <c r="AK22" s="250">
        <v>7.9660000000000002</v>
      </c>
      <c r="AL22" s="289">
        <f t="shared" si="0"/>
        <v>0.30048852766075118</v>
      </c>
      <c r="AM22" s="251">
        <f t="shared" si="12"/>
        <v>12.339511472339248</v>
      </c>
      <c r="AN22" s="250">
        <v>12.821</v>
      </c>
      <c r="AO22" s="289">
        <f t="shared" si="1"/>
        <v>0.48148852766075123</v>
      </c>
      <c r="AP22" s="251">
        <f>'[4]תעריף רכישה רשויות '!D24</f>
        <v>2.8218495241603359</v>
      </c>
      <c r="AQ22" s="251">
        <f t="shared" si="13"/>
        <v>12.380849524160336</v>
      </c>
      <c r="AR22" s="251">
        <f t="shared" si="14"/>
        <v>12.380849524160336</v>
      </c>
      <c r="AS22" s="263">
        <f t="shared" si="15"/>
        <v>4.1338051821087518E-2</v>
      </c>
      <c r="AT22" s="251">
        <f t="shared" si="16"/>
        <v>0.48148852766075123</v>
      </c>
      <c r="AV22" s="263">
        <v>3.69</v>
      </c>
      <c r="AW22" s="265" t="s">
        <v>499</v>
      </c>
    </row>
    <row r="23" spans="1:49" x14ac:dyDescent="0.2">
      <c r="A23" s="255">
        <v>23</v>
      </c>
      <c r="B23" s="55">
        <f t="shared" si="2"/>
        <v>6.5986450094491005</v>
      </c>
      <c r="C23" s="249" t="s">
        <v>411</v>
      </c>
      <c r="D23" s="55">
        <f t="shared" si="3"/>
        <v>5.7738671984421375</v>
      </c>
      <c r="E23" s="55">
        <f>(M23-F23)*'תחשיב הכרה בעלויות '!$C$21</f>
        <v>0.72809450879950022</v>
      </c>
      <c r="F23" s="55">
        <f>M23*'תחשיב הכרה בעלויות '!$C$22</f>
        <v>0.15839619480772302</v>
      </c>
      <c r="G23" s="56">
        <f>'תחשיב הכרה בעלויות '!$M$30</f>
        <v>0.55879601295904968</v>
      </c>
      <c r="H23" s="56">
        <f>'תחשיב הכרה בעלויות '!$E$19</f>
        <v>0.38383298240508607</v>
      </c>
      <c r="I23" s="56">
        <f>'תחשיב הכרה בעלויות '!$I$19</f>
        <v>0.44094482860187678</v>
      </c>
      <c r="J23" s="56">
        <f>'תחשיב הכרה בעלויות '!$M$24</f>
        <v>0.85657249449949613</v>
      </c>
      <c r="K23" s="254">
        <f>'תעריף כמות מוכרת'!K23</f>
        <v>1.6592421000000002</v>
      </c>
      <c r="L23" s="255"/>
      <c r="M23" s="272">
        <f t="shared" si="18"/>
        <v>10.559746320514869</v>
      </c>
      <c r="P23" s="252">
        <f t="shared" si="4"/>
        <v>2.956759423101373</v>
      </c>
      <c r="Q23" s="252"/>
      <c r="R23" s="251">
        <f>+IFERROR(VLOOKUP(TRIM(C23&amp;"-"&amp;$R$2),'אגרות ביוב'!$A$8:$J$72,10,0),0)</f>
        <v>2.868819496329567</v>
      </c>
      <c r="S23" s="252">
        <f>+IFERROR(VLOOKUP(TRIM(C23&amp;"-"&amp;$S$2),'אגרות ביוב'!$A$8:$J$72,10,0),0)</f>
        <v>0</v>
      </c>
      <c r="T23" s="252">
        <f>+IFERROR(VLOOKUP(TRIM(C23&amp;"-"&amp;$T$2),'אגרות ביוב'!$A$8:$J$72,10,0),0)</f>
        <v>0</v>
      </c>
      <c r="Y23" s="250" t="s">
        <v>38</v>
      </c>
      <c r="Z23" s="250" t="s">
        <v>54</v>
      </c>
      <c r="AD23" s="274" t="str">
        <f t="shared" si="5"/>
        <v>פרדס חנה-כרכור</v>
      </c>
      <c r="AE23" s="251">
        <f t="shared" si="6"/>
        <v>1.3858743471677475</v>
      </c>
      <c r="AF23" s="252">
        <f t="shared" si="7"/>
        <v>1.7407626749049845</v>
      </c>
      <c r="AG23" s="274">
        <f t="shared" si="8"/>
        <v>1.6592421000000002</v>
      </c>
      <c r="AH23" s="274">
        <f t="shared" si="9"/>
        <v>0</v>
      </c>
      <c r="AI23" s="251">
        <f t="shared" si="10"/>
        <v>5.7738671984421375</v>
      </c>
      <c r="AJ23" s="251">
        <f t="shared" si="11"/>
        <v>7.7538194963295668</v>
      </c>
      <c r="AK23" s="250">
        <v>7.9660000000000002</v>
      </c>
      <c r="AL23" s="289">
        <f t="shared" si="0"/>
        <v>0.2121805036704334</v>
      </c>
      <c r="AM23" s="251">
        <f t="shared" si="12"/>
        <v>12.427819496329565</v>
      </c>
      <c r="AN23" s="250">
        <v>12.821</v>
      </c>
      <c r="AO23" s="289">
        <f t="shared" si="1"/>
        <v>0.39318050367043433</v>
      </c>
      <c r="AP23" s="251">
        <f>'[4]תעריף רכישה רשויות '!D25</f>
        <v>3.2126728587072328</v>
      </c>
      <c r="AQ23" s="251">
        <f t="shared" si="13"/>
        <v>12.771672858707232</v>
      </c>
      <c r="AR23" s="251">
        <f t="shared" si="14"/>
        <v>12.771672858707232</v>
      </c>
      <c r="AS23" s="263">
        <f t="shared" si="15"/>
        <v>0.34385336237766673</v>
      </c>
      <c r="AT23" s="251">
        <f t="shared" si="16"/>
        <v>0.39318050367043433</v>
      </c>
      <c r="AV23" s="263"/>
      <c r="AW23" s="263"/>
    </row>
    <row r="24" spans="1:49" x14ac:dyDescent="0.2">
      <c r="A24" s="255">
        <v>24</v>
      </c>
      <c r="B24" s="55">
        <f t="shared" si="2"/>
        <v>7.8765121094490995</v>
      </c>
      <c r="C24" s="249" t="s">
        <v>21</v>
      </c>
      <c r="D24" s="55">
        <f t="shared" si="3"/>
        <v>7.0517342984421383</v>
      </c>
      <c r="E24" s="55">
        <f>(M24-F24)*'תחשיב הכרה בעלויות '!$C$21</f>
        <v>0.72809450879950022</v>
      </c>
      <c r="F24" s="55">
        <f>M24*'תחשיב הכרה בעלויות '!$C$22</f>
        <v>0.15839619480772302</v>
      </c>
      <c r="G24" s="56">
        <f>'תחשיב הכרה בעלויות '!$M$30</f>
        <v>0.55879601295904968</v>
      </c>
      <c r="H24" s="56">
        <f>'תחשיב הכרה בעלויות '!$E$19</f>
        <v>0.38383298240508607</v>
      </c>
      <c r="I24" s="56">
        <f>'תחשיב הכרה בעלויות '!$I$19</f>
        <v>0.44094482860187678</v>
      </c>
      <c r="J24" s="56">
        <f>'תחשיב הכרה בעלויות '!$M$24</f>
        <v>0.85657249449949613</v>
      </c>
      <c r="K24" s="254">
        <f>'תעריף כמות מוכרת'!K24</f>
        <v>0.38137500000000002</v>
      </c>
      <c r="L24" s="255"/>
      <c r="M24" s="272">
        <f t="shared" si="18"/>
        <v>10.559746320514869</v>
      </c>
      <c r="P24" s="252">
        <f t="shared" si="4"/>
        <v>1.6788923231013728</v>
      </c>
      <c r="Q24" s="252"/>
      <c r="R24" s="251">
        <f>'אגרות ביוב'!J72</f>
        <v>0.38938015086233385</v>
      </c>
      <c r="S24" s="252">
        <f>+IFERROR(VLOOKUP(TRIM(C24&amp;"-"&amp;$S$2),'אגרות ביוב'!$A$8:$J$72,10,0),0)</f>
        <v>0</v>
      </c>
      <c r="T24" s="252">
        <f>+IFERROR(VLOOKUP(TRIM(C24&amp;"-"&amp;$T$2),'אגרות ביוב'!$A$8:$J$72,10,0),0)</f>
        <v>0</v>
      </c>
      <c r="X24" s="250" t="s">
        <v>69</v>
      </c>
      <c r="Y24" s="250" t="s">
        <v>68</v>
      </c>
      <c r="Z24" s="250" t="s">
        <v>42</v>
      </c>
      <c r="AD24" s="274" t="str">
        <f t="shared" si="5"/>
        <v>שדרות</v>
      </c>
      <c r="AE24" s="251">
        <f t="shared" si="6"/>
        <v>1.3858743471677475</v>
      </c>
      <c r="AF24" s="252">
        <f t="shared" si="7"/>
        <v>1.7407626749049845</v>
      </c>
      <c r="AG24" s="274">
        <f t="shared" si="8"/>
        <v>0.38137500000000002</v>
      </c>
      <c r="AH24" s="274">
        <f t="shared" si="9"/>
        <v>0</v>
      </c>
      <c r="AI24" s="251">
        <f t="shared" si="10"/>
        <v>7.0517342984421383</v>
      </c>
      <c r="AJ24" s="251">
        <f t="shared" si="11"/>
        <v>5.274380150862334</v>
      </c>
      <c r="AK24" s="250">
        <v>7.9660000000000002</v>
      </c>
      <c r="AL24" s="289">
        <f t="shared" si="0"/>
        <v>2.6916198491376662</v>
      </c>
      <c r="AM24" s="251">
        <f>R24+T24+S24+$AM$1</f>
        <v>9.9483801508623326</v>
      </c>
      <c r="AN24" s="250">
        <v>12.821</v>
      </c>
      <c r="AO24" s="289">
        <f t="shared" si="1"/>
        <v>2.8726198491376671</v>
      </c>
      <c r="AP24" s="251">
        <f>'[4]תעריף רכישה רשויות '!D26</f>
        <v>1.9125945708280938</v>
      </c>
      <c r="AQ24" s="251">
        <f t="shared" si="13"/>
        <v>11.471594570828094</v>
      </c>
      <c r="AR24" s="251">
        <f t="shared" si="14"/>
        <v>11.471594570828094</v>
      </c>
      <c r="AS24" s="263">
        <f>IF(R24+T24+S24=0,"E",AR24-AM24)</f>
        <v>1.5232144199657611</v>
      </c>
      <c r="AT24" s="251">
        <f t="shared" si="16"/>
        <v>2.8726198491376671</v>
      </c>
      <c r="AV24" s="263"/>
      <c r="AW24" s="263"/>
    </row>
    <row r="25" spans="1:49" x14ac:dyDescent="0.2">
      <c r="A25" s="255">
        <v>25</v>
      </c>
      <c r="B25" s="55">
        <f t="shared" si="2"/>
        <v>7.3849621094490994</v>
      </c>
      <c r="C25" s="249" t="s">
        <v>22</v>
      </c>
      <c r="D25" s="55">
        <f t="shared" si="3"/>
        <v>6.5601842984421381</v>
      </c>
      <c r="E25" s="55">
        <f>(M25-F25)*'תחשיב הכרה בעלויות '!$C$21</f>
        <v>0.72809450879950022</v>
      </c>
      <c r="F25" s="55">
        <f>M25*'תחשיב הכרה בעלויות '!$C$22</f>
        <v>0.15839619480772302</v>
      </c>
      <c r="G25" s="56">
        <f>'תחשיב הכרה בעלויות '!$M$30</f>
        <v>0.55879601295904968</v>
      </c>
      <c r="H25" s="56">
        <f>'תחשיב הכרה בעלויות '!$E$19</f>
        <v>0.38383298240508607</v>
      </c>
      <c r="I25" s="56">
        <f>'תחשיב הכרה בעלויות '!$I$19</f>
        <v>0.44094482860187678</v>
      </c>
      <c r="J25" s="56">
        <f>'תחשיב הכרה בעלויות '!$M$24</f>
        <v>0.85657249449949613</v>
      </c>
      <c r="K25" s="254">
        <f>'תעריף כמות מוכרת'!K25</f>
        <v>0.87292499999999995</v>
      </c>
      <c r="L25" s="255"/>
      <c r="M25" s="272">
        <f t="shared" si="18"/>
        <v>10.559746320514869</v>
      </c>
      <c r="P25" s="252">
        <f t="shared" si="4"/>
        <v>2.1704423231013728</v>
      </c>
      <c r="Q25" s="252"/>
      <c r="R25" s="251">
        <f>+IFERROR(VLOOKUP(TRIM(C25&amp;"-"&amp;$R$2),'אגרות ביוב'!$A$8:$J$72,10,0),0)</f>
        <v>0.97462849184807676</v>
      </c>
      <c r="S25" s="252">
        <f>+IFERROR(VLOOKUP(TRIM(C25&amp;"-"&amp;$S$2),'אגרות ביוב'!$A$8:$J$72,10,0),0)</f>
        <v>0</v>
      </c>
      <c r="T25" s="252">
        <f>+IFERROR(VLOOKUP(TRIM(C25&amp;"-"&amp;$T$2),'אגרות ביוב'!$A$8:$J$72,10,0),0)</f>
        <v>0</v>
      </c>
      <c r="AD25" s="274" t="str">
        <f t="shared" si="5"/>
        <v>מעיליא</v>
      </c>
      <c r="AE25" s="251">
        <f t="shared" si="6"/>
        <v>1.3858743471677475</v>
      </c>
      <c r="AF25" s="252">
        <f t="shared" si="7"/>
        <v>1.7407626749049845</v>
      </c>
      <c r="AG25" s="274">
        <f t="shared" si="8"/>
        <v>0.87292499999999995</v>
      </c>
      <c r="AH25" s="274">
        <f t="shared" si="9"/>
        <v>0</v>
      </c>
      <c r="AI25" s="251">
        <f t="shared" si="10"/>
        <v>6.5601842984421381</v>
      </c>
      <c r="AJ25" s="251">
        <f t="shared" si="11"/>
        <v>5.8596284918480768</v>
      </c>
      <c r="AK25" s="250">
        <v>7.9660000000000002</v>
      </c>
      <c r="AL25" s="289">
        <f t="shared" si="0"/>
        <v>2.1063715081519234</v>
      </c>
      <c r="AM25" s="251">
        <f t="shared" si="12"/>
        <v>10.533628491848075</v>
      </c>
      <c r="AN25" s="250">
        <v>12.821</v>
      </c>
      <c r="AO25" s="289">
        <f t="shared" si="1"/>
        <v>2.2873715081519244</v>
      </c>
      <c r="AP25" s="251">
        <f>'[4]תעריף רכישה רשויות '!D27</f>
        <v>2.5404134671765464</v>
      </c>
      <c r="AQ25" s="251">
        <f t="shared" si="13"/>
        <v>12.099413467176547</v>
      </c>
      <c r="AR25" s="251">
        <f t="shared" si="14"/>
        <v>12.099413467176547</v>
      </c>
      <c r="AS25" s="263">
        <f t="shared" si="15"/>
        <v>1.5657849753284712</v>
      </c>
      <c r="AT25" s="251">
        <f t="shared" si="16"/>
        <v>2.2873715081519244</v>
      </c>
      <c r="AV25" s="263"/>
      <c r="AW25" s="263"/>
    </row>
    <row r="26" spans="1:49" x14ac:dyDescent="0.2">
      <c r="A26" s="255">
        <v>26</v>
      </c>
      <c r="B26" s="55">
        <f t="shared" si="2"/>
        <v>7.3849621094490994</v>
      </c>
      <c r="C26" s="249" t="s">
        <v>24</v>
      </c>
      <c r="D26" s="55">
        <f t="shared" si="3"/>
        <v>6.5601842984421381</v>
      </c>
      <c r="E26" s="55">
        <f>(M26-F26)*'תחשיב הכרה בעלויות '!$C$21</f>
        <v>0.72809450879950022</v>
      </c>
      <c r="F26" s="55">
        <f>M26*'תחשיב הכרה בעלויות '!$C$22</f>
        <v>0.15839619480772302</v>
      </c>
      <c r="G26" s="56">
        <f>'תחשיב הכרה בעלויות '!$M$30</f>
        <v>0.55879601295904968</v>
      </c>
      <c r="H26" s="56">
        <f>'תחשיב הכרה בעלויות '!$E$19</f>
        <v>0.38383298240508607</v>
      </c>
      <c r="I26" s="56">
        <f>'תחשיב הכרה בעלויות '!$I$19</f>
        <v>0.44094482860187678</v>
      </c>
      <c r="J26" s="56">
        <f>'תחשיב הכרה בעלויות '!$M$24</f>
        <v>0.85657249449949613</v>
      </c>
      <c r="K26" s="254">
        <f>'תעריף כמות מוכרת'!K26</f>
        <v>0.87292499999999995</v>
      </c>
      <c r="L26" s="255"/>
      <c r="M26" s="272">
        <f t="shared" si="18"/>
        <v>10.559746320514869</v>
      </c>
      <c r="P26" s="252">
        <f t="shared" si="4"/>
        <v>2.1704423231013728</v>
      </c>
      <c r="Q26" s="252"/>
      <c r="R26" s="251">
        <f>+IFERROR(VLOOKUP(TRIM(C26&amp;"-"&amp;$R$2),'אגרות ביוב'!$A$8:$J$72,10,0),0)</f>
        <v>2.0865660633936636</v>
      </c>
      <c r="S26" s="252">
        <f>+IFERROR(VLOOKUP(TRIM(C26&amp;"-"&amp;$S$2),'אגרות ביוב'!$A$8:$J$72,10,0),0)</f>
        <v>0</v>
      </c>
      <c r="T26" s="252">
        <f>+IFERROR(VLOOKUP(TRIM(C26&amp;"-"&amp;$T$2),'אגרות ביוב'!$A$8:$J$72,10,0),0)</f>
        <v>0</v>
      </c>
      <c r="X26" s="250" t="s">
        <v>70</v>
      </c>
      <c r="Y26" s="250" t="s">
        <v>60</v>
      </c>
      <c r="Z26" s="250" t="s">
        <v>58</v>
      </c>
      <c r="AD26" s="274" t="str">
        <f t="shared" si="5"/>
        <v>ראש פינה</v>
      </c>
      <c r="AE26" s="251">
        <f t="shared" si="6"/>
        <v>1.3858743471677475</v>
      </c>
      <c r="AF26" s="252">
        <f t="shared" si="7"/>
        <v>1.7407626749049845</v>
      </c>
      <c r="AG26" s="274">
        <f t="shared" si="8"/>
        <v>0.87292499999999995</v>
      </c>
      <c r="AH26" s="274">
        <f t="shared" si="9"/>
        <v>0</v>
      </c>
      <c r="AI26" s="251">
        <f t="shared" si="10"/>
        <v>6.5601842984421381</v>
      </c>
      <c r="AJ26" s="251">
        <f t="shared" si="11"/>
        <v>6.9715660633936629</v>
      </c>
      <c r="AK26" s="250">
        <v>7.9660000000000002</v>
      </c>
      <c r="AL26" s="289">
        <f t="shared" si="0"/>
        <v>0.99443393660633728</v>
      </c>
      <c r="AM26" s="251">
        <f t="shared" si="12"/>
        <v>11.645566063393662</v>
      </c>
      <c r="AN26" s="250">
        <v>12.821</v>
      </c>
      <c r="AO26" s="289">
        <f t="shared" si="1"/>
        <v>1.1754339366063373</v>
      </c>
      <c r="AP26" s="251">
        <f>'[4]תעריף רכישה רשויות '!D28</f>
        <v>2.5404134671765464</v>
      </c>
      <c r="AQ26" s="251">
        <f t="shared" si="13"/>
        <v>12.099413467176547</v>
      </c>
      <c r="AR26" s="251">
        <f t="shared" si="14"/>
        <v>12.099413467176547</v>
      </c>
      <c r="AS26" s="263">
        <f t="shared" si="15"/>
        <v>0.45384740378288413</v>
      </c>
      <c r="AT26" s="251">
        <f t="shared" si="16"/>
        <v>1.1754339366063373</v>
      </c>
      <c r="AV26" s="263"/>
      <c r="AW26" s="263"/>
    </row>
    <row r="27" spans="1:49" x14ac:dyDescent="0.2">
      <c r="A27" s="255">
        <v>27</v>
      </c>
      <c r="B27" s="55">
        <f t="shared" si="2"/>
        <v>6.5986450094491005</v>
      </c>
      <c r="C27" s="249" t="s">
        <v>405</v>
      </c>
      <c r="D27" s="55">
        <f>M27-L27-K27-J27-I27-H27-G27-F27-E27</f>
        <v>5.7738671984421375</v>
      </c>
      <c r="E27" s="55">
        <f>(M27-F27)*'תחשיב הכרה בעלויות '!$C$21</f>
        <v>0.72809450879950022</v>
      </c>
      <c r="F27" s="55">
        <f>M27*'תחשיב הכרה בעלויות '!$C$22</f>
        <v>0.15839619480772302</v>
      </c>
      <c r="G27" s="56">
        <f>'תחשיב הכרה בעלויות '!$M$30</f>
        <v>0.55879601295904968</v>
      </c>
      <c r="H27" s="56">
        <f>'תחשיב הכרה בעלויות '!$E$19</f>
        <v>0.38383298240508607</v>
      </c>
      <c r="I27" s="56">
        <f>'תחשיב הכרה בעלויות '!$I$19</f>
        <v>0.44094482860187678</v>
      </c>
      <c r="J27" s="56">
        <f>'תחשיב הכרה בעלויות '!$M$24</f>
        <v>0.85657249449949613</v>
      </c>
      <c r="K27" s="254">
        <f>'תעריף כמות מוכרת'!K27</f>
        <v>1.6592421000000002</v>
      </c>
      <c r="L27" s="255"/>
      <c r="M27" s="272">
        <f t="shared" si="18"/>
        <v>10.559746320514869</v>
      </c>
      <c r="R27" s="251">
        <f>+IFERROR(VLOOKUP(TRIM(C27&amp;"-"&amp;$R$2),'אגרות ביוב'!$A$8:$J$72,10,0),0)</f>
        <v>2.4541020612835185</v>
      </c>
      <c r="S27" s="252">
        <f>+IFERROR(VLOOKUP(TRIM(C27&amp;"-"&amp;$S$2),'אגרות ביוב'!$A$8:$J$72,10,0),0)</f>
        <v>0</v>
      </c>
      <c r="T27" s="252">
        <f>+IFERROR(VLOOKUP(TRIM(C27&amp;"-"&amp;$T$2),'אגרות ביוב'!$A$8:$J$72,10,0),0)</f>
        <v>0.82218647738432615</v>
      </c>
      <c r="X27" s="250" t="str">
        <f>X5</f>
        <v xml:space="preserve">נתונים מגזבר אור עקיבא במייל </v>
      </c>
      <c r="Y27" s="250" t="s">
        <v>38</v>
      </c>
      <c r="Z27" s="250" t="s">
        <v>54</v>
      </c>
      <c r="AD27" s="274" t="str">
        <f t="shared" si="5"/>
        <v>ג'סר אל זרקא</v>
      </c>
      <c r="AE27" s="251">
        <f t="shared" si="6"/>
        <v>1.3858743471677475</v>
      </c>
      <c r="AF27" s="252">
        <f t="shared" si="7"/>
        <v>1.7407626749049845</v>
      </c>
      <c r="AG27" s="274">
        <f t="shared" si="8"/>
        <v>1.6592421000000002</v>
      </c>
      <c r="AH27" s="274">
        <f t="shared" si="9"/>
        <v>0</v>
      </c>
      <c r="AI27" s="251">
        <f t="shared" si="10"/>
        <v>5.7738671984421375</v>
      </c>
      <c r="AJ27" s="251">
        <f t="shared" si="11"/>
        <v>8.1612885386678435</v>
      </c>
      <c r="AK27" s="250">
        <v>7.9660000000000002</v>
      </c>
      <c r="AL27" s="289">
        <f t="shared" si="0"/>
        <v>-0.19528853866784335</v>
      </c>
      <c r="AM27" s="251">
        <f t="shared" si="12"/>
        <v>12.835288538667843</v>
      </c>
      <c r="AN27" s="250">
        <v>12.821</v>
      </c>
      <c r="AO27" s="289">
        <f t="shared" si="1"/>
        <v>-1.4288538667843298E-2</v>
      </c>
      <c r="AP27" s="251">
        <f>'[4]תעריף רכישה רשויות '!D29</f>
        <v>3.2126728587072328</v>
      </c>
      <c r="AQ27" s="251">
        <f t="shared" si="13"/>
        <v>12.771672858707232</v>
      </c>
      <c r="AR27" s="251">
        <f t="shared" si="14"/>
        <v>12.771672858707232</v>
      </c>
      <c r="AS27" s="263">
        <f t="shared" si="15"/>
        <v>-6.3615679960610905E-2</v>
      </c>
      <c r="AT27" s="251">
        <f t="shared" si="16"/>
        <v>-1.4288538667843298E-2</v>
      </c>
      <c r="AV27" s="263"/>
      <c r="AW27" s="263"/>
    </row>
    <row r="28" spans="1:49" x14ac:dyDescent="0.2">
      <c r="A28" s="255">
        <v>28</v>
      </c>
      <c r="B28" s="55">
        <f t="shared" si="2"/>
        <v>7.5798871094491007</v>
      </c>
      <c r="C28" s="249" t="s">
        <v>23</v>
      </c>
      <c r="D28" s="55">
        <f>M28-L28-K28-J28-I28-H28-G28-F28-E28</f>
        <v>6.7551092984421395</v>
      </c>
      <c r="E28" s="55">
        <f>(M28-F28)*'תחשיב הכרה בעלויות '!$C$21</f>
        <v>0.72809450879950022</v>
      </c>
      <c r="F28" s="55">
        <f>M28*'תחשיב הכרה בעלויות '!$C$22</f>
        <v>0.15839619480772302</v>
      </c>
      <c r="G28" s="56">
        <f>'תחשיב הכרה בעלויות '!$M$30</f>
        <v>0.55879601295904968</v>
      </c>
      <c r="H28" s="56">
        <f>'תחשיב הכרה בעלויות '!$E$19</f>
        <v>0.38383298240508607</v>
      </c>
      <c r="I28" s="56">
        <f>'תחשיב הכרה בעלויות '!$I$19</f>
        <v>0.44094482860187678</v>
      </c>
      <c r="J28" s="56">
        <f>'תחשיב הכרה בעלויות '!$M$24</f>
        <v>0.85657249449949613</v>
      </c>
      <c r="K28" s="254">
        <f>'תעריף כמות מוכרת'!K28</f>
        <v>0.67799999999999983</v>
      </c>
      <c r="L28" s="255"/>
      <c r="M28" s="272">
        <f t="shared" si="18"/>
        <v>10.559746320514869</v>
      </c>
      <c r="R28" s="251">
        <f>+IFERROR(VLOOKUP(TRIM(C28&amp;"-"&amp;$R$2),'אגרות ביוב'!$A$8:$J$72,10,0),0)</f>
        <v>1.06505900919592</v>
      </c>
      <c r="S28" s="252">
        <f>+IFERROR(VLOOKUP(TRIM(C28&amp;"-"&amp;$S$2),'אגרות ביוב'!$A$8:$J$72,10,0),0)</f>
        <v>0</v>
      </c>
      <c r="T28" s="252">
        <f>+IFERROR(VLOOKUP(TRIM(C28&amp;"-"&amp;$T$2),'אגרות ביוב'!$A$8:$J$72,10,0),0)</f>
        <v>0</v>
      </c>
      <c r="X28" s="250" t="s">
        <v>61</v>
      </c>
      <c r="AD28" s="274" t="str">
        <f t="shared" si="5"/>
        <v>קציר-חריש</v>
      </c>
      <c r="AE28" s="251">
        <f t="shared" si="6"/>
        <v>1.3858743471677475</v>
      </c>
      <c r="AF28" s="252">
        <f t="shared" si="7"/>
        <v>1.7407626749049845</v>
      </c>
      <c r="AG28" s="274">
        <f t="shared" si="8"/>
        <v>0.67799999999999983</v>
      </c>
      <c r="AH28" s="274">
        <f t="shared" si="9"/>
        <v>0</v>
      </c>
      <c r="AI28" s="251">
        <f t="shared" si="10"/>
        <v>6.7551092984421395</v>
      </c>
      <c r="AJ28" s="251">
        <f t="shared" si="11"/>
        <v>5.95005900919592</v>
      </c>
      <c r="AK28" s="250">
        <v>7.9660000000000002</v>
      </c>
      <c r="AL28" s="289">
        <f t="shared" si="0"/>
        <v>2.0159409908040802</v>
      </c>
      <c r="AM28" s="251">
        <f t="shared" si="12"/>
        <v>10.62405900919592</v>
      </c>
      <c r="AN28" s="250">
        <v>12.821</v>
      </c>
      <c r="AO28" s="289">
        <f t="shared" si="1"/>
        <v>2.1969409908040802</v>
      </c>
      <c r="AP28" s="251">
        <f>'[4]תעריף רכישה רשויות '!D30</f>
        <v>2.2914508013831942</v>
      </c>
      <c r="AQ28" s="251">
        <f t="shared" si="13"/>
        <v>11.850450801383193</v>
      </c>
      <c r="AR28" s="251">
        <f t="shared" si="14"/>
        <v>11.850450801383193</v>
      </c>
      <c r="AS28" s="263">
        <f t="shared" si="15"/>
        <v>1.2263917921872736</v>
      </c>
      <c r="AT28" s="251">
        <f t="shared" si="16"/>
        <v>2.1969409908040802</v>
      </c>
      <c r="AV28" s="263"/>
      <c r="AW28" s="263"/>
    </row>
    <row r="29" spans="1:49" x14ac:dyDescent="0.2">
      <c r="A29" s="255">
        <v>29</v>
      </c>
      <c r="B29" s="55">
        <f t="shared" si="2"/>
        <v>6.5986450094491005</v>
      </c>
      <c r="C29" s="249" t="s">
        <v>33</v>
      </c>
      <c r="D29" s="55">
        <f>M29-L29-K29-J29-I29-H29-G29-F29-E29</f>
        <v>5.7738671984421375</v>
      </c>
      <c r="E29" s="55">
        <f>(M29-F29)*'תחשיב הכרה בעלויות '!$C$21</f>
        <v>0.72809450879950022</v>
      </c>
      <c r="F29" s="55">
        <f>M29*'תחשיב הכרה בעלויות '!$C$22</f>
        <v>0.15839619480772302</v>
      </c>
      <c r="G29" s="56">
        <f>'תחשיב הכרה בעלויות '!$M$30</f>
        <v>0.55879601295904968</v>
      </c>
      <c r="H29" s="56">
        <f>'תחשיב הכרה בעלויות '!$E$19</f>
        <v>0.38383298240508607</v>
      </c>
      <c r="I29" s="56">
        <f>'תחשיב הכרה בעלויות '!$I$19</f>
        <v>0.44094482860187678</v>
      </c>
      <c r="J29" s="56">
        <f>'תחשיב הכרה בעלויות '!$M$24</f>
        <v>0.85657249449949613</v>
      </c>
      <c r="K29" s="254">
        <f>'תעריף כמות מוכרת'!K29</f>
        <v>1.6592421000000002</v>
      </c>
      <c r="L29" s="255"/>
      <c r="M29" s="272">
        <f t="shared" si="18"/>
        <v>10.559746320514869</v>
      </c>
      <c r="R29" s="251">
        <f>+IFERROR(VLOOKUP(TRIM(C29&amp;"-"&amp;$R$2),'אגרות ביוב'!$A$8:$J$72,10,0),0)</f>
        <v>2.610678966511407</v>
      </c>
      <c r="S29" s="252">
        <f>+IFERROR(VLOOKUP(TRIM(C29&amp;"-"&amp;$S$2),'אגרות ביוב'!$A$8:$J$72,10,0),0)</f>
        <v>0</v>
      </c>
      <c r="T29" s="252">
        <f>+IFERROR(VLOOKUP(TRIM(C29&amp;"-"&amp;$T$2),'אגרות ביוב'!$A$8:$J$72,10,0),0)</f>
        <v>0</v>
      </c>
      <c r="U29" s="250">
        <v>0.75</v>
      </c>
      <c r="X29" s="250" t="s">
        <v>339</v>
      </c>
      <c r="Y29" s="250" t="s">
        <v>3</v>
      </c>
      <c r="Z29" s="250" t="s">
        <v>41</v>
      </c>
      <c r="AD29" s="274" t="str">
        <f t="shared" ref="AD29" si="19">C29</f>
        <v>אור עקיבא</v>
      </c>
      <c r="AE29" s="251">
        <f t="shared" ref="AE29" si="20">E29/2+F29/2+G29+H29</f>
        <v>1.3858743471677475</v>
      </c>
      <c r="AF29" s="252">
        <f t="shared" ref="AF29" si="21">E29/2+F29/2+I29+J29</f>
        <v>1.7407626749049845</v>
      </c>
      <c r="AG29" s="274">
        <f t="shared" ref="AG29" si="22">K29</f>
        <v>1.6592421000000002</v>
      </c>
      <c r="AH29" s="274">
        <f t="shared" ref="AH29" si="23">L29</f>
        <v>0</v>
      </c>
      <c r="AI29" s="251">
        <f t="shared" ref="AI29" si="24">D29</f>
        <v>5.7738671984421375</v>
      </c>
      <c r="AJ29" s="251">
        <f t="shared" ref="AJ29" si="25">R29+T29+S29+$AJ$1</f>
        <v>7.4956789665114067</v>
      </c>
      <c r="AK29" s="250">
        <v>8.9659999999999993</v>
      </c>
      <c r="AL29" s="289">
        <f t="shared" si="0"/>
        <v>1.4703210334885926</v>
      </c>
      <c r="AM29" s="251">
        <f t="shared" si="12"/>
        <v>12.169678966511405</v>
      </c>
      <c r="AN29" s="250">
        <v>12.821</v>
      </c>
      <c r="AO29" s="289">
        <f t="shared" si="1"/>
        <v>0.65132103348859438</v>
      </c>
      <c r="AP29" s="251">
        <f>'[4]תעריף רכישה רשויות '!D31</f>
        <v>3.2126728587072328</v>
      </c>
      <c r="AQ29" s="251">
        <f t="shared" si="13"/>
        <v>12.771672858707232</v>
      </c>
      <c r="AR29" s="251">
        <f t="shared" si="14"/>
        <v>12.771672858707232</v>
      </c>
      <c r="AS29" s="263">
        <f t="shared" si="15"/>
        <v>0.60199389219582677</v>
      </c>
      <c r="AT29" s="251">
        <f t="shared" si="16"/>
        <v>0.65132103348859438</v>
      </c>
      <c r="AV29" s="263"/>
      <c r="AW29" s="263"/>
    </row>
    <row r="30" spans="1:49" x14ac:dyDescent="0.2">
      <c r="A30" s="255">
        <v>30</v>
      </c>
      <c r="B30" s="55">
        <f t="shared" si="2"/>
        <v>7.3696751177360715</v>
      </c>
      <c r="C30" s="253" t="s">
        <v>431</v>
      </c>
      <c r="D30" s="55">
        <f>M30-L30-K30-J30-I30-H30-G30-F30-E30</f>
        <v>6.5448973067291094</v>
      </c>
      <c r="E30" s="55">
        <f>(M30-F30)*'תחשיב הכרה בעלויות '!$C$21</f>
        <v>0.72809450879950022</v>
      </c>
      <c r="F30" s="55">
        <f>M30*'תחשיב הכרה בעלויות '!$C$22</f>
        <v>0.15839619480772302</v>
      </c>
      <c r="G30" s="56">
        <f>'תחשיב הכרה בעלויות '!$M$30</f>
        <v>0.55879601295904968</v>
      </c>
      <c r="H30" s="56">
        <f>'תחשיב הכרה בעלויות '!$E$19</f>
        <v>0.38383298240508607</v>
      </c>
      <c r="I30" s="56">
        <f>'תחשיב הכרה בעלויות '!$I$19</f>
        <v>0.44094482860187678</v>
      </c>
      <c r="J30" s="56">
        <f>'תחשיב הכרה בעלויות '!$M$24</f>
        <v>0.85657249449949613</v>
      </c>
      <c r="K30" s="254">
        <f>+'[3]מטשים 2015'!$B$7</f>
        <v>0.88821199171302834</v>
      </c>
      <c r="M30" s="272">
        <f t="shared" si="18"/>
        <v>10.559746320514869</v>
      </c>
      <c r="R30" s="251"/>
      <c r="S30" s="252"/>
      <c r="T30" s="252"/>
    </row>
    <row r="31" spans="1:49" hidden="1" x14ac:dyDescent="0.2">
      <c r="C31" s="249"/>
      <c r="D31" s="246"/>
      <c r="E31" s="246"/>
      <c r="F31" s="246"/>
      <c r="G31" s="247"/>
      <c r="H31" s="247"/>
      <c r="I31" s="247"/>
      <c r="J31" s="247"/>
      <c r="M31" s="272">
        <f t="shared" si="18"/>
        <v>10.559746320514869</v>
      </c>
      <c r="R31" s="251"/>
      <c r="S31" s="252"/>
      <c r="T31" s="252"/>
    </row>
    <row r="32" spans="1:49" hidden="1" x14ac:dyDescent="0.2">
      <c r="A32" s="250">
        <v>1</v>
      </c>
      <c r="C32" s="249" t="s">
        <v>6</v>
      </c>
      <c r="D32" s="251">
        <f t="shared" ref="D32:D40" si="26">M32-L32-K32-J32-I32-H32-G32-F32-E32</f>
        <v>6.0947913236010685</v>
      </c>
      <c r="E32" s="251">
        <f>'תחשיב הכרה בעלויות '!$C$14+'תחשיב הכרה בעלויות '!$J$14</f>
        <v>0.87303059279996109</v>
      </c>
      <c r="F32" s="251">
        <f>'תחשיב הכרה בעלויות '!$C$15+'תחשיב הכרה בעלויות '!$J$15</f>
        <v>0.15177808564833167</v>
      </c>
      <c r="G32" s="252">
        <f>'תחשיב הכרה בעלויות '!$M$30</f>
        <v>0.55879601295904968</v>
      </c>
      <c r="H32" s="252">
        <f>'תחשיב הכרה בעלויות '!$E$19</f>
        <v>0.38383298240508607</v>
      </c>
      <c r="I32" s="252">
        <f>'תחשיב הכרה בעלויות '!$I$19</f>
        <v>0.44094482860187678</v>
      </c>
      <c r="J32" s="252">
        <f>'תחשיב הכרה בעלויות '!$M$24</f>
        <v>0.85657249449949613</v>
      </c>
      <c r="K32" s="250">
        <v>1.2</v>
      </c>
      <c r="M32" s="272">
        <f t="shared" si="18"/>
        <v>10.559746320514869</v>
      </c>
      <c r="R32" s="251">
        <f>+IFERROR(VLOOKUP(TRIM(C32&amp;"-"&amp;$R$2),'אגרות ביוב'!$A$8:$J$72,10,0),0)</f>
        <v>1.4729215091074577</v>
      </c>
      <c r="S32" s="252">
        <f>+IFERROR(VLOOKUP(TRIM(C32&amp;"-"&amp;$S$2),'אגרות ביוב'!$A$8:$J$72,10,0),0)</f>
        <v>1.011073239302577</v>
      </c>
      <c r="T32" s="252">
        <f>+IFERROR(VLOOKUP(TRIM(C32&amp;"-"&amp;$T$2),'אגרות ביוב'!$A$8:$J$72,10,0),0)</f>
        <v>0</v>
      </c>
      <c r="W32" s="250" t="s">
        <v>32</v>
      </c>
      <c r="Y32" s="250" t="s">
        <v>2</v>
      </c>
      <c r="Z32" s="250" t="s">
        <v>42</v>
      </c>
      <c r="AD32" s="255" t="s">
        <v>477</v>
      </c>
      <c r="AE32" s="255" t="s">
        <v>473</v>
      </c>
      <c r="AF32" s="255" t="s">
        <v>474</v>
      </c>
      <c r="AG32" s="255" t="s">
        <v>36</v>
      </c>
      <c r="AH32" s="255" t="s">
        <v>475</v>
      </c>
      <c r="AI32" s="255" t="s">
        <v>476</v>
      </c>
    </row>
    <row r="33" spans="1:35" hidden="1" x14ac:dyDescent="0.2">
      <c r="A33" s="250">
        <v>2</v>
      </c>
      <c r="C33" s="249" t="s">
        <v>7</v>
      </c>
      <c r="D33" s="251">
        <f t="shared" si="26"/>
        <v>7.2947913236010686</v>
      </c>
      <c r="E33" s="251">
        <f>'תחשיב הכרה בעלויות '!$C$14+'תחשיב הכרה בעלויות '!$J$14</f>
        <v>0.87303059279996109</v>
      </c>
      <c r="F33" s="251">
        <f>'תחשיב הכרה בעלויות '!$C$15+'תחשיב הכרה בעלויות '!$J$15</f>
        <v>0.15177808564833167</v>
      </c>
      <c r="G33" s="252">
        <f>'תחשיב הכרה בעלויות '!$M$30</f>
        <v>0.55879601295904968</v>
      </c>
      <c r="H33" s="252">
        <f>'תחשיב הכרה בעלויות '!$E$19</f>
        <v>0.38383298240508607</v>
      </c>
      <c r="I33" s="252">
        <f>'תחשיב הכרה בעלויות '!$I$19</f>
        <v>0.44094482860187678</v>
      </c>
      <c r="J33" s="252">
        <f>'תחשיב הכרה בעלויות '!$M$24</f>
        <v>0.85657249449949613</v>
      </c>
      <c r="M33" s="272">
        <f t="shared" si="18"/>
        <v>10.559746320514869</v>
      </c>
      <c r="R33" s="251">
        <f>+IFERROR(VLOOKUP(TRIM(C33&amp;"-"&amp;$R$2),'אגרות ביוב'!$A$8:$J$72,10,0),0)</f>
        <v>0</v>
      </c>
      <c r="S33" s="252">
        <f>+IFERROR(VLOOKUP(TRIM(C33&amp;"-"&amp;$S$2),'אגרות ביוב'!$A$8:$J$72,10,0),0)</f>
        <v>0</v>
      </c>
      <c r="T33" s="252">
        <f>+IFERROR(VLOOKUP(TRIM(C33&amp;"-"&amp;$T$2),'אגרות ביוב'!$A$8:$J$72,10,0),0)</f>
        <v>0</v>
      </c>
      <c r="W33" s="250" t="s">
        <v>34</v>
      </c>
      <c r="AD33" s="254" t="str">
        <f t="shared" ref="AD33:AI33" si="27">AD3</f>
        <v>גבעת שמואל</v>
      </c>
      <c r="AE33" s="254">
        <f t="shared" si="27"/>
        <v>1.3858743471677475</v>
      </c>
      <c r="AF33" s="254">
        <f t="shared" si="27"/>
        <v>1.7407626749049845</v>
      </c>
      <c r="AG33" s="254">
        <f t="shared" si="27"/>
        <v>2.0556593554478284</v>
      </c>
      <c r="AH33" s="254">
        <f t="shared" si="27"/>
        <v>9.0318952348322865E-2</v>
      </c>
      <c r="AI33" s="254">
        <f t="shared" si="27"/>
        <v>5.287130990645986</v>
      </c>
    </row>
    <row r="34" spans="1:35" hidden="1" x14ac:dyDescent="0.2">
      <c r="A34" s="250">
        <v>3</v>
      </c>
      <c r="C34" s="249" t="s">
        <v>410</v>
      </c>
      <c r="D34" s="251">
        <f t="shared" si="26"/>
        <v>6.0947913236010685</v>
      </c>
      <c r="E34" s="251">
        <f>'תחשיב הכרה בעלויות '!$C$14+'תחשיב הכרה בעלויות '!$J$14</f>
        <v>0.87303059279996109</v>
      </c>
      <c r="F34" s="251">
        <f>'תחשיב הכרה בעלויות '!$C$15+'תחשיב הכרה בעלויות '!$J$15</f>
        <v>0.15177808564833167</v>
      </c>
      <c r="G34" s="252">
        <f>'תחשיב הכרה בעלויות '!$M$30</f>
        <v>0.55879601295904968</v>
      </c>
      <c r="H34" s="252">
        <f>'תחשיב הכרה בעלויות '!$E$19</f>
        <v>0.38383298240508607</v>
      </c>
      <c r="I34" s="252">
        <f>'תחשיב הכרה בעלויות '!$I$19</f>
        <v>0.44094482860187678</v>
      </c>
      <c r="J34" s="252">
        <f>'תחשיב הכרה בעלויות '!$M$24</f>
        <v>0.85657249449949613</v>
      </c>
      <c r="K34" s="250">
        <v>1.2</v>
      </c>
      <c r="M34" s="272">
        <f t="shared" si="18"/>
        <v>10.559746320514869</v>
      </c>
      <c r="R34" s="251">
        <f>+IFERROR(VLOOKUP(TRIM(C34&amp;"-"&amp;$R$2),'אגרות ביוב'!$A$8:$J$72,10,0),0)</f>
        <v>2.2685739869260892</v>
      </c>
      <c r="S34" s="252">
        <f>+IFERROR(VLOOKUP(TRIM(C34&amp;"-"&amp;$S$2),'אגרות ביוב'!$A$8:$J$72,10,0),0)</f>
        <v>0.91270015223345469</v>
      </c>
      <c r="T34" s="252">
        <f>+IFERROR(VLOOKUP(TRIM(C34&amp;"-"&amp;$T$2),'אגרות ביוב'!$A$8:$J$72,10,0),0)</f>
        <v>0</v>
      </c>
      <c r="W34" s="250" t="s">
        <v>35</v>
      </c>
      <c r="Y34" s="250" t="s">
        <v>2</v>
      </c>
      <c r="Z34" s="250" t="s">
        <v>42</v>
      </c>
      <c r="AD34" s="254" t="str">
        <f>AD19</f>
        <v>נהריה</v>
      </c>
      <c r="AE34" s="254">
        <f t="shared" ref="AE34:AI34" si="28">AE19</f>
        <v>1.3858743471677475</v>
      </c>
      <c r="AF34" s="254">
        <f t="shared" si="28"/>
        <v>1.7407626749049845</v>
      </c>
      <c r="AG34" s="254">
        <f t="shared" si="28"/>
        <v>1.0763249999999998</v>
      </c>
      <c r="AH34" s="254">
        <f t="shared" si="28"/>
        <v>0</v>
      </c>
      <c r="AI34" s="254">
        <f t="shared" si="28"/>
        <v>6.356784298442137</v>
      </c>
    </row>
    <row r="35" spans="1:35" hidden="1" x14ac:dyDescent="0.2">
      <c r="A35" s="250">
        <v>4</v>
      </c>
      <c r="C35" s="249" t="s">
        <v>404</v>
      </c>
      <c r="D35" s="251">
        <f t="shared" si="26"/>
        <v>6.694791323601069</v>
      </c>
      <c r="E35" s="251">
        <f>'תחשיב הכרה בעלויות '!$C$14+'תחשיב הכרה בעלויות '!$J$14</f>
        <v>0.87303059279996109</v>
      </c>
      <c r="F35" s="251">
        <f>'תחשיב הכרה בעלויות '!$C$15+'תחשיב הכרה בעלויות '!$J$15</f>
        <v>0.15177808564833167</v>
      </c>
      <c r="G35" s="252">
        <f>'תחשיב הכרה בעלויות '!$M$30</f>
        <v>0.55879601295904968</v>
      </c>
      <c r="H35" s="252">
        <f>'תחשיב הכרה בעלויות '!$E$19</f>
        <v>0.38383298240508607</v>
      </c>
      <c r="I35" s="252">
        <f>'תחשיב הכרה בעלויות '!$I$19</f>
        <v>0.44094482860187678</v>
      </c>
      <c r="J35" s="252">
        <f>'תחשיב הכרה בעלויות '!$M$24</f>
        <v>0.85657249449949613</v>
      </c>
      <c r="L35" s="250">
        <v>0.6</v>
      </c>
      <c r="M35" s="272">
        <f t="shared" si="18"/>
        <v>10.559746320514869</v>
      </c>
      <c r="R35" s="251">
        <f>+IFERROR(VLOOKUP(TRIM(C35&amp;"-"&amp;$R$2),'אגרות ביוב'!$A$8:$J$72,10,0),0)</f>
        <v>1.0805431399717185</v>
      </c>
      <c r="S35" s="252">
        <f>+IFERROR(VLOOKUP(TRIM(C35&amp;"-"&amp;$S$2),'אגרות ביוב'!$A$8:$J$72,10,0),0)</f>
        <v>2.3598068574095001</v>
      </c>
      <c r="T35" s="252">
        <f>+IFERROR(VLOOKUP(TRIM(C35&amp;"-"&amp;$T$2),'אגרות ביוב'!$A$8:$J$72,10,0),0)</f>
        <v>1.6394447640950214</v>
      </c>
      <c r="V35" s="250">
        <f>3.531</f>
        <v>3.5310000000000001</v>
      </c>
      <c r="W35" s="250" t="s">
        <v>71</v>
      </c>
      <c r="X35" s="250" t="s">
        <v>46</v>
      </c>
      <c r="Y35" s="250" t="s">
        <v>0</v>
      </c>
      <c r="Z35" s="250" t="s">
        <v>0</v>
      </c>
      <c r="AD35" s="254" t="str">
        <f>AD20</f>
        <v>נשר</v>
      </c>
      <c r="AE35" s="254">
        <f t="shared" ref="AE35:AI35" si="29">AE20</f>
        <v>1.3858743471677475</v>
      </c>
      <c r="AF35" s="254">
        <f t="shared" si="29"/>
        <v>1.7407626749049845</v>
      </c>
      <c r="AG35" s="254">
        <f t="shared" si="29"/>
        <v>1.5443826176475777</v>
      </c>
      <c r="AH35" s="254">
        <f t="shared" si="29"/>
        <v>0</v>
      </c>
      <c r="AI35" s="254">
        <f t="shared" si="29"/>
        <v>5.8887266807945595</v>
      </c>
    </row>
    <row r="36" spans="1:35" hidden="1" x14ac:dyDescent="0.2">
      <c r="A36" s="250">
        <v>5</v>
      </c>
      <c r="C36" s="249" t="s">
        <v>9</v>
      </c>
      <c r="D36" s="251">
        <f t="shared" si="26"/>
        <v>5.6447913236010674</v>
      </c>
      <c r="E36" s="251">
        <f>'תחשיב הכרה בעלויות '!$C$14+'תחשיב הכרה בעלויות '!$J$14</f>
        <v>0.87303059279996109</v>
      </c>
      <c r="F36" s="251">
        <f>'תחשיב הכרה בעלויות '!$C$15+'תחשיב הכרה בעלויות '!$J$15</f>
        <v>0.15177808564833167</v>
      </c>
      <c r="G36" s="252">
        <f>'תחשיב הכרה בעלויות '!$M$30</f>
        <v>0.55879601295904968</v>
      </c>
      <c r="H36" s="252">
        <f>'תחשיב הכרה בעלויות '!$E$19</f>
        <v>0.38383298240508607</v>
      </c>
      <c r="I36" s="252">
        <f>'תחשיב הכרה בעלויות '!$I$19</f>
        <v>0.44094482860187678</v>
      </c>
      <c r="J36" s="252">
        <f>'תחשיב הכרה בעלויות '!$M$24</f>
        <v>0.85657249449949613</v>
      </c>
      <c r="K36" s="250">
        <v>1.65</v>
      </c>
      <c r="M36" s="272">
        <f t="shared" si="18"/>
        <v>10.559746320514869</v>
      </c>
      <c r="R36" s="251">
        <f>+IFERROR(VLOOKUP(TRIM(C36&amp;"-"&amp;$R$2),'אגרות ביוב'!$A$8:$J$72,10,0),0)</f>
        <v>1.4354743520962512</v>
      </c>
      <c r="S36" s="252">
        <f>+IFERROR(VLOOKUP(TRIM(C36&amp;"-"&amp;$S$2),'אגרות ביוב'!$A$8:$J$72,10,0),0)</f>
        <v>1.4354743520962512</v>
      </c>
      <c r="T36" s="252">
        <f>+IFERROR(VLOOKUP(TRIM(C36&amp;"-"&amp;$T$2),'אגרות ביוב'!$A$8:$J$72,10,0),0)</f>
        <v>0</v>
      </c>
      <c r="W36" s="250" t="s">
        <v>32</v>
      </c>
      <c r="Y36" s="250" t="s">
        <v>50</v>
      </c>
      <c r="Z36" s="250" t="s">
        <v>41</v>
      </c>
      <c r="AD36" s="254" t="str">
        <f>AD14</f>
        <v>שהם</v>
      </c>
      <c r="AE36" s="254">
        <f t="shared" ref="AE36:AI36" si="30">AE14</f>
        <v>1.3858743471677475</v>
      </c>
      <c r="AF36" s="254">
        <f t="shared" si="30"/>
        <v>1.7407626749049845</v>
      </c>
      <c r="AG36" s="254">
        <f t="shared" si="30"/>
        <v>1.1575</v>
      </c>
      <c r="AH36" s="254">
        <f t="shared" si="30"/>
        <v>0.37666666666666665</v>
      </c>
      <c r="AI36" s="254">
        <f t="shared" si="30"/>
        <v>5.8989426317754701</v>
      </c>
    </row>
    <row r="37" spans="1:35" hidden="1" x14ac:dyDescent="0.2">
      <c r="M37" s="272">
        <f t="shared" si="18"/>
        <v>10.559746320514869</v>
      </c>
      <c r="AD37" s="254" t="e">
        <f>#REF!</f>
        <v>#REF!</v>
      </c>
      <c r="AE37" s="254" t="e">
        <f>#REF!</f>
        <v>#REF!</v>
      </c>
      <c r="AF37" s="254" t="e">
        <f>#REF!</f>
        <v>#REF!</v>
      </c>
      <c r="AG37" s="254" t="e">
        <f>#REF!</f>
        <v>#REF!</v>
      </c>
      <c r="AH37" s="254" t="e">
        <f>#REF!</f>
        <v>#REF!</v>
      </c>
      <c r="AI37" s="254" t="e">
        <f>#REF!</f>
        <v>#REF!</v>
      </c>
    </row>
    <row r="38" spans="1:35" hidden="1" x14ac:dyDescent="0.2">
      <c r="M38" s="272">
        <f t="shared" si="18"/>
        <v>10.559746320514869</v>
      </c>
    </row>
    <row r="39" spans="1:35" hidden="1" x14ac:dyDescent="0.2">
      <c r="M39" s="272">
        <f t="shared" si="18"/>
        <v>10.559746320514869</v>
      </c>
    </row>
    <row r="40" spans="1:35" hidden="1" x14ac:dyDescent="0.2">
      <c r="A40" s="250">
        <v>9</v>
      </c>
      <c r="C40" s="249" t="s">
        <v>447</v>
      </c>
      <c r="D40" s="251">
        <f t="shared" si="26"/>
        <v>7.2947913236010686</v>
      </c>
      <c r="E40" s="251">
        <f>'תחשיב הכרה בעלויות '!$C$14+'תחשיב הכרה בעלויות '!$J$14</f>
        <v>0.87303059279996109</v>
      </c>
      <c r="F40" s="251">
        <f>'תחשיב הכרה בעלויות '!$C$15+'תחשיב הכרה בעלויות '!$J$15</f>
        <v>0.15177808564833167</v>
      </c>
      <c r="G40" s="252">
        <f>'תחשיב הכרה בעלויות '!$M$30</f>
        <v>0.55879601295904968</v>
      </c>
      <c r="H40" s="252">
        <f>'תחשיב הכרה בעלויות '!$E$19</f>
        <v>0.38383298240508607</v>
      </c>
      <c r="I40" s="252">
        <f>'תחשיב הכרה בעלויות '!$I$19</f>
        <v>0.44094482860187678</v>
      </c>
      <c r="J40" s="252">
        <f>'תחשיב הכרה בעלויות '!$M$24</f>
        <v>0.85657249449949613</v>
      </c>
      <c r="M40" s="272">
        <f t="shared" si="18"/>
        <v>10.559746320514869</v>
      </c>
      <c r="R40" s="251">
        <f>+IFERROR(VLOOKUP(TRIM(C40&amp;"-"&amp;$R$2),'אגרות ביוב'!$A$8:$J$72,10,0),0)</f>
        <v>0</v>
      </c>
      <c r="S40" s="252">
        <f>+IFERROR(VLOOKUP(TRIM(C40&amp;"-"&amp;$S$2),'אגרות ביוב'!$A$8:$J$72,10,0),0)</f>
        <v>0</v>
      </c>
      <c r="T40" s="252">
        <f>+IFERROR(VLOOKUP(TRIM(C40&amp;"-"&amp;$T$2),'אגרות ביוב'!$A$8:$J$72,10,0),0)</f>
        <v>0</v>
      </c>
    </row>
    <row r="41" spans="1:35" hidden="1" x14ac:dyDescent="0.2">
      <c r="M41" s="272">
        <f t="shared" si="18"/>
        <v>10.559746320514869</v>
      </c>
    </row>
    <row r="42" spans="1:35" hidden="1" x14ac:dyDescent="0.2">
      <c r="M42" s="272">
        <f t="shared" si="18"/>
        <v>10.559746320514869</v>
      </c>
    </row>
    <row r="43" spans="1:35" hidden="1" x14ac:dyDescent="0.2">
      <c r="M43" s="272">
        <f t="shared" si="18"/>
        <v>10.559746320514869</v>
      </c>
    </row>
    <row r="44" spans="1:35" hidden="1" x14ac:dyDescent="0.2">
      <c r="M44" s="272">
        <f t="shared" si="18"/>
        <v>10.559746320514869</v>
      </c>
    </row>
  </sheetData>
  <mergeCells count="1">
    <mergeCell ref="R1:T1"/>
  </mergeCells>
  <pageMargins left="0.7" right="0.7" top="0.75" bottom="0.75" header="0.3" footer="0.3"/>
  <pageSetup paperSize="9"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rightToLeft="1" topLeftCell="A10" workbookViewId="0">
      <selection activeCell="C28" sqref="C28"/>
    </sheetView>
  </sheetViews>
  <sheetFormatPr defaultRowHeight="12.75" x14ac:dyDescent="0.2"/>
  <cols>
    <col min="1" max="1" width="21.42578125" bestFit="1" customWidth="1"/>
    <col min="2" max="2" width="13.7109375" customWidth="1"/>
    <col min="4" max="4" width="6.140625" bestFit="1" customWidth="1"/>
    <col min="6" max="6" width="45" customWidth="1"/>
    <col min="9" max="9" width="13.28515625" customWidth="1"/>
    <col min="12" max="12" width="15.7109375" customWidth="1"/>
    <col min="13" max="13" width="10.85546875" customWidth="1"/>
    <col min="14" max="14" width="24.85546875" customWidth="1"/>
  </cols>
  <sheetData>
    <row r="1" spans="1:12" x14ac:dyDescent="0.2">
      <c r="B1" t="s">
        <v>350</v>
      </c>
    </row>
    <row r="2" spans="1:12" x14ac:dyDescent="0.2">
      <c r="B2" t="s">
        <v>351</v>
      </c>
      <c r="I2" t="s">
        <v>352</v>
      </c>
    </row>
    <row r="3" spans="1:12" ht="60" x14ac:dyDescent="0.25">
      <c r="A3" s="32"/>
      <c r="B3" s="33" t="s">
        <v>479</v>
      </c>
      <c r="C3" s="33" t="s">
        <v>480</v>
      </c>
      <c r="D3" s="33"/>
      <c r="E3" s="33" t="s">
        <v>353</v>
      </c>
      <c r="F3" s="33" t="s">
        <v>354</v>
      </c>
      <c r="I3" s="33" t="s">
        <v>479</v>
      </c>
      <c r="J3" s="33" t="s">
        <v>480</v>
      </c>
      <c r="K3" s="33"/>
      <c r="L3" s="33" t="s">
        <v>353</v>
      </c>
    </row>
    <row r="4" spans="1:12" ht="14.25" x14ac:dyDescent="0.2">
      <c r="A4" s="32"/>
      <c r="B4" s="34"/>
      <c r="C4" s="32"/>
      <c r="D4" s="32"/>
      <c r="E4" s="32"/>
      <c r="F4" s="32"/>
      <c r="I4" s="32"/>
      <c r="J4" s="32"/>
      <c r="K4" s="32"/>
      <c r="L4" s="32"/>
    </row>
    <row r="5" spans="1:12" ht="15" x14ac:dyDescent="0.2">
      <c r="A5" s="35" t="s">
        <v>355</v>
      </c>
      <c r="B5" s="36"/>
      <c r="C5" s="37"/>
      <c r="D5" s="37"/>
      <c r="E5" s="37"/>
      <c r="F5" s="37"/>
      <c r="I5" s="32"/>
      <c r="J5" s="32"/>
      <c r="K5" s="32"/>
      <c r="L5" s="32"/>
    </row>
    <row r="6" spans="1:12" x14ac:dyDescent="0.2">
      <c r="A6" s="38" t="s">
        <v>356</v>
      </c>
      <c r="B6" s="39">
        <f>+'[5]ספק למספר ישובים'!B6</f>
        <v>0.40789992315792101</v>
      </c>
      <c r="C6" s="40">
        <f>B6</f>
        <v>0.40789992315792101</v>
      </c>
      <c r="D6" s="39"/>
      <c r="E6" s="39">
        <f t="shared" ref="E6:E14" si="0">+B6-C6</f>
        <v>0</v>
      </c>
      <c r="F6" s="37"/>
      <c r="I6" s="41">
        <f>+'[1]תחשיב תעריף 2016'!C125</f>
        <v>0.48049745858750598</v>
      </c>
      <c r="J6" s="41">
        <f>+I6</f>
        <v>0.48049745858750598</v>
      </c>
      <c r="K6" s="41"/>
      <c r="L6" s="41">
        <f>+I6-J6</f>
        <v>0</v>
      </c>
    </row>
    <row r="7" spans="1:12" x14ac:dyDescent="0.2">
      <c r="A7" s="38" t="s">
        <v>357</v>
      </c>
      <c r="B7" s="39">
        <f>+'[5]ספק למספר ישובים'!B7</f>
        <v>0.2107702848650361</v>
      </c>
      <c r="C7" s="40">
        <f>B7</f>
        <v>0.2107702848650361</v>
      </c>
      <c r="D7" s="39"/>
      <c r="E7" s="39">
        <f t="shared" si="0"/>
        <v>0</v>
      </c>
      <c r="F7" s="37"/>
      <c r="I7" s="41">
        <f>+'[1]תחשיב תעריף 2016'!C126</f>
        <v>0.24873458912644447</v>
      </c>
      <c r="J7" s="41">
        <f>+I7</f>
        <v>0.24873458912644447</v>
      </c>
      <c r="K7" s="41"/>
      <c r="L7" s="41">
        <f>+I7-J7</f>
        <v>0</v>
      </c>
    </row>
    <row r="8" spans="1:12" ht="25.5" x14ac:dyDescent="0.2">
      <c r="A8" s="38" t="s">
        <v>358</v>
      </c>
      <c r="B8" s="39">
        <f>+'[5]ספק למספר ישובים'!B8</f>
        <v>0.14969151767886585</v>
      </c>
      <c r="C8" s="40">
        <v>0</v>
      </c>
      <c r="D8" s="39"/>
      <c r="E8" s="39">
        <f t="shared" si="0"/>
        <v>0.14969151767886585</v>
      </c>
      <c r="F8" s="42" t="s">
        <v>359</v>
      </c>
      <c r="I8" s="41">
        <f>+'[1]תחשיב תעריף 2016'!C127</f>
        <v>0.17442110174677322</v>
      </c>
      <c r="J8" s="41">
        <v>0</v>
      </c>
      <c r="K8" s="41"/>
      <c r="L8" s="41">
        <f>+I8-J8</f>
        <v>0.17442110174677322</v>
      </c>
    </row>
    <row r="9" spans="1:12" x14ac:dyDescent="0.2">
      <c r="A9" s="38" t="s">
        <v>360</v>
      </c>
      <c r="B9" s="39">
        <f>+'[5]ספק למספר ישובים'!B9</f>
        <v>0.1046345611245295</v>
      </c>
      <c r="C9" s="40">
        <f>B9</f>
        <v>0.1046345611245295</v>
      </c>
      <c r="D9" s="39"/>
      <c r="E9" s="39">
        <f t="shared" si="0"/>
        <v>0</v>
      </c>
      <c r="F9" s="37"/>
      <c r="I9" s="32"/>
      <c r="J9" s="32"/>
      <c r="K9" s="41"/>
      <c r="L9" s="41">
        <f>+I9-J9</f>
        <v>0</v>
      </c>
    </row>
    <row r="10" spans="1:12" ht="45.75" customHeight="1" x14ac:dyDescent="0.2">
      <c r="A10" s="38" t="s">
        <v>361</v>
      </c>
      <c r="B10" s="39">
        <f>+'[5]ספק למספר ישובים'!B10</f>
        <v>-0.33947178674240058</v>
      </c>
      <c r="C10" s="40">
        <f>+B10</f>
        <v>-0.33947178674240058</v>
      </c>
      <c r="D10" s="39"/>
      <c r="E10" s="39">
        <f t="shared" si="0"/>
        <v>0</v>
      </c>
      <c r="F10" s="42" t="s">
        <v>362</v>
      </c>
      <c r="I10" s="41">
        <f>+'[1]תחשיב תעריף 2016'!$C$128</f>
        <v>-0.28828721911207367</v>
      </c>
      <c r="J10" s="41">
        <f>+I10</f>
        <v>-0.28828721911207367</v>
      </c>
      <c r="K10" s="41"/>
      <c r="L10" s="41">
        <f>+I10-J10</f>
        <v>0</v>
      </c>
    </row>
    <row r="11" spans="1:12" x14ac:dyDescent="0.2">
      <c r="A11" s="38"/>
      <c r="B11" s="39">
        <f>'[6]ספק למספר ישובים'!B11</f>
        <v>0</v>
      </c>
      <c r="C11" s="39"/>
      <c r="D11" s="39">
        <f>SUM(C6:C10)</f>
        <v>0.38383298240508607</v>
      </c>
      <c r="E11" s="39"/>
      <c r="F11" s="37"/>
      <c r="I11" s="32"/>
      <c r="K11" s="39">
        <f>SUM(J6:J10)</f>
        <v>0.44094482860187678</v>
      </c>
      <c r="L11" s="39"/>
    </row>
    <row r="12" spans="1:12" ht="15" x14ac:dyDescent="0.2">
      <c r="A12" s="43" t="s">
        <v>363</v>
      </c>
      <c r="B12" s="39">
        <f>'[6]ספק למספר ישובים'!B12</f>
        <v>0</v>
      </c>
      <c r="C12" s="39"/>
      <c r="D12" s="39"/>
      <c r="E12" s="39"/>
      <c r="F12" s="37"/>
      <c r="I12" s="32"/>
      <c r="J12" s="32"/>
      <c r="K12" s="32"/>
      <c r="L12" s="32"/>
    </row>
    <row r="13" spans="1:12" x14ac:dyDescent="0.2">
      <c r="A13" s="38" t="s">
        <v>364</v>
      </c>
      <c r="B13" s="39">
        <f>K30</f>
        <v>0.68419716711715384</v>
      </c>
      <c r="C13" s="39">
        <f>M30</f>
        <v>0.55879601295904968</v>
      </c>
      <c r="D13" s="39"/>
      <c r="E13" s="39">
        <f t="shared" si="0"/>
        <v>0.12540115415810416</v>
      </c>
      <c r="F13" s="37" t="s">
        <v>365</v>
      </c>
      <c r="I13" s="44">
        <f>K24</f>
        <v>0.92933193798195868</v>
      </c>
      <c r="J13" s="45">
        <f>M24</f>
        <v>0.85657249449949613</v>
      </c>
      <c r="K13" s="45"/>
      <c r="L13" s="45">
        <f>+I13-J13</f>
        <v>7.2759443482462549E-2</v>
      </c>
    </row>
    <row r="14" spans="1:12" x14ac:dyDescent="0.2">
      <c r="A14" s="38" t="s">
        <v>348</v>
      </c>
      <c r="B14" s="39">
        <f>+'[5]ספק למספר ישובים'!$B$14</f>
        <v>0.62916387535395379</v>
      </c>
      <c r="C14" s="39">
        <f>+B14*C21/'[7]תחשיב תעריף 2015'!$C$130</f>
        <v>0.60133090046339677</v>
      </c>
      <c r="D14" s="39"/>
      <c r="E14" s="39">
        <f t="shared" si="0"/>
        <v>2.7832974890557027E-2</v>
      </c>
      <c r="F14" s="37" t="s">
        <v>366</v>
      </c>
      <c r="I14" s="39">
        <f>'[1]תחשיב תעריף 2016'!$C$130*'[1]ריכוז עלויות'!$D$60</f>
        <v>0.28427548165447236</v>
      </c>
      <c r="J14" s="39">
        <f>+I14*C21/'[7]תחשיב תעריף 2015'!$C$130</f>
        <v>0.27169969233656427</v>
      </c>
      <c r="K14" s="45"/>
      <c r="L14" s="45">
        <f>+I14-J14</f>
        <v>1.2575789317908093E-2</v>
      </c>
    </row>
    <row r="15" spans="1:12" x14ac:dyDescent="0.2">
      <c r="A15" s="46" t="s">
        <v>25</v>
      </c>
      <c r="B15" s="39">
        <f>+'[5]ספק למספר ישובים'!$B$15</f>
        <v>0.11853794946017621</v>
      </c>
      <c r="C15" s="39">
        <f>+B15/'[7]תחשיב תעריף 2015'!$C$131*C22</f>
        <v>8.7409459586304278E-2</v>
      </c>
      <c r="D15" s="39"/>
      <c r="E15" s="39">
        <f>+B15-C15</f>
        <v>3.1128489873871928E-2</v>
      </c>
      <c r="F15" s="37" t="s">
        <v>366</v>
      </c>
      <c r="I15" s="39">
        <f>'[1]תחשיב תעריף 2016'!$C$131*'[1]ריכוז עלויות'!$D$60</f>
        <v>8.7291752850021137E-2</v>
      </c>
      <c r="J15" s="39">
        <f>+I15/'[7]תחשיב תעריף 2015'!$C$131*C22</f>
        <v>6.4368626062027395E-2</v>
      </c>
      <c r="K15" s="41"/>
      <c r="L15" s="41">
        <f>+I15-J15</f>
        <v>2.2923126787993742E-2</v>
      </c>
    </row>
    <row r="16" spans="1:12" x14ac:dyDescent="0.2">
      <c r="A16" s="37"/>
      <c r="B16" s="39"/>
      <c r="C16" s="39"/>
      <c r="D16" s="39">
        <f>SUM(C13:C15)</f>
        <v>1.2475363730087508</v>
      </c>
      <c r="E16" s="39"/>
      <c r="F16" s="37"/>
      <c r="I16" s="32"/>
      <c r="J16" s="32"/>
      <c r="K16" s="32"/>
      <c r="L16" s="32"/>
    </row>
    <row r="17" spans="1:14" x14ac:dyDescent="0.2">
      <c r="A17" s="37" t="s">
        <v>27</v>
      </c>
      <c r="B17" s="39">
        <f>SUM(B4:B16)</f>
        <v>1.9654234920152356</v>
      </c>
      <c r="C17" s="39">
        <f t="shared" ref="C17" si="1">SUM(C4:C16)</f>
        <v>1.6313693554138369</v>
      </c>
      <c r="D17" s="39"/>
      <c r="E17" s="44">
        <f>SUM(E6:E15)</f>
        <v>0.33405413660139893</v>
      </c>
      <c r="F17" s="47"/>
      <c r="G17" s="48"/>
      <c r="H17" s="48"/>
      <c r="I17" s="39">
        <f>SUM(I4:I16)</f>
        <v>1.9162651028351021</v>
      </c>
      <c r="J17" s="39">
        <f>SUM(J4:J16)</f>
        <v>1.6335856414999643</v>
      </c>
      <c r="K17" s="44"/>
      <c r="L17" s="44">
        <f>SUM(L6:L15)</f>
        <v>0.28267946133513761</v>
      </c>
    </row>
    <row r="19" spans="1:14" x14ac:dyDescent="0.2">
      <c r="A19" s="258" t="s">
        <v>484</v>
      </c>
      <c r="C19">
        <v>-0.16</v>
      </c>
      <c r="E19" s="49">
        <f>+D11</f>
        <v>0.38383298240508607</v>
      </c>
      <c r="F19" t="s">
        <v>367</v>
      </c>
      <c r="I19" s="49">
        <f>K11</f>
        <v>0.44094482860187678</v>
      </c>
      <c r="J19" t="s">
        <v>367</v>
      </c>
    </row>
    <row r="20" spans="1:14" ht="33" customHeight="1" x14ac:dyDescent="0.2">
      <c r="A20" s="50"/>
      <c r="C20" s="49">
        <f>SUM(C17:C19)</f>
        <v>1.471369355413837</v>
      </c>
      <c r="F20" s="266">
        <f>+E19+I19</f>
        <v>0.82477781100696279</v>
      </c>
      <c r="I20" s="31" t="s">
        <v>376</v>
      </c>
      <c r="J20" s="30"/>
      <c r="K20" s="31" t="s">
        <v>377</v>
      </c>
      <c r="L20" s="31" t="s">
        <v>375</v>
      </c>
      <c r="M20" s="30" t="s">
        <v>378</v>
      </c>
    </row>
    <row r="21" spans="1:14" x14ac:dyDescent="0.2">
      <c r="A21" t="s">
        <v>370</v>
      </c>
      <c r="C21" s="54">
        <v>7.0000000000000007E-2</v>
      </c>
      <c r="H21" s="30" t="s">
        <v>352</v>
      </c>
      <c r="I21" s="51">
        <f>'[1]תחשיב עלות תפעול לשנת 2016'!$BF$144</f>
        <v>0.67779109899068424</v>
      </c>
      <c r="J21" s="52">
        <v>1</v>
      </c>
      <c r="K21" s="49">
        <f>J21*I21</f>
        <v>0.67779109899068424</v>
      </c>
      <c r="L21" s="52">
        <v>0.05</v>
      </c>
      <c r="M21" s="49">
        <f>K21-L21*K21</f>
        <v>0.64390154404115008</v>
      </c>
      <c r="N21" s="30" t="s">
        <v>384</v>
      </c>
    </row>
    <row r="22" spans="1:14" x14ac:dyDescent="0.2">
      <c r="A22" t="s">
        <v>371</v>
      </c>
      <c r="C22" s="54">
        <v>1.4999999999999999E-2</v>
      </c>
      <c r="H22" s="57" t="s">
        <v>368</v>
      </c>
      <c r="I22" s="51">
        <f>'[1]תחשיב עלות תפעול לשנת 2016'!$BF$148</f>
        <v>0.15251039020435345</v>
      </c>
      <c r="J22" s="52">
        <v>0.5</v>
      </c>
      <c r="K22" s="49">
        <f t="shared" ref="K22:K23" si="2">J22*I22</f>
        <v>7.6255195102176723E-2</v>
      </c>
      <c r="L22" s="52">
        <v>0.05</v>
      </c>
      <c r="M22" s="49">
        <f t="shared" ref="M22:M23" si="3">K22-L22*K22</f>
        <v>7.2442435347067888E-2</v>
      </c>
      <c r="N22" s="30" t="s">
        <v>380</v>
      </c>
    </row>
    <row r="23" spans="1:14" x14ac:dyDescent="0.2">
      <c r="H23" t="s">
        <v>369</v>
      </c>
      <c r="I23" s="51">
        <f>'[1]תחשיב עלות תפעול לשנת 2016'!$BF$146</f>
        <v>0.35057128777819535</v>
      </c>
      <c r="J23" s="52">
        <v>0.5</v>
      </c>
      <c r="K23" s="49">
        <f t="shared" si="2"/>
        <v>0.17528564388909768</v>
      </c>
      <c r="L23" s="52">
        <v>0.2</v>
      </c>
      <c r="M23" s="49">
        <f t="shared" si="3"/>
        <v>0.14022851511127815</v>
      </c>
      <c r="N23" s="30" t="s">
        <v>379</v>
      </c>
    </row>
    <row r="24" spans="1:14" x14ac:dyDescent="0.2">
      <c r="H24" s="49"/>
      <c r="K24" s="53">
        <f>SUM(K21:K23)</f>
        <v>0.92933193798195868</v>
      </c>
      <c r="L24" s="53"/>
      <c r="M24" s="53">
        <f>SUM(M21:M23)</f>
        <v>0.85657249449949613</v>
      </c>
    </row>
    <row r="25" spans="1:14" x14ac:dyDescent="0.2">
      <c r="F25" s="49"/>
    </row>
    <row r="26" spans="1:14" ht="25.5" x14ac:dyDescent="0.2">
      <c r="A26" s="30" t="s">
        <v>628</v>
      </c>
      <c r="I26" s="31" t="s">
        <v>376</v>
      </c>
      <c r="J26" s="30"/>
      <c r="K26" s="31" t="s">
        <v>377</v>
      </c>
      <c r="L26" s="31" t="s">
        <v>375</v>
      </c>
    </row>
    <row r="27" spans="1:14" x14ac:dyDescent="0.2">
      <c r="A27" t="s">
        <v>370</v>
      </c>
      <c r="C27" s="308">
        <v>0.1166</v>
      </c>
      <c r="H27" t="s">
        <v>351</v>
      </c>
      <c r="I27" s="49">
        <f>+'[1]תחשיב עלות תפעול לשנת 2016'!$BF$142</f>
        <v>0.43265632812587951</v>
      </c>
      <c r="J27" s="52">
        <v>1</v>
      </c>
      <c r="K27" s="49">
        <f>J27*I27</f>
        <v>0.43265632812587951</v>
      </c>
      <c r="L27" s="52">
        <v>0.2</v>
      </c>
      <c r="M27" s="49">
        <f>K27-L27*K27</f>
        <v>0.34612506250070363</v>
      </c>
      <c r="N27" s="30" t="s">
        <v>383</v>
      </c>
    </row>
    <row r="28" spans="1:14" x14ac:dyDescent="0.2">
      <c r="A28" t="s">
        <v>371</v>
      </c>
      <c r="C28" s="308">
        <v>6.6699999999999995E-2</v>
      </c>
      <c r="H28" s="57" t="s">
        <v>368</v>
      </c>
      <c r="I28" s="51">
        <f>'[1]תחשיב עלות תפעול לשנת 2016'!$BF$148</f>
        <v>0.15251039020435345</v>
      </c>
      <c r="J28" s="52">
        <v>0.5</v>
      </c>
      <c r="K28" s="49">
        <f t="shared" ref="K28:K29" si="4">J28*I28</f>
        <v>7.6255195102176723E-2</v>
      </c>
      <c r="L28" s="52">
        <v>0.05</v>
      </c>
      <c r="M28" s="49">
        <f t="shared" ref="M28:M29" si="5">K28-L28*K28</f>
        <v>7.2442435347067888E-2</v>
      </c>
      <c r="N28" s="30" t="s">
        <v>380</v>
      </c>
    </row>
    <row r="29" spans="1:14" x14ac:dyDescent="0.2">
      <c r="H29" t="s">
        <v>369</v>
      </c>
      <c r="I29" s="51">
        <f>'[1]תחשיב עלות תפעול לשנת 2016'!$BF$146</f>
        <v>0.35057128777819535</v>
      </c>
      <c r="J29" s="52">
        <v>0.5</v>
      </c>
      <c r="K29" s="49">
        <f t="shared" si="4"/>
        <v>0.17528564388909768</v>
      </c>
      <c r="L29" s="52">
        <v>0.2</v>
      </c>
      <c r="M29" s="49">
        <f t="shared" si="5"/>
        <v>0.14022851511127815</v>
      </c>
      <c r="N29" s="30" t="s">
        <v>379</v>
      </c>
    </row>
    <row r="30" spans="1:14" x14ac:dyDescent="0.2">
      <c r="I30" s="53">
        <f>SUM(I27:I29)</f>
        <v>0.93573800610842828</v>
      </c>
      <c r="K30" s="53">
        <f>SUM(K27:K29)</f>
        <v>0.68419716711715384</v>
      </c>
      <c r="L30" s="53"/>
      <c r="M30" s="53">
        <f>SUM(M27:M29)</f>
        <v>0.55879601295904968</v>
      </c>
    </row>
    <row r="32" spans="1:14" x14ac:dyDescent="0.2">
      <c r="J32" s="49"/>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1"/>
  <sheetViews>
    <sheetView showGridLines="0" workbookViewId="0">
      <pane xSplit="1" ySplit="5" topLeftCell="B42" activePane="bottomRight" state="frozen"/>
      <selection activeCell="I11" sqref="I11"/>
      <selection pane="topRight" activeCell="I11" sqref="I11"/>
      <selection pane="bottomLeft" activeCell="I11" sqref="I11"/>
      <selection pane="bottomRight" activeCell="K61" sqref="K61"/>
    </sheetView>
  </sheetViews>
  <sheetFormatPr defaultColWidth="4.85546875" defaultRowHeight="14.25" x14ac:dyDescent="0.2"/>
  <cols>
    <col min="1" max="1" width="5.5703125" style="205" bestFit="1" customWidth="1"/>
    <col min="2" max="5" width="17.7109375" style="205" bestFit="1" customWidth="1"/>
    <col min="6" max="13" width="16" style="205" bestFit="1" customWidth="1"/>
    <col min="14" max="14" width="5.5703125" style="205" bestFit="1" customWidth="1"/>
    <col min="15" max="16384" width="4.85546875" style="205"/>
  </cols>
  <sheetData>
    <row r="1" spans="1:14" ht="15" x14ac:dyDescent="0.2">
      <c r="A1" s="310" t="s">
        <v>448</v>
      </c>
      <c r="B1" s="310"/>
      <c r="C1" s="310"/>
      <c r="D1" s="310"/>
      <c r="E1" s="310"/>
      <c r="F1" s="310"/>
      <c r="G1" s="310"/>
      <c r="H1" s="310"/>
      <c r="I1" s="310"/>
      <c r="J1" s="310"/>
      <c r="K1" s="310"/>
      <c r="L1" s="310"/>
      <c r="M1" s="310"/>
      <c r="N1" s="310"/>
    </row>
    <row r="2" spans="1:14" ht="15" x14ac:dyDescent="0.25">
      <c r="A2" s="311" t="s">
        <v>449</v>
      </c>
      <c r="B2" s="311"/>
      <c r="C2" s="311"/>
      <c r="D2" s="311"/>
      <c r="E2" s="311"/>
      <c r="F2" s="311"/>
      <c r="G2" s="311"/>
      <c r="H2" s="311"/>
      <c r="I2" s="311"/>
      <c r="J2" s="311"/>
      <c r="K2" s="311"/>
      <c r="L2" s="311"/>
      <c r="M2" s="311"/>
      <c r="N2" s="311"/>
    </row>
    <row r="3" spans="1:14" ht="15.75" thickBot="1" x14ac:dyDescent="0.3">
      <c r="A3" s="312" t="s">
        <v>450</v>
      </c>
      <c r="B3" s="312"/>
      <c r="C3" s="312"/>
      <c r="D3" s="312"/>
      <c r="E3" s="312"/>
      <c r="F3" s="312"/>
      <c r="G3" s="312"/>
      <c r="H3" s="312"/>
      <c r="I3" s="312"/>
      <c r="J3" s="312"/>
      <c r="K3" s="312"/>
      <c r="L3" s="312"/>
      <c r="M3" s="312"/>
      <c r="N3" s="312"/>
    </row>
    <row r="4" spans="1:14" ht="15.75" thickTop="1" x14ac:dyDescent="0.2">
      <c r="A4" s="313" t="s">
        <v>451</v>
      </c>
      <c r="B4" s="315" t="s">
        <v>452</v>
      </c>
      <c r="C4" s="315"/>
      <c r="D4" s="315"/>
      <c r="E4" s="315"/>
      <c r="F4" s="315"/>
      <c r="G4" s="315"/>
      <c r="H4" s="315"/>
      <c r="I4" s="315"/>
      <c r="J4" s="315"/>
      <c r="K4" s="315"/>
      <c r="L4" s="315"/>
      <c r="M4" s="316"/>
      <c r="N4" s="317" t="s">
        <v>451</v>
      </c>
    </row>
    <row r="5" spans="1:14" ht="15" x14ac:dyDescent="0.2">
      <c r="A5" s="314"/>
      <c r="B5" s="206">
        <v>12</v>
      </c>
      <c r="C5" s="206">
        <v>11</v>
      </c>
      <c r="D5" s="206">
        <v>10</v>
      </c>
      <c r="E5" s="206">
        <v>9</v>
      </c>
      <c r="F5" s="206">
        <v>8</v>
      </c>
      <c r="G5" s="206">
        <v>7</v>
      </c>
      <c r="H5" s="206">
        <v>6</v>
      </c>
      <c r="I5" s="206">
        <v>5</v>
      </c>
      <c r="J5" s="206">
        <v>4</v>
      </c>
      <c r="K5" s="206">
        <v>3</v>
      </c>
      <c r="L5" s="206">
        <v>2</v>
      </c>
      <c r="M5" s="206">
        <v>1</v>
      </c>
      <c r="N5" s="318"/>
    </row>
    <row r="6" spans="1:14" x14ac:dyDescent="0.2">
      <c r="A6" s="207"/>
      <c r="M6" s="207"/>
    </row>
    <row r="7" spans="1:14" ht="15" x14ac:dyDescent="0.25">
      <c r="A7" s="208">
        <v>1951</v>
      </c>
      <c r="B7" s="209">
        <v>107</v>
      </c>
      <c r="C7" s="209">
        <v>105</v>
      </c>
      <c r="D7" s="209">
        <v>103</v>
      </c>
      <c r="E7" s="209">
        <v>100</v>
      </c>
      <c r="F7" s="209"/>
      <c r="G7" s="209"/>
      <c r="H7" s="209"/>
      <c r="I7" s="209"/>
      <c r="J7" s="209"/>
      <c r="K7" s="209"/>
      <c r="L7" s="209"/>
      <c r="M7" s="210"/>
      <c r="N7" s="211">
        <v>1951</v>
      </c>
    </row>
    <row r="8" spans="1:14" ht="15" x14ac:dyDescent="0.25">
      <c r="A8" s="208">
        <v>1952</v>
      </c>
      <c r="B8" s="209">
        <v>178</v>
      </c>
      <c r="C8" s="209">
        <v>175</v>
      </c>
      <c r="D8" s="209">
        <v>173</v>
      </c>
      <c r="E8" s="209">
        <v>169</v>
      </c>
      <c r="F8" s="209">
        <v>165</v>
      </c>
      <c r="G8" s="209">
        <v>162</v>
      </c>
      <c r="H8" s="209">
        <v>157</v>
      </c>
      <c r="I8" s="209">
        <v>150</v>
      </c>
      <c r="J8" s="209">
        <v>144</v>
      </c>
      <c r="K8" s="209">
        <v>132</v>
      </c>
      <c r="L8" s="209">
        <v>120</v>
      </c>
      <c r="M8" s="210">
        <v>113</v>
      </c>
      <c r="N8" s="211">
        <v>1952</v>
      </c>
    </row>
    <row r="9" spans="1:14" ht="15" x14ac:dyDescent="0.25">
      <c r="A9" s="208">
        <v>1953</v>
      </c>
      <c r="B9" s="209">
        <v>212</v>
      </c>
      <c r="C9" s="209">
        <v>208</v>
      </c>
      <c r="D9" s="209">
        <v>207</v>
      </c>
      <c r="E9" s="209">
        <v>205</v>
      </c>
      <c r="F9" s="209">
        <v>201</v>
      </c>
      <c r="G9" s="209">
        <v>200</v>
      </c>
      <c r="H9" s="209">
        <v>197</v>
      </c>
      <c r="I9" s="209">
        <v>191</v>
      </c>
      <c r="J9" s="209">
        <v>187</v>
      </c>
      <c r="K9" s="209">
        <v>184</v>
      </c>
      <c r="L9" s="209">
        <v>182</v>
      </c>
      <c r="M9" s="210">
        <v>181</v>
      </c>
      <c r="N9" s="211">
        <v>1953</v>
      </c>
    </row>
    <row r="10" spans="1:14" ht="15" x14ac:dyDescent="0.25">
      <c r="A10" s="208">
        <v>1954</v>
      </c>
      <c r="B10" s="209">
        <v>228</v>
      </c>
      <c r="C10" s="209">
        <v>228</v>
      </c>
      <c r="D10" s="209">
        <v>227</v>
      </c>
      <c r="E10" s="209">
        <v>227</v>
      </c>
      <c r="F10" s="209">
        <v>222</v>
      </c>
      <c r="G10" s="209">
        <v>217</v>
      </c>
      <c r="H10" s="209">
        <v>214</v>
      </c>
      <c r="I10" s="209">
        <v>218</v>
      </c>
      <c r="J10" s="209">
        <v>217</v>
      </c>
      <c r="K10" s="209">
        <v>217</v>
      </c>
      <c r="L10" s="209">
        <v>216</v>
      </c>
      <c r="M10" s="210">
        <v>214</v>
      </c>
      <c r="N10" s="211">
        <v>1954</v>
      </c>
    </row>
    <row r="11" spans="1:14" ht="15" x14ac:dyDescent="0.25">
      <c r="A11" s="208">
        <v>1955</v>
      </c>
      <c r="B11" s="209">
        <v>239</v>
      </c>
      <c r="C11" s="209">
        <v>236</v>
      </c>
      <c r="D11" s="209">
        <v>238</v>
      </c>
      <c r="E11" s="209">
        <v>239</v>
      </c>
      <c r="F11" s="209">
        <v>231</v>
      </c>
      <c r="G11" s="209">
        <v>233</v>
      </c>
      <c r="H11" s="209">
        <v>232</v>
      </c>
      <c r="I11" s="209">
        <v>230</v>
      </c>
      <c r="J11" s="209">
        <v>230</v>
      </c>
      <c r="K11" s="209">
        <v>229</v>
      </c>
      <c r="L11" s="209">
        <v>228</v>
      </c>
      <c r="M11" s="210">
        <v>228</v>
      </c>
      <c r="N11" s="211">
        <v>1955</v>
      </c>
    </row>
    <row r="12" spans="1:14" ht="15" x14ac:dyDescent="0.25">
      <c r="A12" s="208">
        <v>1956</v>
      </c>
      <c r="B12" s="209">
        <v>250</v>
      </c>
      <c r="C12" s="209">
        <v>248</v>
      </c>
      <c r="D12" s="209">
        <v>259</v>
      </c>
      <c r="E12" s="209">
        <v>260</v>
      </c>
      <c r="F12" s="209">
        <v>247</v>
      </c>
      <c r="G12" s="209">
        <v>244</v>
      </c>
      <c r="H12" s="209">
        <v>249</v>
      </c>
      <c r="I12" s="209">
        <v>249</v>
      </c>
      <c r="J12" s="209">
        <v>246</v>
      </c>
      <c r="K12" s="209">
        <v>244</v>
      </c>
      <c r="L12" s="209">
        <v>239</v>
      </c>
      <c r="M12" s="210">
        <v>238</v>
      </c>
      <c r="N12" s="211">
        <v>1956</v>
      </c>
    </row>
    <row r="13" spans="1:14" ht="15" x14ac:dyDescent="0.25">
      <c r="A13" s="208">
        <v>1957</v>
      </c>
      <c r="B13" s="209">
        <v>263</v>
      </c>
      <c r="C13" s="209">
        <v>267</v>
      </c>
      <c r="D13" s="209">
        <v>268</v>
      </c>
      <c r="E13" s="209">
        <v>268</v>
      </c>
      <c r="F13" s="209">
        <v>269</v>
      </c>
      <c r="G13" s="209">
        <v>264</v>
      </c>
      <c r="H13" s="209">
        <v>258</v>
      </c>
      <c r="I13" s="209">
        <v>270</v>
      </c>
      <c r="J13" s="209">
        <v>265</v>
      </c>
      <c r="K13" s="209">
        <v>261</v>
      </c>
      <c r="L13" s="209">
        <v>259</v>
      </c>
      <c r="M13" s="210">
        <v>254</v>
      </c>
      <c r="N13" s="211">
        <v>1957</v>
      </c>
    </row>
    <row r="14" spans="1:14" ht="15" x14ac:dyDescent="0.25">
      <c r="A14" s="208">
        <v>1958</v>
      </c>
      <c r="B14" s="209">
        <v>274</v>
      </c>
      <c r="C14" s="209">
        <v>273</v>
      </c>
      <c r="D14" s="209">
        <v>280</v>
      </c>
      <c r="E14" s="209">
        <v>280</v>
      </c>
      <c r="F14" s="209">
        <v>274</v>
      </c>
      <c r="G14" s="209">
        <v>274</v>
      </c>
      <c r="H14" s="209">
        <v>267</v>
      </c>
      <c r="I14" s="209">
        <v>276</v>
      </c>
      <c r="J14" s="209">
        <v>272</v>
      </c>
      <c r="K14" s="209">
        <v>268</v>
      </c>
      <c r="L14" s="209">
        <v>269</v>
      </c>
      <c r="M14" s="210">
        <v>267</v>
      </c>
      <c r="N14" s="211">
        <v>1958</v>
      </c>
    </row>
    <row r="15" spans="1:14" ht="15" x14ac:dyDescent="0.25">
      <c r="A15" s="208">
        <v>1959</v>
      </c>
      <c r="B15" s="212">
        <v>279.70479999999998</v>
      </c>
      <c r="C15" s="212">
        <v>281.0813</v>
      </c>
      <c r="D15" s="212">
        <v>280.53070000000002</v>
      </c>
      <c r="E15" s="212">
        <v>275.57530000000003</v>
      </c>
      <c r="F15" s="212">
        <v>269.51870000000002</v>
      </c>
      <c r="G15" s="212">
        <v>269.79399999999998</v>
      </c>
      <c r="H15" s="212">
        <v>273.37290000000002</v>
      </c>
      <c r="I15" s="212">
        <v>287.1379</v>
      </c>
      <c r="J15" s="212">
        <v>276.40120000000002</v>
      </c>
      <c r="K15" s="212">
        <v>277.77769999999998</v>
      </c>
      <c r="L15" s="212">
        <v>277.50240000000002</v>
      </c>
      <c r="M15" s="213">
        <v>275.3</v>
      </c>
      <c r="N15" s="211">
        <v>1959</v>
      </c>
    </row>
    <row r="16" spans="1:14" ht="15" x14ac:dyDescent="0.25">
      <c r="A16" s="208">
        <v>1960</v>
      </c>
      <c r="B16" s="212">
        <v>289.34030000000001</v>
      </c>
      <c r="C16" s="212">
        <v>291.26740000000001</v>
      </c>
      <c r="D16" s="212">
        <v>292.36860000000001</v>
      </c>
      <c r="E16" s="212">
        <v>286.58730000000003</v>
      </c>
      <c r="F16" s="212">
        <v>279.42950000000002</v>
      </c>
      <c r="G16" s="212">
        <v>278.87889999999999</v>
      </c>
      <c r="H16" s="212">
        <v>277.50240000000002</v>
      </c>
      <c r="I16" s="212">
        <v>284.1096</v>
      </c>
      <c r="J16" s="212">
        <v>278.60359999999997</v>
      </c>
      <c r="K16" s="212">
        <v>281.90719999999999</v>
      </c>
      <c r="L16" s="212">
        <v>279.1542</v>
      </c>
      <c r="M16" s="213">
        <v>278.60359999999997</v>
      </c>
      <c r="N16" s="211">
        <v>1960</v>
      </c>
    </row>
    <row r="17" spans="1:14" ht="15" x14ac:dyDescent="0.25">
      <c r="A17" s="208">
        <v>1961</v>
      </c>
      <c r="B17" s="212">
        <v>315.49380000000002</v>
      </c>
      <c r="C17" s="212">
        <v>311.36430000000001</v>
      </c>
      <c r="D17" s="212">
        <v>308.88659999999999</v>
      </c>
      <c r="E17" s="212">
        <v>304.75709999999998</v>
      </c>
      <c r="F17" s="212">
        <v>294.84629999999999</v>
      </c>
      <c r="G17" s="212">
        <v>297.32400000000001</v>
      </c>
      <c r="H17" s="212">
        <v>303.93119999999999</v>
      </c>
      <c r="I17" s="212">
        <v>314.66789999999997</v>
      </c>
      <c r="J17" s="212">
        <v>293.74509999999998</v>
      </c>
      <c r="K17" s="212">
        <v>294.0204</v>
      </c>
      <c r="L17" s="212">
        <v>293.46980000000002</v>
      </c>
      <c r="M17" s="213">
        <v>295.94749999999999</v>
      </c>
      <c r="N17" s="211">
        <v>1961</v>
      </c>
    </row>
    <row r="18" spans="1:14" ht="15" x14ac:dyDescent="0.25">
      <c r="A18" s="208">
        <v>1962</v>
      </c>
      <c r="B18" s="212">
        <v>347.70389999999998</v>
      </c>
      <c r="C18" s="212">
        <v>343.84969999999998</v>
      </c>
      <c r="D18" s="212">
        <v>341.37200000000001</v>
      </c>
      <c r="E18" s="212">
        <v>337.79309999999998</v>
      </c>
      <c r="F18" s="212">
        <v>330.0847</v>
      </c>
      <c r="G18" s="212">
        <v>326.23050000000001</v>
      </c>
      <c r="H18" s="212">
        <v>323.47750000000002</v>
      </c>
      <c r="I18" s="212">
        <v>327.88229999999999</v>
      </c>
      <c r="J18" s="212">
        <v>331.1859</v>
      </c>
      <c r="K18" s="212">
        <v>325.40460000000002</v>
      </c>
      <c r="L18" s="212">
        <v>318.24680000000001</v>
      </c>
      <c r="M18" s="213">
        <v>316.59500000000003</v>
      </c>
      <c r="N18" s="211">
        <v>1962</v>
      </c>
    </row>
    <row r="19" spans="1:14" ht="15" x14ac:dyDescent="0.25">
      <c r="A19" s="208">
        <v>1963</v>
      </c>
      <c r="B19" s="212">
        <v>365.0478</v>
      </c>
      <c r="C19" s="212">
        <v>363.1207</v>
      </c>
      <c r="D19" s="212">
        <v>356.23820000000001</v>
      </c>
      <c r="E19" s="212">
        <v>353.48520000000002</v>
      </c>
      <c r="F19" s="212">
        <v>346.60270000000003</v>
      </c>
      <c r="G19" s="212">
        <v>352.38400000000001</v>
      </c>
      <c r="H19" s="212">
        <v>352.1087</v>
      </c>
      <c r="I19" s="212">
        <v>355.137</v>
      </c>
      <c r="J19" s="212">
        <v>343.84969999999998</v>
      </c>
      <c r="K19" s="212">
        <v>347.70389999999998</v>
      </c>
      <c r="L19" s="212">
        <v>347.70389999999998</v>
      </c>
      <c r="M19" s="213">
        <v>347.70389999999998</v>
      </c>
      <c r="N19" s="211">
        <v>1963</v>
      </c>
    </row>
    <row r="20" spans="1:14" ht="15" x14ac:dyDescent="0.25">
      <c r="A20" s="208">
        <v>1964</v>
      </c>
      <c r="B20" s="212">
        <v>381.29050000000001</v>
      </c>
      <c r="C20" s="212">
        <v>377.43630000000002</v>
      </c>
      <c r="D20" s="212">
        <v>374.1327</v>
      </c>
      <c r="E20" s="212">
        <v>370.00319999999999</v>
      </c>
      <c r="F20" s="212">
        <v>367.25020000000001</v>
      </c>
      <c r="G20" s="212">
        <v>370.82909999999998</v>
      </c>
      <c r="H20" s="212">
        <v>365.87369999999999</v>
      </c>
      <c r="I20" s="212">
        <v>376.33510000000001</v>
      </c>
      <c r="J20" s="212">
        <v>363.94659999999999</v>
      </c>
      <c r="K20" s="212">
        <v>367.25020000000001</v>
      </c>
      <c r="L20" s="212">
        <v>367.80079999999998</v>
      </c>
      <c r="M20" s="213">
        <v>367.80079999999998</v>
      </c>
      <c r="N20" s="211">
        <v>1964</v>
      </c>
    </row>
    <row r="21" spans="1:14" ht="15" x14ac:dyDescent="0.25">
      <c r="A21" s="208">
        <v>1965</v>
      </c>
      <c r="B21" s="214">
        <v>408.28283900000002</v>
      </c>
      <c r="C21" s="214">
        <v>407.91201000000001</v>
      </c>
      <c r="D21" s="214">
        <v>405.68703499999998</v>
      </c>
      <c r="E21" s="214">
        <v>401.60791499999999</v>
      </c>
      <c r="F21" s="214">
        <v>396.41630800000001</v>
      </c>
      <c r="G21" s="214">
        <v>400.86625700000002</v>
      </c>
      <c r="H21" s="214">
        <v>403.83289000000002</v>
      </c>
      <c r="I21" s="214">
        <v>405.68703499999998</v>
      </c>
      <c r="J21" s="214">
        <v>397.528795</v>
      </c>
      <c r="K21" s="214">
        <v>394.19133299999999</v>
      </c>
      <c r="L21" s="214">
        <v>386.40392200000002</v>
      </c>
      <c r="M21" s="215">
        <v>384.54977700000001</v>
      </c>
      <c r="N21" s="211">
        <v>1965</v>
      </c>
    </row>
    <row r="22" spans="1:14" ht="15" x14ac:dyDescent="0.25">
      <c r="A22" s="208">
        <v>1966</v>
      </c>
      <c r="B22" s="214">
        <v>440.17414200000002</v>
      </c>
      <c r="C22" s="214">
        <v>437.20750900000002</v>
      </c>
      <c r="D22" s="214">
        <v>439.43248299999999</v>
      </c>
      <c r="E22" s="214">
        <v>435.72419300000001</v>
      </c>
      <c r="F22" s="214">
        <v>429.420098</v>
      </c>
      <c r="G22" s="214">
        <v>434.24087600000001</v>
      </c>
      <c r="H22" s="214">
        <v>433.12838900000003</v>
      </c>
      <c r="I22" s="214">
        <v>434.61170499999997</v>
      </c>
      <c r="J22" s="214">
        <v>432.75756000000001</v>
      </c>
      <c r="K22" s="214">
        <v>424.97014899999999</v>
      </c>
      <c r="L22" s="214">
        <v>417.924396</v>
      </c>
      <c r="M22" s="215">
        <v>413.474447</v>
      </c>
      <c r="N22" s="211">
        <v>1966</v>
      </c>
    </row>
    <row r="23" spans="1:14" ht="15" x14ac:dyDescent="0.25">
      <c r="A23" s="208">
        <v>1967</v>
      </c>
      <c r="B23" s="214">
        <v>440.91579999999999</v>
      </c>
      <c r="C23" s="214">
        <v>437.94916699999999</v>
      </c>
      <c r="D23" s="214">
        <v>436.09502199999997</v>
      </c>
      <c r="E23" s="214">
        <v>432.75755600000002</v>
      </c>
      <c r="F23" s="214">
        <v>433.12838900000003</v>
      </c>
      <c r="G23" s="214">
        <v>437.20750900000002</v>
      </c>
      <c r="H23" s="214">
        <v>440.54497099999998</v>
      </c>
      <c r="I23" s="214">
        <v>445.36574899999999</v>
      </c>
      <c r="J23" s="214">
        <v>444.25326200000001</v>
      </c>
      <c r="K23" s="214">
        <v>437.57833799999997</v>
      </c>
      <c r="L23" s="214">
        <v>435.72419300000001</v>
      </c>
      <c r="M23" s="215">
        <v>439.803313</v>
      </c>
      <c r="N23" s="211">
        <v>1967</v>
      </c>
    </row>
    <row r="24" spans="1:14" ht="15" x14ac:dyDescent="0.25">
      <c r="A24" s="208">
        <v>1968</v>
      </c>
      <c r="B24" s="214">
        <v>449.44486899999998</v>
      </c>
      <c r="C24" s="214">
        <v>447.59072400000002</v>
      </c>
      <c r="D24" s="214">
        <v>448.70321100000001</v>
      </c>
      <c r="E24" s="214">
        <v>445.73657800000001</v>
      </c>
      <c r="F24" s="214">
        <v>443.88243299999999</v>
      </c>
      <c r="G24" s="214">
        <v>447.96155299999998</v>
      </c>
      <c r="H24" s="214">
        <v>446.47823599999998</v>
      </c>
      <c r="I24" s="214">
        <v>451.299015</v>
      </c>
      <c r="J24" s="214">
        <v>452.04067300000003</v>
      </c>
      <c r="K24" s="214">
        <v>447.96155299999998</v>
      </c>
      <c r="L24" s="214">
        <v>444.62409100000002</v>
      </c>
      <c r="M24" s="215">
        <v>444.99491999999998</v>
      </c>
      <c r="N24" s="211">
        <v>1968</v>
      </c>
    </row>
    <row r="25" spans="1:14" ht="15" x14ac:dyDescent="0.25">
      <c r="A25" s="208">
        <v>1969</v>
      </c>
      <c r="B25" s="214">
        <v>466.87383699999998</v>
      </c>
      <c r="C25" s="214">
        <v>465.01969100000002</v>
      </c>
      <c r="D25" s="214">
        <v>461.68222900000001</v>
      </c>
      <c r="E25" s="214">
        <v>456.11979300000002</v>
      </c>
      <c r="F25" s="214">
        <v>453.15316000000001</v>
      </c>
      <c r="G25" s="214">
        <v>462.05305900000002</v>
      </c>
      <c r="H25" s="214">
        <v>461.68222900000001</v>
      </c>
      <c r="I25" s="214">
        <v>457.23228</v>
      </c>
      <c r="J25" s="214">
        <v>459.82808399999999</v>
      </c>
      <c r="K25" s="214">
        <v>456.86145099999999</v>
      </c>
      <c r="L25" s="214">
        <v>450.55735700000002</v>
      </c>
      <c r="M25" s="215">
        <v>451.66984400000001</v>
      </c>
      <c r="N25" s="211">
        <v>1969</v>
      </c>
    </row>
    <row r="26" spans="1:14" ht="15" x14ac:dyDescent="0.25">
      <c r="A26" s="208">
        <v>1970</v>
      </c>
      <c r="B26" s="214">
        <v>514.22018400000002</v>
      </c>
      <c r="C26" s="214">
        <v>510.55045899999999</v>
      </c>
      <c r="D26" s="214">
        <v>510.55045899999999</v>
      </c>
      <c r="E26" s="214">
        <v>500.45871599999998</v>
      </c>
      <c r="F26" s="214">
        <v>481.19266099999999</v>
      </c>
      <c r="G26" s="214">
        <v>478.89908300000002</v>
      </c>
      <c r="H26" s="214">
        <v>480.73394500000001</v>
      </c>
      <c r="I26" s="214">
        <v>481.65137700000002</v>
      </c>
      <c r="J26" s="214">
        <v>475.68807399999997</v>
      </c>
      <c r="K26" s="214">
        <v>472.018349</v>
      </c>
      <c r="L26" s="214">
        <v>467.43119300000001</v>
      </c>
      <c r="M26" s="215">
        <v>465.59633100000002</v>
      </c>
      <c r="N26" s="211">
        <v>1970</v>
      </c>
    </row>
    <row r="27" spans="1:14" ht="15" x14ac:dyDescent="0.25">
      <c r="A27" s="208">
        <v>1971</v>
      </c>
      <c r="B27" s="214">
        <v>583.02752299999997</v>
      </c>
      <c r="C27" s="214">
        <v>576.14678900000001</v>
      </c>
      <c r="D27" s="214">
        <v>566.97247800000002</v>
      </c>
      <c r="E27" s="214">
        <v>555.04587200000003</v>
      </c>
      <c r="F27" s="214">
        <v>537.61467900000002</v>
      </c>
      <c r="G27" s="214">
        <v>534.86238600000001</v>
      </c>
      <c r="H27" s="214">
        <v>537.61467900000002</v>
      </c>
      <c r="I27" s="214">
        <v>536.69724799999995</v>
      </c>
      <c r="J27" s="214">
        <v>533.94495500000005</v>
      </c>
      <c r="K27" s="214">
        <v>529.81651399999998</v>
      </c>
      <c r="L27" s="214">
        <v>522.93578000000002</v>
      </c>
      <c r="M27" s="215">
        <v>523.394496</v>
      </c>
      <c r="N27" s="211">
        <v>1971</v>
      </c>
    </row>
    <row r="28" spans="1:14" ht="15" x14ac:dyDescent="0.25">
      <c r="A28" s="208">
        <v>1972</v>
      </c>
      <c r="B28" s="214">
        <v>655.04587200000003</v>
      </c>
      <c r="C28" s="214">
        <v>645.87156000000004</v>
      </c>
      <c r="D28" s="214">
        <v>634.86238600000001</v>
      </c>
      <c r="E28" s="214">
        <v>620.18348700000001</v>
      </c>
      <c r="F28" s="214">
        <v>611.46789000000001</v>
      </c>
      <c r="G28" s="214">
        <v>608.715597</v>
      </c>
      <c r="H28" s="214">
        <v>604.58715600000005</v>
      </c>
      <c r="I28" s="214">
        <v>613.30275300000005</v>
      </c>
      <c r="J28" s="214">
        <v>606.88073399999996</v>
      </c>
      <c r="K28" s="214">
        <v>600</v>
      </c>
      <c r="L28" s="214">
        <v>588.073395</v>
      </c>
      <c r="M28" s="215">
        <v>591.28440399999999</v>
      </c>
      <c r="N28" s="211">
        <v>1972</v>
      </c>
    </row>
    <row r="29" spans="1:14" ht="15" x14ac:dyDescent="0.25">
      <c r="A29" s="208">
        <v>1973</v>
      </c>
      <c r="B29" s="214">
        <v>827.98165200000005</v>
      </c>
      <c r="C29" s="214">
        <v>806.42201899999998</v>
      </c>
      <c r="D29" s="214">
        <v>772.47706500000004</v>
      </c>
      <c r="E29" s="214">
        <v>758.715597</v>
      </c>
      <c r="F29" s="214">
        <v>746.33027600000003</v>
      </c>
      <c r="G29" s="214">
        <v>741.74311999999998</v>
      </c>
      <c r="H29" s="214">
        <v>729.357799</v>
      </c>
      <c r="I29" s="214">
        <v>727.06422099999997</v>
      </c>
      <c r="J29" s="214">
        <v>716.97247800000002</v>
      </c>
      <c r="K29" s="214">
        <v>690.36697300000003</v>
      </c>
      <c r="L29" s="214">
        <v>673.85321199999998</v>
      </c>
      <c r="M29" s="215">
        <v>667.43119300000001</v>
      </c>
      <c r="N29" s="211">
        <v>1973</v>
      </c>
    </row>
    <row r="30" spans="1:14" ht="15" x14ac:dyDescent="0.25">
      <c r="A30" s="208">
        <v>1974</v>
      </c>
      <c r="B30" s="214">
        <v>1293.119267</v>
      </c>
      <c r="C30" s="214">
        <v>1196.3302759999999</v>
      </c>
      <c r="D30" s="214">
        <v>1071.559634</v>
      </c>
      <c r="E30" s="214">
        <v>1045.4128450000001</v>
      </c>
      <c r="F30" s="214">
        <v>1025.2293589999999</v>
      </c>
      <c r="G30" s="214">
        <v>1020.183487</v>
      </c>
      <c r="H30" s="214">
        <v>1006.422019</v>
      </c>
      <c r="I30" s="214">
        <v>1003.21101</v>
      </c>
      <c r="J30" s="214">
        <v>977.06422099999997</v>
      </c>
      <c r="K30" s="214">
        <v>951.37614799999994</v>
      </c>
      <c r="L30" s="214">
        <v>926.60550499999999</v>
      </c>
      <c r="M30" s="215">
        <v>857.33945000000006</v>
      </c>
      <c r="N30" s="211">
        <v>1974</v>
      </c>
    </row>
    <row r="31" spans="1:14" ht="15" x14ac:dyDescent="0.25">
      <c r="A31" s="208">
        <v>1975</v>
      </c>
      <c r="B31" s="214">
        <v>1597.2477080000001</v>
      </c>
      <c r="C31" s="214">
        <v>1584.8623869999999</v>
      </c>
      <c r="D31" s="214">
        <v>1536.238533</v>
      </c>
      <c r="E31" s="214">
        <v>1444.9541300000001</v>
      </c>
      <c r="F31" s="214">
        <v>1415.596331</v>
      </c>
      <c r="G31" s="214">
        <v>1415.137616</v>
      </c>
      <c r="H31" s="214">
        <v>1408.7155969999999</v>
      </c>
      <c r="I31" s="214">
        <v>1413.761469</v>
      </c>
      <c r="J31" s="214">
        <v>1394.0366979999999</v>
      </c>
      <c r="K31" s="214">
        <v>1370.6422030000001</v>
      </c>
      <c r="L31" s="214">
        <v>1338.0733949999999</v>
      </c>
      <c r="M31" s="215">
        <v>1318.3486250000001</v>
      </c>
      <c r="N31" s="211">
        <v>1975</v>
      </c>
    </row>
    <row r="32" spans="1:14" ht="15" x14ac:dyDescent="0.25">
      <c r="A32" s="208">
        <v>1976</v>
      </c>
      <c r="B32" s="214">
        <v>2204.5871579999998</v>
      </c>
      <c r="C32" s="214">
        <v>2146.7889890000001</v>
      </c>
      <c r="D32" s="214">
        <v>2055.045873</v>
      </c>
      <c r="E32" s="214">
        <v>1988.532113</v>
      </c>
      <c r="F32" s="214">
        <v>1944.036699</v>
      </c>
      <c r="G32" s="214">
        <v>1920.6422030000001</v>
      </c>
      <c r="H32" s="214">
        <v>1827.522937</v>
      </c>
      <c r="I32" s="214">
        <v>1823.853212</v>
      </c>
      <c r="J32" s="214">
        <v>1785.779818</v>
      </c>
      <c r="K32" s="214">
        <v>1688.9908270000001</v>
      </c>
      <c r="L32" s="214">
        <v>1630.2752310000001</v>
      </c>
      <c r="M32" s="215">
        <v>1618.807341</v>
      </c>
      <c r="N32" s="211">
        <v>1976</v>
      </c>
    </row>
    <row r="33" spans="1:14" ht="15" x14ac:dyDescent="0.25">
      <c r="A33" s="208">
        <v>1977</v>
      </c>
      <c r="B33" s="214">
        <v>3142.4733919999999</v>
      </c>
      <c r="C33" s="214">
        <v>3082.1137589999998</v>
      </c>
      <c r="D33" s="214">
        <v>2755.7944940000002</v>
      </c>
      <c r="E33" s="214">
        <v>2659.596329</v>
      </c>
      <c r="F33" s="214">
        <v>2561.5119249999998</v>
      </c>
      <c r="G33" s="214">
        <v>2465.31376</v>
      </c>
      <c r="H33" s="214">
        <v>2429.4752279999998</v>
      </c>
      <c r="I33" s="214">
        <v>2372.8880720000002</v>
      </c>
      <c r="J33" s="214">
        <v>2318.1871540000002</v>
      </c>
      <c r="K33" s="214">
        <v>2263.4862370000001</v>
      </c>
      <c r="L33" s="214">
        <v>2220.1027509999999</v>
      </c>
      <c r="M33" s="215">
        <v>2199.3541300000002</v>
      </c>
      <c r="N33" s="211">
        <v>1977</v>
      </c>
    </row>
    <row r="34" spans="1:14" ht="15" x14ac:dyDescent="0.25">
      <c r="A34" s="208">
        <v>1978</v>
      </c>
      <c r="B34" s="214">
        <v>4655.2366949999996</v>
      </c>
      <c r="C34" s="214">
        <v>4500.5651349999998</v>
      </c>
      <c r="D34" s="214">
        <v>4236.4917409999998</v>
      </c>
      <c r="E34" s="214">
        <v>4006.3706400000001</v>
      </c>
      <c r="F34" s="214">
        <v>3889.423851</v>
      </c>
      <c r="G34" s="214">
        <v>3798.8844009999998</v>
      </c>
      <c r="H34" s="214">
        <v>3710.23119</v>
      </c>
      <c r="I34" s="214">
        <v>3638.554126</v>
      </c>
      <c r="J34" s="214">
        <v>3572.5357779999999</v>
      </c>
      <c r="K34" s="214">
        <v>3385.7981629999999</v>
      </c>
      <c r="L34" s="214">
        <v>3265.0788969999999</v>
      </c>
      <c r="M34" s="215">
        <v>3214.1504570000002</v>
      </c>
      <c r="N34" s="211">
        <v>1978</v>
      </c>
    </row>
    <row r="35" spans="1:14" ht="15" x14ac:dyDescent="0.25">
      <c r="A35" s="208">
        <v>1979</v>
      </c>
      <c r="B35" s="214">
        <v>9840.5064160000002</v>
      </c>
      <c r="C35" s="214">
        <v>9102.9871509999994</v>
      </c>
      <c r="D35" s="214">
        <v>8295.6770589999996</v>
      </c>
      <c r="E35" s="214">
        <v>7693.9669679999997</v>
      </c>
      <c r="F35" s="214">
        <v>7124.322932</v>
      </c>
      <c r="G35" s="214">
        <v>6573.5412809999998</v>
      </c>
      <c r="H35" s="214">
        <v>6230.245868</v>
      </c>
      <c r="I35" s="214">
        <v>6017.1009139999996</v>
      </c>
      <c r="J35" s="214">
        <v>5743.5963270000002</v>
      </c>
      <c r="K35" s="214">
        <v>5285.2403640000002</v>
      </c>
      <c r="L35" s="214">
        <v>5004.1908229999999</v>
      </c>
      <c r="M35" s="215">
        <v>4885.3577949999999</v>
      </c>
      <c r="N35" s="211">
        <v>1979</v>
      </c>
    </row>
    <row r="36" spans="1:14" ht="15" x14ac:dyDescent="0.25">
      <c r="A36" s="208">
        <v>1980</v>
      </c>
      <c r="B36" s="214">
        <v>22923.456867000001</v>
      </c>
      <c r="C36" s="214">
        <v>21629.497234999999</v>
      </c>
      <c r="D36" s="214">
        <v>19775.324758999999</v>
      </c>
      <c r="E36" s="214">
        <v>17815.522925000001</v>
      </c>
      <c r="F36" s="214">
        <v>16608.330265000001</v>
      </c>
      <c r="G36" s="214">
        <v>15342.664210999999</v>
      </c>
      <c r="H36" s="214">
        <v>14699.456872000001</v>
      </c>
      <c r="I36" s="214">
        <v>14050.590817</v>
      </c>
      <c r="J36" s="214">
        <v>12835.853203000001</v>
      </c>
      <c r="K36" s="214">
        <v>11647.522929000001</v>
      </c>
      <c r="L36" s="214">
        <v>11081.65137</v>
      </c>
      <c r="M36" s="215">
        <v>10561.049535</v>
      </c>
      <c r="N36" s="211">
        <v>1980</v>
      </c>
    </row>
    <row r="37" spans="1:14" ht="15" x14ac:dyDescent="0.25">
      <c r="A37" s="208">
        <v>1981</v>
      </c>
      <c r="B37" s="214">
        <v>46189.486717</v>
      </c>
      <c r="C37" s="214">
        <v>43921.745125000001</v>
      </c>
      <c r="D37" s="214">
        <v>41512.269684999999</v>
      </c>
      <c r="E37" s="214">
        <v>38079.160886999998</v>
      </c>
      <c r="F37" s="214">
        <v>35212.987486999999</v>
      </c>
      <c r="G37" s="214">
        <v>33890.138225000002</v>
      </c>
      <c r="H37" s="214">
        <v>31953.108949000001</v>
      </c>
      <c r="I37" s="214">
        <v>31102.705852999999</v>
      </c>
      <c r="J37" s="214">
        <v>30094.820701000001</v>
      </c>
      <c r="K37" s="214">
        <v>27197.150890000001</v>
      </c>
      <c r="L37" s="214">
        <v>25953.042656000001</v>
      </c>
      <c r="M37" s="215">
        <v>24598.696983999998</v>
      </c>
      <c r="N37" s="211">
        <v>1981</v>
      </c>
    </row>
    <row r="38" spans="1:14" ht="15" x14ac:dyDescent="0.25">
      <c r="A38" s="208">
        <v>1982</v>
      </c>
      <c r="B38" s="214">
        <v>106930.315311</v>
      </c>
      <c r="C38" s="214">
        <v>101308.205949</v>
      </c>
      <c r="D38" s="214">
        <v>95134.909394999995</v>
      </c>
      <c r="E38" s="214">
        <v>87764.749223999999</v>
      </c>
      <c r="F38" s="214">
        <v>81575.704463999995</v>
      </c>
      <c r="G38" s="214">
        <v>75622.882786999995</v>
      </c>
      <c r="H38" s="214">
        <v>69244.859561000005</v>
      </c>
      <c r="I38" s="214">
        <v>65307.808188000003</v>
      </c>
      <c r="J38" s="214">
        <v>61480.994251999997</v>
      </c>
      <c r="K38" s="214">
        <v>55559.668985999997</v>
      </c>
      <c r="L38" s="214">
        <v>52882.474051999998</v>
      </c>
      <c r="M38" s="215">
        <v>50032.048858000002</v>
      </c>
      <c r="N38" s="211">
        <v>1982</v>
      </c>
    </row>
    <row r="39" spans="1:14" ht="15" x14ac:dyDescent="0.25">
      <c r="A39" s="208">
        <v>1983</v>
      </c>
      <c r="B39" s="214">
        <v>310838.08006000001</v>
      </c>
      <c r="C39" s="214">
        <v>278507.01417899999</v>
      </c>
      <c r="D39" s="214">
        <v>241813.69537500001</v>
      </c>
      <c r="E39" s="214">
        <v>199734.49029300001</v>
      </c>
      <c r="F39" s="214">
        <v>183261.86734500001</v>
      </c>
      <c r="G39" s="214">
        <v>171009.763469</v>
      </c>
      <c r="H39" s="214">
        <v>160946.66015800001</v>
      </c>
      <c r="I39" s="214">
        <v>155356.047208</v>
      </c>
      <c r="J39" s="214">
        <v>147229.973172</v>
      </c>
      <c r="K39" s="214">
        <v>129985.688155</v>
      </c>
      <c r="L39" s="214">
        <v>123040.729532</v>
      </c>
      <c r="M39" s="215">
        <v>116001.281676</v>
      </c>
      <c r="N39" s="211">
        <v>1983</v>
      </c>
    </row>
    <row r="40" spans="1:14" ht="15" x14ac:dyDescent="0.25">
      <c r="A40" s="208">
        <v>1984</v>
      </c>
      <c r="B40" s="214">
        <v>1693688.0045700001</v>
      </c>
      <c r="C40" s="214">
        <v>1632679.4564799999</v>
      </c>
      <c r="D40" s="214">
        <v>1365778.8697500001</v>
      </c>
      <c r="E40" s="214">
        <v>1098437.3332700001</v>
      </c>
      <c r="F40" s="214">
        <v>905033.62159200001</v>
      </c>
      <c r="G40" s="214">
        <v>777032.20732799999</v>
      </c>
      <c r="H40" s="214">
        <v>691613.94072299998</v>
      </c>
      <c r="I40" s="214">
        <v>610132.725492</v>
      </c>
      <c r="J40" s="214">
        <v>533816.92166400002</v>
      </c>
      <c r="K40" s="214">
        <v>442634.81184699998</v>
      </c>
      <c r="L40" s="214">
        <v>399972.92316200002</v>
      </c>
      <c r="M40" s="215">
        <v>357216.54524299997</v>
      </c>
      <c r="N40" s="211">
        <v>1984</v>
      </c>
    </row>
    <row r="41" spans="1:14" ht="15" x14ac:dyDescent="0.25">
      <c r="A41" s="208">
        <v>1985</v>
      </c>
      <c r="B41" s="216">
        <v>4829974.63</v>
      </c>
      <c r="C41" s="216">
        <v>4768556.62</v>
      </c>
      <c r="D41" s="216">
        <v>4746509.1399999997</v>
      </c>
      <c r="E41" s="216">
        <v>4535483.18</v>
      </c>
      <c r="F41" s="216">
        <v>4401623.4400000004</v>
      </c>
      <c r="G41" s="216">
        <v>4236267.28</v>
      </c>
      <c r="H41" s="216">
        <v>3322871.36</v>
      </c>
      <c r="I41" s="216">
        <v>2891370.53</v>
      </c>
      <c r="J41" s="216">
        <v>2707116.52</v>
      </c>
      <c r="K41" s="216">
        <v>2267741.59</v>
      </c>
      <c r="L41" s="216">
        <v>2023644.41</v>
      </c>
      <c r="M41" s="217">
        <v>1782696.86</v>
      </c>
      <c r="N41" s="211">
        <v>1985</v>
      </c>
    </row>
    <row r="42" spans="1:14" ht="15" x14ac:dyDescent="0.25">
      <c r="A42" s="208">
        <v>1986</v>
      </c>
      <c r="B42" s="216">
        <v>5779197.71</v>
      </c>
      <c r="C42" s="216">
        <v>5694157.4000000004</v>
      </c>
      <c r="D42" s="216">
        <v>5534706.8200000003</v>
      </c>
      <c r="E42" s="216">
        <v>5407146.3600000003</v>
      </c>
      <c r="F42" s="216">
        <v>5304389.32</v>
      </c>
      <c r="G42" s="216">
        <v>5247695.78</v>
      </c>
      <c r="H42" s="216">
        <v>5247695.78</v>
      </c>
      <c r="I42" s="216">
        <v>5162655.47</v>
      </c>
      <c r="J42" s="216">
        <v>5081158.5</v>
      </c>
      <c r="K42" s="216">
        <v>4918164.58</v>
      </c>
      <c r="L42" s="216">
        <v>4843754.3099999996</v>
      </c>
      <c r="M42" s="217">
        <v>4765800.6900000004</v>
      </c>
      <c r="N42" s="211">
        <v>1986</v>
      </c>
    </row>
    <row r="43" spans="1:14" ht="15" x14ac:dyDescent="0.25">
      <c r="A43" s="208">
        <v>1987</v>
      </c>
      <c r="B43" s="216">
        <v>6711097.7699999996</v>
      </c>
      <c r="C43" s="216">
        <v>6626057.46</v>
      </c>
      <c r="D43" s="216">
        <v>6523300.4199999999</v>
      </c>
      <c r="E43" s="216">
        <v>6424086.7300000004</v>
      </c>
      <c r="F43" s="216">
        <v>6363849.8399999999</v>
      </c>
      <c r="G43" s="216">
        <v>6285896.2199999997</v>
      </c>
      <c r="H43" s="216">
        <v>6271722.8399999999</v>
      </c>
      <c r="I43" s="216">
        <v>6211485.9500000002</v>
      </c>
      <c r="J43" s="216">
        <v>6172509.1399999997</v>
      </c>
      <c r="K43" s="216">
        <v>6037861.9900000002</v>
      </c>
      <c r="L43" s="216">
        <v>5959908.3700000001</v>
      </c>
      <c r="M43" s="217">
        <v>5903214.8300000001</v>
      </c>
      <c r="N43" s="211">
        <v>1987</v>
      </c>
    </row>
    <row r="44" spans="1:14" ht="15" x14ac:dyDescent="0.25">
      <c r="A44" s="208">
        <v>1988</v>
      </c>
      <c r="B44" s="216">
        <v>7811483.96</v>
      </c>
      <c r="C44" s="216">
        <v>7773747.3200000003</v>
      </c>
      <c r="D44" s="216">
        <v>7647958.5300000003</v>
      </c>
      <c r="E44" s="216">
        <v>7471854.2199999997</v>
      </c>
      <c r="F44" s="216">
        <v>7346065.4299999997</v>
      </c>
      <c r="G44" s="216">
        <v>7289460.4699999997</v>
      </c>
      <c r="H44" s="216">
        <v>7283171.0300000003</v>
      </c>
      <c r="I44" s="216">
        <v>7264302.71</v>
      </c>
      <c r="J44" s="216">
        <v>7176250.5599999996</v>
      </c>
      <c r="K44" s="216">
        <v>6987567.3700000001</v>
      </c>
      <c r="L44" s="216">
        <v>6874357.4500000002</v>
      </c>
      <c r="M44" s="217">
        <v>6817752.4900000002</v>
      </c>
      <c r="N44" s="211">
        <v>1988</v>
      </c>
    </row>
    <row r="45" spans="1:14" ht="15" x14ac:dyDescent="0.25">
      <c r="A45" s="208">
        <v>1989</v>
      </c>
      <c r="B45" s="216">
        <v>9427869.9299999997</v>
      </c>
      <c r="C45" s="216">
        <v>9327238.8900000006</v>
      </c>
      <c r="D45" s="216">
        <v>9207739.5399999991</v>
      </c>
      <c r="E45" s="216">
        <v>9044214.1099999994</v>
      </c>
      <c r="F45" s="216">
        <v>8905846.4399999995</v>
      </c>
      <c r="G45" s="216">
        <v>8798925.9700000007</v>
      </c>
      <c r="H45" s="216">
        <v>8748610.4499999993</v>
      </c>
      <c r="I45" s="216">
        <v>8641689.9800000004</v>
      </c>
      <c r="J45" s="216">
        <v>8566216.7100000009</v>
      </c>
      <c r="K45" s="216">
        <v>8352375.7599999998</v>
      </c>
      <c r="L45" s="216">
        <v>8314639.1200000001</v>
      </c>
      <c r="M45" s="217">
        <v>8176271.4500000002</v>
      </c>
      <c r="N45" s="211">
        <v>1989</v>
      </c>
    </row>
    <row r="46" spans="1:14" ht="15" x14ac:dyDescent="0.25">
      <c r="A46" s="208">
        <v>1990</v>
      </c>
      <c r="B46" s="216">
        <v>11088281.98</v>
      </c>
      <c r="C46" s="216">
        <v>11044255.9</v>
      </c>
      <c r="D46" s="216">
        <v>10905888.23</v>
      </c>
      <c r="E46" s="216">
        <v>10723494.48</v>
      </c>
      <c r="F46" s="216">
        <v>10503364.1</v>
      </c>
      <c r="G46" s="216">
        <v>10339838.67</v>
      </c>
      <c r="H46" s="216">
        <v>10176313.24</v>
      </c>
      <c r="I46" s="216">
        <v>10100839.960000001</v>
      </c>
      <c r="J46" s="216">
        <v>9943603.9700000007</v>
      </c>
      <c r="K46" s="216">
        <v>9698315.8300000001</v>
      </c>
      <c r="L46" s="216">
        <v>9578816.4800000004</v>
      </c>
      <c r="M46" s="217">
        <v>9528500.9600000009</v>
      </c>
      <c r="N46" s="211">
        <v>1990</v>
      </c>
    </row>
    <row r="47" spans="1:14" ht="15" x14ac:dyDescent="0.25">
      <c r="A47" s="208">
        <v>1991</v>
      </c>
      <c r="B47" s="216">
        <v>13088323.76</v>
      </c>
      <c r="C47" s="216">
        <v>13044297.960000001</v>
      </c>
      <c r="D47" s="216">
        <v>13025429.369999999</v>
      </c>
      <c r="E47" s="216">
        <v>12968824.41</v>
      </c>
      <c r="F47" s="216">
        <v>12767562.34</v>
      </c>
      <c r="G47" s="216">
        <v>12509695.32</v>
      </c>
      <c r="H47" s="216">
        <v>12144907.83</v>
      </c>
      <c r="I47" s="216">
        <v>11912198.560000001</v>
      </c>
      <c r="J47" s="216">
        <v>11692068.18</v>
      </c>
      <c r="K47" s="216">
        <v>11440490.59</v>
      </c>
      <c r="L47" s="216">
        <v>11302122.92</v>
      </c>
      <c r="M47" s="217">
        <v>11232939.09</v>
      </c>
      <c r="N47" s="211">
        <v>1991</v>
      </c>
    </row>
    <row r="48" spans="1:14" ht="15" x14ac:dyDescent="0.25">
      <c r="A48" s="208">
        <v>1992</v>
      </c>
      <c r="B48" s="216">
        <v>14314764.480583601</v>
      </c>
      <c r="C48" s="216">
        <v>14163817.930700401</v>
      </c>
      <c r="D48" s="216">
        <v>14075765.776602</v>
      </c>
      <c r="E48" s="216">
        <v>14006581.9412388</v>
      </c>
      <c r="F48" s="216">
        <v>13824188.1934634</v>
      </c>
      <c r="G48" s="216">
        <v>13717267.7206295</v>
      </c>
      <c r="H48" s="216">
        <v>13622926.1269526</v>
      </c>
      <c r="I48" s="216">
        <v>13604057.8082172</v>
      </c>
      <c r="J48" s="216">
        <v>13654373.324844901</v>
      </c>
      <c r="K48" s="216">
        <v>13415374.6208633</v>
      </c>
      <c r="L48" s="216">
        <v>13220401.9939309</v>
      </c>
      <c r="M48" s="217">
        <v>13088323.762783101</v>
      </c>
      <c r="N48" s="211">
        <v>1992</v>
      </c>
    </row>
    <row r="49" spans="1:14" ht="15" x14ac:dyDescent="0.25">
      <c r="A49" s="208">
        <v>1993</v>
      </c>
      <c r="B49" s="216">
        <v>15924861.012670301</v>
      </c>
      <c r="C49" s="216">
        <v>15805361.660679501</v>
      </c>
      <c r="D49" s="216">
        <v>15685862.3086887</v>
      </c>
      <c r="E49" s="216">
        <v>15465731.923442399</v>
      </c>
      <c r="F49" s="216">
        <v>15314785.3735593</v>
      </c>
      <c r="G49" s="216">
        <v>15170128.2632546</v>
      </c>
      <c r="H49" s="216">
        <v>15151259.9445193</v>
      </c>
      <c r="I49" s="216">
        <v>15113523.3070485</v>
      </c>
      <c r="J49" s="216">
        <v>15069497.2299992</v>
      </c>
      <c r="K49" s="216">
        <v>14861945.7239099</v>
      </c>
      <c r="L49" s="216">
        <v>14673262.536556</v>
      </c>
      <c r="M49" s="217">
        <v>14497158.228359001</v>
      </c>
      <c r="N49" s="211">
        <v>1993</v>
      </c>
    </row>
    <row r="50" spans="1:14" ht="15" x14ac:dyDescent="0.25">
      <c r="A50" s="208">
        <v>1994</v>
      </c>
      <c r="B50" s="216">
        <v>18226399.663694602</v>
      </c>
      <c r="C50" s="216">
        <v>18074132.331500001</v>
      </c>
      <c r="D50" s="216">
        <v>17845731.333208099</v>
      </c>
      <c r="E50" s="216">
        <v>17602103.6016967</v>
      </c>
      <c r="F50" s="216">
        <v>17404156.069843698</v>
      </c>
      <c r="G50" s="216">
        <v>17221435.271210201</v>
      </c>
      <c r="H50" s="216">
        <v>17038714.4725767</v>
      </c>
      <c r="I50" s="216">
        <v>16810313.474284701</v>
      </c>
      <c r="J50" s="216">
        <v>16612365.9424318</v>
      </c>
      <c r="K50" s="216">
        <v>16292604.544823101</v>
      </c>
      <c r="L50" s="216">
        <v>16125110.479409</v>
      </c>
      <c r="M50" s="217">
        <v>16033750.080092199</v>
      </c>
      <c r="N50" s="211">
        <v>1994</v>
      </c>
    </row>
    <row r="51" spans="1:14" ht="15" x14ac:dyDescent="0.25">
      <c r="A51" s="208">
        <v>1995</v>
      </c>
      <c r="B51" s="216">
        <v>19703392.7859823</v>
      </c>
      <c r="C51" s="216">
        <v>19474991.787690401</v>
      </c>
      <c r="D51" s="216">
        <v>19337951.188715201</v>
      </c>
      <c r="E51" s="216">
        <v>19140003.6568623</v>
      </c>
      <c r="F51" s="216">
        <v>18957282.858228698</v>
      </c>
      <c r="G51" s="216">
        <v>18728881.8599368</v>
      </c>
      <c r="H51" s="216">
        <v>18683201.660278399</v>
      </c>
      <c r="I51" s="216">
        <v>18622294.727400601</v>
      </c>
      <c r="J51" s="216">
        <v>18439573.9287671</v>
      </c>
      <c r="K51" s="216">
        <v>18272079.863352999</v>
      </c>
      <c r="L51" s="216">
        <v>18287306.596572399</v>
      </c>
      <c r="M51" s="217">
        <v>18256853.130133498</v>
      </c>
      <c r="N51" s="211">
        <v>1995</v>
      </c>
    </row>
    <row r="52" spans="1:14" ht="15" x14ac:dyDescent="0.25">
      <c r="A52" s="208">
        <v>1996</v>
      </c>
      <c r="B52" s="216">
        <v>21789455.237048399</v>
      </c>
      <c r="C52" s="216">
        <v>21621961.171634398</v>
      </c>
      <c r="D52" s="216">
        <v>21484920.572659198</v>
      </c>
      <c r="E52" s="216">
        <v>21317426.507245202</v>
      </c>
      <c r="F52" s="216">
        <v>21226066.107928399</v>
      </c>
      <c r="G52" s="216">
        <v>21149932.441831101</v>
      </c>
      <c r="H52" s="216">
        <v>21089025.508953199</v>
      </c>
      <c r="I52" s="216">
        <v>20936758.176758599</v>
      </c>
      <c r="J52" s="216">
        <v>20586543.312711</v>
      </c>
      <c r="K52" s="216">
        <v>20251555.181882899</v>
      </c>
      <c r="L52" s="216">
        <v>20053607.650029901</v>
      </c>
      <c r="M52" s="217">
        <v>19870886.8513964</v>
      </c>
      <c r="N52" s="211">
        <v>1996</v>
      </c>
    </row>
    <row r="53" spans="1:14" ht="15" x14ac:dyDescent="0.25">
      <c r="A53" s="208">
        <v>1997</v>
      </c>
      <c r="B53" s="216">
        <v>23312128.558994502</v>
      </c>
      <c r="C53" s="216">
        <v>23388262.2250918</v>
      </c>
      <c r="D53" s="216">
        <v>23449169.157969698</v>
      </c>
      <c r="E53" s="216">
        <v>23175087.960019398</v>
      </c>
      <c r="F53" s="216">
        <v>23190314.693238799</v>
      </c>
      <c r="G53" s="216">
        <v>23098954.2939221</v>
      </c>
      <c r="H53" s="216">
        <v>22870553.295630202</v>
      </c>
      <c r="I53" s="216">
        <v>22626925.564118799</v>
      </c>
      <c r="J53" s="216">
        <v>22520338.4315826</v>
      </c>
      <c r="K53" s="216">
        <v>22352844.366168499</v>
      </c>
      <c r="L53" s="216">
        <v>22139670.101096001</v>
      </c>
      <c r="M53" s="217">
        <v>21880815.636365201</v>
      </c>
      <c r="N53" s="211">
        <v>1997</v>
      </c>
    </row>
    <row r="54" spans="1:14" ht="15" x14ac:dyDescent="0.25">
      <c r="A54" s="208">
        <v>1998</v>
      </c>
      <c r="B54" s="216">
        <v>25322057.3439634</v>
      </c>
      <c r="C54" s="216">
        <v>25306830.610743899</v>
      </c>
      <c r="D54" s="216">
        <v>24987069.213135201</v>
      </c>
      <c r="E54" s="216">
        <v>24256186.018601101</v>
      </c>
      <c r="F54" s="216">
        <v>23921197.887773</v>
      </c>
      <c r="G54" s="216">
        <v>23799384.0220173</v>
      </c>
      <c r="H54" s="216">
        <v>23829837.488456201</v>
      </c>
      <c r="I54" s="216">
        <v>23738477.089139398</v>
      </c>
      <c r="J54" s="216">
        <v>23647116.6898227</v>
      </c>
      <c r="K54" s="216">
        <v>23327355.292213999</v>
      </c>
      <c r="L54" s="216">
        <v>23373035.4918724</v>
      </c>
      <c r="M54" s="217">
        <v>23388262.2250918</v>
      </c>
      <c r="N54" s="211">
        <v>1998</v>
      </c>
    </row>
    <row r="55" spans="1:14" ht="15" x14ac:dyDescent="0.25">
      <c r="A55" s="208">
        <v>1999</v>
      </c>
      <c r="B55" s="216">
        <v>25662313.9244854</v>
      </c>
      <c r="C55" s="216">
        <v>25662313.9244854</v>
      </c>
      <c r="D55" s="216">
        <v>25710460.854925402</v>
      </c>
      <c r="E55" s="216">
        <v>25541946.598385599</v>
      </c>
      <c r="F55" s="216">
        <v>25421579.2722857</v>
      </c>
      <c r="G55" s="216">
        <v>25301211.946185902</v>
      </c>
      <c r="H55" s="216">
        <v>25228991.550526001</v>
      </c>
      <c r="I55" s="216">
        <v>25156771.154866099</v>
      </c>
      <c r="J55" s="216">
        <v>25036403.828766301</v>
      </c>
      <c r="K55" s="216">
        <v>24964183.4331064</v>
      </c>
      <c r="L55" s="216">
        <v>25012330.363546301</v>
      </c>
      <c r="M55" s="217">
        <v>25204918.085306</v>
      </c>
      <c r="N55" s="211">
        <v>1999</v>
      </c>
    </row>
    <row r="56" spans="1:14" ht="15" x14ac:dyDescent="0.25">
      <c r="A56" s="208">
        <v>2000</v>
      </c>
      <c r="B56" s="216">
        <v>25662313.9244854</v>
      </c>
      <c r="C56" s="216">
        <v>25686387.389705401</v>
      </c>
      <c r="D56" s="216">
        <v>25686387.389705401</v>
      </c>
      <c r="E56" s="216">
        <v>25541946.598385599</v>
      </c>
      <c r="F56" s="216">
        <v>25686387.389705401</v>
      </c>
      <c r="G56" s="216">
        <v>25830828.1810252</v>
      </c>
      <c r="H56" s="216">
        <v>25758607.785365298</v>
      </c>
      <c r="I56" s="216">
        <v>25686387.389705401</v>
      </c>
      <c r="J56" s="216">
        <v>25469726.202725701</v>
      </c>
      <c r="K56" s="216">
        <v>25349358.876625799</v>
      </c>
      <c r="L56" s="216">
        <v>25421579.2722857</v>
      </c>
      <c r="M56" s="217">
        <v>25541946.598385599</v>
      </c>
      <c r="N56" s="211">
        <v>2000</v>
      </c>
    </row>
    <row r="57" spans="1:14" ht="15" x14ac:dyDescent="0.25">
      <c r="A57" s="208">
        <v>2001</v>
      </c>
      <c r="B57" s="216">
        <v>26023993.665950201</v>
      </c>
      <c r="C57" s="216">
        <v>26049607.8329443</v>
      </c>
      <c r="D57" s="216">
        <v>26203292.8349085</v>
      </c>
      <c r="E57" s="216">
        <v>26177678.667914499</v>
      </c>
      <c r="F57" s="216">
        <v>26126450.333926398</v>
      </c>
      <c r="G57" s="216">
        <v>26049607.8329443</v>
      </c>
      <c r="H57" s="216">
        <v>25947151.164968099</v>
      </c>
      <c r="I57" s="216">
        <v>25870308.663985901</v>
      </c>
      <c r="J57" s="216">
        <v>25767851.996009801</v>
      </c>
      <c r="K57" s="216">
        <v>25537324.493063301</v>
      </c>
      <c r="L57" s="216">
        <v>25486096.159075301</v>
      </c>
      <c r="M57" s="217">
        <v>25511710.326069299</v>
      </c>
      <c r="N57" s="211">
        <v>2001</v>
      </c>
    </row>
    <row r="58" spans="1:14" ht="15" x14ac:dyDescent="0.25">
      <c r="A58" s="208">
        <v>2002</v>
      </c>
      <c r="B58" s="216">
        <v>27714528.687557202</v>
      </c>
      <c r="C58" s="216">
        <v>27791371.188539401</v>
      </c>
      <c r="D58" s="216">
        <v>28021898.6914858</v>
      </c>
      <c r="E58" s="216">
        <v>27842599.5225274</v>
      </c>
      <c r="F58" s="216">
        <v>27740142.8545513</v>
      </c>
      <c r="G58" s="216">
        <v>27842599.5225274</v>
      </c>
      <c r="H58" s="216">
        <v>27663300.353569102</v>
      </c>
      <c r="I58" s="216">
        <v>27304702.0156525</v>
      </c>
      <c r="J58" s="216">
        <v>27048560.345711999</v>
      </c>
      <c r="K58" s="216">
        <v>26638733.673807301</v>
      </c>
      <c r="L58" s="216">
        <v>26510662.838837098</v>
      </c>
      <c r="M58" s="217">
        <v>26305749.502884701</v>
      </c>
      <c r="N58" s="211">
        <v>2002</v>
      </c>
    </row>
    <row r="59" spans="1:14" ht="15" x14ac:dyDescent="0.25">
      <c r="A59" s="208">
        <v>2003</v>
      </c>
      <c r="B59" s="216">
        <v>27191794.767542701</v>
      </c>
      <c r="C59" s="216">
        <v>27246506.628242001</v>
      </c>
      <c r="D59" s="216">
        <v>27301218.488941301</v>
      </c>
      <c r="E59" s="216">
        <v>27301218.488941301</v>
      </c>
      <c r="F59" s="216">
        <v>27437998.1406895</v>
      </c>
      <c r="G59" s="216">
        <v>27383286.2799902</v>
      </c>
      <c r="H59" s="216">
        <v>27574777.792437699</v>
      </c>
      <c r="I59" s="216">
        <v>27738913.374535501</v>
      </c>
      <c r="J59" s="216">
        <v>27875693.0262837</v>
      </c>
      <c r="K59" s="216">
        <v>27930404.886983</v>
      </c>
      <c r="L59" s="216">
        <v>27875693.0262837</v>
      </c>
      <c r="M59" s="217">
        <v>27766269.304885201</v>
      </c>
      <c r="N59" s="211">
        <v>2003</v>
      </c>
    </row>
    <row r="60" spans="1:14" ht="15" x14ac:dyDescent="0.25">
      <c r="A60" s="208">
        <v>2004</v>
      </c>
      <c r="B60" s="216">
        <v>27520065.931738399</v>
      </c>
      <c r="C60" s="216">
        <v>27492710.001388799</v>
      </c>
      <c r="D60" s="216">
        <v>27520065.931738399</v>
      </c>
      <c r="E60" s="216">
        <v>27520065.931738399</v>
      </c>
      <c r="F60" s="216">
        <v>27574777.792437699</v>
      </c>
      <c r="G60" s="216">
        <v>27520065.931738399</v>
      </c>
      <c r="H60" s="216">
        <v>27574777.792437699</v>
      </c>
      <c r="I60" s="216">
        <v>27574777.792437699</v>
      </c>
      <c r="J60" s="216">
        <v>27465354.071039099</v>
      </c>
      <c r="K60" s="216">
        <v>27164438.837193102</v>
      </c>
      <c r="L60" s="216">
        <v>27191794.767542701</v>
      </c>
      <c r="M60" s="217">
        <v>27137082.906843498</v>
      </c>
      <c r="N60" s="211">
        <v>2004</v>
      </c>
    </row>
    <row r="61" spans="1:14" ht="15" x14ac:dyDescent="0.25">
      <c r="A61" s="208">
        <v>2005</v>
      </c>
      <c r="B61" s="216">
        <v>28176608.260129798</v>
      </c>
      <c r="C61" s="216">
        <v>28231320.120829102</v>
      </c>
      <c r="D61" s="216">
        <v>28258676.051178701</v>
      </c>
      <c r="E61" s="216">
        <v>28039828.608381599</v>
      </c>
      <c r="F61" s="216">
        <v>28012472.678032</v>
      </c>
      <c r="G61" s="216">
        <v>27957760.8173327</v>
      </c>
      <c r="H61" s="216">
        <v>27656845.583486602</v>
      </c>
      <c r="I61" s="216">
        <v>27629489.653136998</v>
      </c>
      <c r="J61" s="216">
        <v>27547421.862088099</v>
      </c>
      <c r="K61" s="216">
        <v>27355930.3496406</v>
      </c>
      <c r="L61" s="216">
        <v>27410642.2103399</v>
      </c>
      <c r="M61" s="217">
        <v>27355930.3496406</v>
      </c>
      <c r="N61" s="211">
        <v>2005</v>
      </c>
    </row>
    <row r="62" spans="1:14" ht="15" x14ac:dyDescent="0.25">
      <c r="A62" s="208">
        <v>2006</v>
      </c>
      <c r="B62" s="216">
        <v>28149252.329780199</v>
      </c>
      <c r="C62" s="216">
        <v>28149252.329780199</v>
      </c>
      <c r="D62" s="216">
        <v>28203964.190479401</v>
      </c>
      <c r="E62" s="216">
        <v>28395455.7029269</v>
      </c>
      <c r="F62" s="216">
        <v>28641659.076073699</v>
      </c>
      <c r="G62" s="216">
        <v>28641659.076073699</v>
      </c>
      <c r="H62" s="216">
        <v>28614303.145723999</v>
      </c>
      <c r="I62" s="216">
        <v>28586947.215374399</v>
      </c>
      <c r="J62" s="216">
        <v>28586947.215374399</v>
      </c>
      <c r="K62" s="216">
        <v>28340743.842227601</v>
      </c>
      <c r="L62" s="216">
        <v>28258676.051178701</v>
      </c>
      <c r="M62" s="217">
        <v>28094540.469080899</v>
      </c>
      <c r="N62" s="211">
        <v>2006</v>
      </c>
    </row>
    <row r="63" spans="1:14" ht="15" x14ac:dyDescent="0.25">
      <c r="A63" s="208">
        <v>2007</v>
      </c>
      <c r="B63" s="216">
        <v>29105342.095500067</v>
      </c>
      <c r="C63" s="216">
        <v>28934969.361282509</v>
      </c>
      <c r="D63" s="216">
        <v>28821387.538470801</v>
      </c>
      <c r="E63" s="216">
        <v>28792992.0827679</v>
      </c>
      <c r="F63" s="216">
        <v>28934969.361282501</v>
      </c>
      <c r="G63" s="216">
        <v>28736201.171362001</v>
      </c>
      <c r="H63" s="216">
        <v>28423851.158629801</v>
      </c>
      <c r="I63" s="216">
        <v>28225082.968709402</v>
      </c>
      <c r="J63" s="216">
        <v>28225082.968709402</v>
      </c>
      <c r="K63" s="216">
        <v>28083105.6901947</v>
      </c>
      <c r="L63" s="216">
        <v>28026314.778788898</v>
      </c>
      <c r="M63" s="217">
        <v>28111501.145897701</v>
      </c>
      <c r="N63" s="211">
        <v>2007</v>
      </c>
    </row>
    <row r="64" spans="1:14" ht="15" x14ac:dyDescent="0.25">
      <c r="A64" s="208">
        <v>2008</v>
      </c>
      <c r="B64" s="216">
        <v>30212764.867914215</v>
      </c>
      <c r="C64" s="216">
        <v>30241160.323617138</v>
      </c>
      <c r="D64" s="216">
        <v>30411533.0578347</v>
      </c>
      <c r="E64" s="216">
        <v>30383137.602131773</v>
      </c>
      <c r="F64" s="216">
        <v>30383137.602131773</v>
      </c>
      <c r="G64" s="216">
        <v>30127578.50080543</v>
      </c>
      <c r="H64" s="216">
        <v>29786833.032370314</v>
      </c>
      <c r="I64" s="216">
        <v>29758437.576667383</v>
      </c>
      <c r="J64" s="216">
        <v>29559669.386746895</v>
      </c>
      <c r="K64" s="216">
        <v>29133737.551202994</v>
      </c>
      <c r="L64" s="216">
        <v>29048551.184094213</v>
      </c>
      <c r="M64" s="217">
        <v>29105342.095500067</v>
      </c>
      <c r="N64" s="211">
        <v>2008</v>
      </c>
    </row>
    <row r="65" spans="1:14" ht="15" x14ac:dyDescent="0.25">
      <c r="A65" s="208">
        <v>2009</v>
      </c>
      <c r="B65" s="216">
        <v>31395492.388852518</v>
      </c>
      <c r="C65" s="216">
        <v>31395492.388852518</v>
      </c>
      <c r="D65" s="216">
        <v>31305961.517021194</v>
      </c>
      <c r="E65" s="216">
        <v>31246274.269133639</v>
      </c>
      <c r="F65" s="216">
        <v>31335805.140964966</v>
      </c>
      <c r="G65" s="216">
        <v>31186587.021246087</v>
      </c>
      <c r="H65" s="216">
        <v>30858307.157864552</v>
      </c>
      <c r="I65" s="216">
        <v>30589714.542370565</v>
      </c>
      <c r="J65" s="216">
        <v>30470340.046595458</v>
      </c>
      <c r="K65" s="216">
        <v>30171903.807157699</v>
      </c>
      <c r="L65" s="216">
        <v>30022685.68743882</v>
      </c>
      <c r="M65" s="217">
        <v>30052529.311382599</v>
      </c>
      <c r="N65" s="211">
        <v>2009</v>
      </c>
    </row>
    <row r="66" spans="1:14" ht="15" x14ac:dyDescent="0.25">
      <c r="A66" s="208">
        <v>2010</v>
      </c>
      <c r="B66" s="216">
        <v>32231113.859278254</v>
      </c>
      <c r="C66" s="216">
        <v>32111739.363503147</v>
      </c>
      <c r="D66" s="216">
        <v>32081895.739559371</v>
      </c>
      <c r="E66" s="216">
        <v>31992364.86772804</v>
      </c>
      <c r="F66" s="216">
        <v>31902833.995896708</v>
      </c>
      <c r="G66" s="216">
        <v>31753615.876177829</v>
      </c>
      <c r="H66" s="216">
        <v>31604397.756458953</v>
      </c>
      <c r="I66" s="216">
        <v>31514866.884627622</v>
      </c>
      <c r="J66" s="216">
        <v>31395492.388852518</v>
      </c>
      <c r="K66" s="216">
        <v>31126899.773358528</v>
      </c>
      <c r="L66" s="216">
        <v>31097056.149414755</v>
      </c>
      <c r="M66" s="217">
        <v>31186587.021246083</v>
      </c>
      <c r="N66" s="211">
        <v>2010</v>
      </c>
    </row>
    <row r="67" spans="1:14" ht="15" x14ac:dyDescent="0.25">
      <c r="A67" s="208">
        <v>2011</v>
      </c>
      <c r="B67" s="216">
        <v>32930648.404520363</v>
      </c>
      <c r="C67" s="216">
        <v>32930648.404520363</v>
      </c>
      <c r="D67" s="216">
        <v>32962312.489524707</v>
      </c>
      <c r="E67" s="216">
        <v>32930648.404520363</v>
      </c>
      <c r="F67" s="216">
        <v>32993976.574529059</v>
      </c>
      <c r="G67" s="216">
        <v>32835656.149507329</v>
      </c>
      <c r="H67" s="216">
        <v>32930648.404520366</v>
      </c>
      <c r="I67" s="216">
        <v>32803992.064502981</v>
      </c>
      <c r="J67" s="216">
        <v>32645671.639481246</v>
      </c>
      <c r="K67" s="216">
        <v>32455687.129455168</v>
      </c>
      <c r="L67" s="216">
        <v>32392358.959446475</v>
      </c>
      <c r="M67" s="217">
        <v>32297366.704433437</v>
      </c>
      <c r="N67" s="211">
        <v>2011</v>
      </c>
    </row>
    <row r="68" spans="1:14" ht="15" x14ac:dyDescent="0.25">
      <c r="A68" s="208">
        <v>2012</v>
      </c>
      <c r="B68" s="216">
        <v>33468937.84959425</v>
      </c>
      <c r="C68" s="216">
        <v>33405609.679585557</v>
      </c>
      <c r="D68" s="216">
        <v>33563930.104607292</v>
      </c>
      <c r="E68" s="216">
        <v>33627258.274615988</v>
      </c>
      <c r="F68" s="216">
        <v>33627258.274615988</v>
      </c>
      <c r="G68" s="216">
        <v>33278953.339568172</v>
      </c>
      <c r="H68" s="216">
        <v>33247289.254563831</v>
      </c>
      <c r="I68" s="216">
        <v>33342281.509576868</v>
      </c>
      <c r="J68" s="216">
        <v>33342281.509576868</v>
      </c>
      <c r="K68" s="216">
        <v>33057304.744537752</v>
      </c>
      <c r="L68" s="216">
        <v>32930648.404520366</v>
      </c>
      <c r="M68" s="217">
        <v>32930648.404520366</v>
      </c>
      <c r="N68" s="211">
        <v>2012</v>
      </c>
    </row>
    <row r="69" spans="1:14" ht="15" x14ac:dyDescent="0.25">
      <c r="A69" s="208">
        <v>2013</v>
      </c>
      <c r="B69" s="216"/>
      <c r="C69" s="216"/>
      <c r="D69" s="216"/>
      <c r="E69" s="216">
        <v>34076761.625337757</v>
      </c>
      <c r="F69" s="216">
        <v>34076761.625337757</v>
      </c>
      <c r="G69" s="216">
        <v>34010140.39048861</v>
      </c>
      <c r="H69" s="216">
        <v>33910208.538214892</v>
      </c>
      <c r="I69" s="216">
        <v>33643723.59881831</v>
      </c>
      <c r="J69" s="216">
        <v>33610412.98139374</v>
      </c>
      <c r="K69" s="216">
        <v>33477170.511695445</v>
      </c>
      <c r="L69" s="216">
        <v>33410549.276846301</v>
      </c>
      <c r="M69" s="217">
        <v>33410549.276846301</v>
      </c>
      <c r="N69" s="211">
        <v>2013</v>
      </c>
    </row>
    <row r="70" spans="1:14" ht="15" thickBot="1" x14ac:dyDescent="0.25">
      <c r="A70" s="218"/>
      <c r="B70" s="219"/>
      <c r="C70" s="219"/>
      <c r="D70" s="219"/>
      <c r="E70" s="219"/>
      <c r="F70" s="219"/>
      <c r="G70" s="219"/>
      <c r="H70" s="219"/>
      <c r="I70" s="219"/>
      <c r="J70" s="219"/>
      <c r="K70" s="219"/>
      <c r="L70" s="219"/>
      <c r="M70" s="218"/>
      <c r="N70" s="219"/>
    </row>
    <row r="71" spans="1:14" ht="15" thickTop="1" x14ac:dyDescent="0.2"/>
  </sheetData>
  <mergeCells count="6">
    <mergeCell ref="A1:N1"/>
    <mergeCell ref="A2:N2"/>
    <mergeCell ref="A3:N3"/>
    <mergeCell ref="A4:A5"/>
    <mergeCell ref="B4:M4"/>
    <mergeCell ref="N4:N5"/>
  </mergeCells>
  <printOptions verticalCentered="1"/>
  <pageMargins left="0.66929133858267698" right="0.98425196850393704" top="0.74803149606299202" bottom="0.74803149606299202" header="0" footer="0.59055118110236204"/>
  <pageSetup paperSize="9" fitToHeight="2" orientation="landscape" r:id="rId1"/>
  <headerFooter alignWithMargins="0">
    <oddFooter>&amp;C-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44CC"/>
  </sheetPr>
  <dimension ref="A1:R257"/>
  <sheetViews>
    <sheetView rightToLeft="1" topLeftCell="A224" zoomScaleNormal="100" workbookViewId="0">
      <selection activeCell="D227" sqref="D227"/>
    </sheetView>
  </sheetViews>
  <sheetFormatPr defaultRowHeight="12.75" x14ac:dyDescent="0.2"/>
  <cols>
    <col min="1" max="1" width="5.42578125" style="8" customWidth="1"/>
    <col min="2" max="2" width="14.28515625" style="8" customWidth="1"/>
    <col min="3" max="3" width="6.5703125" style="8" customWidth="1"/>
    <col min="4" max="4" width="13" style="8" customWidth="1"/>
    <col min="5" max="5" width="9.85546875" style="8" customWidth="1"/>
    <col min="6" max="6" width="9.140625" style="24"/>
    <col min="7" max="7" width="10.7109375" style="24" customWidth="1"/>
    <col min="8" max="8" width="10.5703125" style="24" customWidth="1"/>
    <col min="9" max="9" width="10.7109375" style="24" customWidth="1"/>
    <col min="10" max="12" width="9.140625" style="24"/>
    <col min="13" max="13" width="10.85546875" style="24" customWidth="1"/>
    <col min="14" max="14" width="9.140625" style="24"/>
    <col min="15" max="18" width="9.140625" style="25"/>
    <col min="19" max="16384" width="9.140625" style="8"/>
  </cols>
  <sheetData>
    <row r="1" spans="1:18" x14ac:dyDescent="0.2">
      <c r="A1" s="3" t="s">
        <v>73</v>
      </c>
      <c r="B1" s="4"/>
      <c r="C1" s="4" t="s">
        <v>73</v>
      </c>
      <c r="D1" s="4"/>
      <c r="E1" s="4" t="s">
        <v>74</v>
      </c>
      <c r="F1" s="5" t="s">
        <v>75</v>
      </c>
      <c r="G1" s="5" t="s">
        <v>75</v>
      </c>
      <c r="H1" s="5" t="s">
        <v>76</v>
      </c>
      <c r="I1" s="5" t="s">
        <v>77</v>
      </c>
      <c r="J1" s="5" t="s">
        <v>77</v>
      </c>
      <c r="K1" s="5" t="s">
        <v>77</v>
      </c>
      <c r="L1" s="5" t="s">
        <v>77</v>
      </c>
      <c r="M1" s="5" t="s">
        <v>78</v>
      </c>
      <c r="N1" s="5" t="s">
        <v>76</v>
      </c>
      <c r="O1" s="6" t="s">
        <v>76</v>
      </c>
      <c r="P1" s="6" t="s">
        <v>79</v>
      </c>
      <c r="Q1" s="6" t="s">
        <v>80</v>
      </c>
      <c r="R1" s="7" t="s">
        <v>80</v>
      </c>
    </row>
    <row r="2" spans="1:18" x14ac:dyDescent="0.2">
      <c r="A2" s="9" t="s">
        <v>81</v>
      </c>
      <c r="B2" s="10" t="s">
        <v>82</v>
      </c>
      <c r="C2" s="10" t="s">
        <v>83</v>
      </c>
      <c r="D2" s="10" t="s">
        <v>84</v>
      </c>
      <c r="E2" s="10">
        <v>2013</v>
      </c>
      <c r="F2" s="11" t="s">
        <v>85</v>
      </c>
      <c r="G2" s="11" t="s">
        <v>86</v>
      </c>
      <c r="H2" s="11" t="s">
        <v>75</v>
      </c>
      <c r="I2" s="11" t="s">
        <v>87</v>
      </c>
      <c r="J2" s="11" t="s">
        <v>88</v>
      </c>
      <c r="K2" s="11" t="s">
        <v>89</v>
      </c>
      <c r="L2" s="11" t="s">
        <v>90</v>
      </c>
      <c r="M2" s="11" t="s">
        <v>77</v>
      </c>
      <c r="N2" s="11" t="s">
        <v>26</v>
      </c>
      <c r="O2" s="12" t="s">
        <v>26</v>
      </c>
      <c r="P2" s="12" t="s">
        <v>91</v>
      </c>
      <c r="Q2" s="12" t="s">
        <v>88</v>
      </c>
      <c r="R2" s="13" t="s">
        <v>92</v>
      </c>
    </row>
    <row r="3" spans="1:18" ht="13.5" thickBot="1" x14ac:dyDescent="0.25">
      <c r="A3" s="14"/>
      <c r="B3" s="15"/>
      <c r="C3" s="15"/>
      <c r="D3" s="15"/>
      <c r="E3" s="15" t="s">
        <v>93</v>
      </c>
      <c r="F3" s="16" t="s">
        <v>94</v>
      </c>
      <c r="G3" s="16" t="s">
        <v>94</v>
      </c>
      <c r="H3" s="16" t="s">
        <v>94</v>
      </c>
      <c r="I3" s="16" t="s">
        <v>94</v>
      </c>
      <c r="J3" s="16" t="s">
        <v>94</v>
      </c>
      <c r="K3" s="16" t="s">
        <v>94</v>
      </c>
      <c r="L3" s="16" t="s">
        <v>94</v>
      </c>
      <c r="M3" s="16" t="s">
        <v>94</v>
      </c>
      <c r="N3" s="16" t="s">
        <v>94</v>
      </c>
      <c r="O3" s="17" t="s">
        <v>95</v>
      </c>
      <c r="P3" s="17" t="s">
        <v>96</v>
      </c>
      <c r="Q3" s="17" t="s">
        <v>96</v>
      </c>
      <c r="R3" s="18" t="s">
        <v>96</v>
      </c>
    </row>
    <row r="4" spans="1:18" x14ac:dyDescent="0.2">
      <c r="A4" s="9">
        <v>1</v>
      </c>
      <c r="B4" s="10" t="s">
        <v>97</v>
      </c>
      <c r="C4" s="10">
        <v>639</v>
      </c>
      <c r="D4" s="10" t="s">
        <v>98</v>
      </c>
      <c r="E4" s="11">
        <v>13045</v>
      </c>
      <c r="F4" s="11">
        <v>0</v>
      </c>
      <c r="G4" s="11">
        <v>836726</v>
      </c>
      <c r="H4" s="11">
        <v>836726</v>
      </c>
      <c r="I4" s="11">
        <v>648253</v>
      </c>
      <c r="J4" s="11">
        <v>709274</v>
      </c>
      <c r="K4" s="11">
        <v>0</v>
      </c>
      <c r="L4" s="11">
        <v>6112</v>
      </c>
      <c r="M4" s="11">
        <v>715386</v>
      </c>
      <c r="N4" s="11">
        <v>121340</v>
      </c>
      <c r="O4" s="12">
        <v>14.501760432925472</v>
      </c>
      <c r="P4" s="12">
        <v>49.693599080107319</v>
      </c>
      <c r="Q4" s="12">
        <v>54.371330011498657</v>
      </c>
      <c r="R4" s="13">
        <v>63.672978152548872</v>
      </c>
    </row>
    <row r="5" spans="1:18" x14ac:dyDescent="0.2">
      <c r="A5" s="9"/>
      <c r="B5" s="10"/>
      <c r="C5" s="10"/>
      <c r="D5" s="10" t="s">
        <v>99</v>
      </c>
      <c r="E5" s="11">
        <v>5975</v>
      </c>
      <c r="F5" s="11">
        <v>0</v>
      </c>
      <c r="G5" s="11">
        <v>541048</v>
      </c>
      <c r="H5" s="11">
        <v>541048</v>
      </c>
      <c r="I5" s="11">
        <v>361594</v>
      </c>
      <c r="J5" s="11">
        <v>431333</v>
      </c>
      <c r="K5" s="11">
        <v>0</v>
      </c>
      <c r="L5" s="11">
        <v>1174</v>
      </c>
      <c r="M5" s="11">
        <v>432507</v>
      </c>
      <c r="N5" s="11">
        <v>108541</v>
      </c>
      <c r="O5" s="12">
        <v>20.061251497094528</v>
      </c>
      <c r="P5" s="12">
        <v>60.51782426778243</v>
      </c>
      <c r="Q5" s="12">
        <v>72.189623430962342</v>
      </c>
      <c r="R5" s="13">
        <v>90.355481171548121</v>
      </c>
    </row>
    <row r="6" spans="1:18" x14ac:dyDescent="0.2">
      <c r="A6" s="9"/>
      <c r="B6" s="10"/>
      <c r="C6" s="10"/>
      <c r="D6" s="10" t="s">
        <v>100</v>
      </c>
      <c r="E6" s="11">
        <v>9267</v>
      </c>
      <c r="F6" s="11">
        <v>0</v>
      </c>
      <c r="G6" s="11">
        <v>679932</v>
      </c>
      <c r="H6" s="11">
        <v>679932</v>
      </c>
      <c r="I6" s="11">
        <v>519043</v>
      </c>
      <c r="J6" s="11">
        <v>594129</v>
      </c>
      <c r="K6" s="11">
        <v>0</v>
      </c>
      <c r="L6" s="11">
        <v>1053</v>
      </c>
      <c r="M6" s="11">
        <v>595182</v>
      </c>
      <c r="N6" s="11">
        <v>84750</v>
      </c>
      <c r="O6" s="12">
        <v>12.464481742291875</v>
      </c>
      <c r="P6" s="12">
        <v>56.009819790655015</v>
      </c>
      <c r="Q6" s="12">
        <v>64.112334088701843</v>
      </c>
      <c r="R6" s="13">
        <v>73.257688572353516</v>
      </c>
    </row>
    <row r="7" spans="1:18" x14ac:dyDescent="0.2">
      <c r="A7" s="9"/>
      <c r="B7" s="10"/>
      <c r="C7" s="10"/>
      <c r="D7" s="10" t="s">
        <v>101</v>
      </c>
      <c r="E7" s="11">
        <v>15806</v>
      </c>
      <c r="F7" s="11">
        <v>0</v>
      </c>
      <c r="G7" s="11">
        <v>1460684</v>
      </c>
      <c r="H7" s="11">
        <v>1460684</v>
      </c>
      <c r="I7" s="11">
        <v>759575</v>
      </c>
      <c r="J7" s="11">
        <v>1110819</v>
      </c>
      <c r="K7" s="11">
        <v>49883</v>
      </c>
      <c r="L7" s="11">
        <v>56552</v>
      </c>
      <c r="M7" s="11">
        <v>1217254</v>
      </c>
      <c r="N7" s="11">
        <v>243430</v>
      </c>
      <c r="O7" s="12">
        <v>16.665480007996251</v>
      </c>
      <c r="P7" s="12">
        <v>48.05611792990004</v>
      </c>
      <c r="Q7" s="12">
        <v>70.27831203340503</v>
      </c>
      <c r="R7" s="13">
        <v>85.679425534607105</v>
      </c>
    </row>
    <row r="8" spans="1:18" x14ac:dyDescent="0.2">
      <c r="A8" s="9"/>
      <c r="B8" s="10"/>
      <c r="C8" s="10"/>
      <c r="D8" s="10" t="s">
        <v>102</v>
      </c>
      <c r="E8" s="11">
        <v>19552</v>
      </c>
      <c r="F8" s="11">
        <v>0</v>
      </c>
      <c r="G8" s="11">
        <v>1404248</v>
      </c>
      <c r="H8" s="11">
        <v>1404248</v>
      </c>
      <c r="I8" s="11">
        <v>815966</v>
      </c>
      <c r="J8" s="11">
        <v>924663</v>
      </c>
      <c r="K8" s="11">
        <v>0</v>
      </c>
      <c r="L8" s="11">
        <v>25179</v>
      </c>
      <c r="M8" s="11">
        <v>949842</v>
      </c>
      <c r="N8" s="11">
        <v>454406</v>
      </c>
      <c r="O8" s="12">
        <v>32.359383812545936</v>
      </c>
      <c r="P8" s="12">
        <v>41.733121931260229</v>
      </c>
      <c r="Q8" s="12">
        <v>47.292502045826517</v>
      </c>
      <c r="R8" s="13">
        <v>70.53339811783961</v>
      </c>
    </row>
    <row r="9" spans="1:18" x14ac:dyDescent="0.2">
      <c r="A9" s="9"/>
      <c r="B9" s="10"/>
      <c r="C9" s="10"/>
      <c r="D9" s="10" t="s">
        <v>103</v>
      </c>
      <c r="E9" s="11">
        <v>3547</v>
      </c>
      <c r="F9" s="11">
        <v>0</v>
      </c>
      <c r="G9" s="11">
        <v>318977</v>
      </c>
      <c r="H9" s="11">
        <v>318977</v>
      </c>
      <c r="I9" s="11">
        <v>192944</v>
      </c>
      <c r="J9" s="11">
        <v>229477</v>
      </c>
      <c r="K9" s="11">
        <v>0</v>
      </c>
      <c r="L9" s="11">
        <v>27630</v>
      </c>
      <c r="M9" s="11">
        <v>257107</v>
      </c>
      <c r="N9" s="11">
        <v>61870</v>
      </c>
      <c r="O9" s="12">
        <v>19.396382811299876</v>
      </c>
      <c r="P9" s="12">
        <v>54.39639131660558</v>
      </c>
      <c r="Q9" s="12">
        <v>64.696081195376379</v>
      </c>
      <c r="R9" s="13">
        <v>82.138990696363123</v>
      </c>
    </row>
    <row r="10" spans="1:18" x14ac:dyDescent="0.2">
      <c r="A10" s="9"/>
      <c r="B10" s="10"/>
      <c r="C10" s="10"/>
      <c r="D10" s="10" t="s">
        <v>104</v>
      </c>
      <c r="E10" s="11">
        <v>6092</v>
      </c>
      <c r="F10" s="11">
        <v>0</v>
      </c>
      <c r="G10" s="11">
        <v>472685</v>
      </c>
      <c r="H10" s="11">
        <v>472685</v>
      </c>
      <c r="I10" s="11">
        <v>311945</v>
      </c>
      <c r="J10" s="11">
        <v>342647</v>
      </c>
      <c r="K10" s="11">
        <v>0</v>
      </c>
      <c r="L10" s="11">
        <v>8634</v>
      </c>
      <c r="M10" s="11">
        <v>351281</v>
      </c>
      <c r="N10" s="11">
        <v>121404</v>
      </c>
      <c r="O10" s="12">
        <v>25.683912119064495</v>
      </c>
      <c r="P10" s="12">
        <v>51.205679579776756</v>
      </c>
      <c r="Q10" s="12">
        <v>56.245403808273146</v>
      </c>
      <c r="R10" s="13">
        <v>76.173834537097832</v>
      </c>
    </row>
    <row r="11" spans="1:18" x14ac:dyDescent="0.2">
      <c r="A11" s="9"/>
      <c r="B11" s="10"/>
      <c r="C11" s="10"/>
      <c r="D11" s="10" t="s">
        <v>105</v>
      </c>
      <c r="E11" s="11">
        <v>73284</v>
      </c>
      <c r="F11" s="11">
        <v>0</v>
      </c>
      <c r="G11" s="11">
        <v>5714300</v>
      </c>
      <c r="H11" s="11">
        <v>5714300</v>
      </c>
      <c r="I11" s="11">
        <v>3609320</v>
      </c>
      <c r="J11" s="11">
        <v>4342342</v>
      </c>
      <c r="K11" s="11">
        <v>49883</v>
      </c>
      <c r="L11" s="11">
        <v>126334</v>
      </c>
      <c r="M11" s="11">
        <v>4518559</v>
      </c>
      <c r="N11" s="11">
        <v>1195741</v>
      </c>
      <c r="O11" s="12">
        <v>20.925415186462036</v>
      </c>
      <c r="P11" s="12">
        <v>49.251132580099338</v>
      </c>
      <c r="Q11" s="12">
        <v>59.253616068991867</v>
      </c>
      <c r="R11" s="13">
        <v>75.57015173844222</v>
      </c>
    </row>
    <row r="12" spans="1:18" x14ac:dyDescent="0.2">
      <c r="A12" s="9">
        <v>2</v>
      </c>
      <c r="B12" s="10" t="s">
        <v>106</v>
      </c>
      <c r="C12" s="10">
        <v>8625</v>
      </c>
      <c r="D12" s="10" t="s">
        <v>107</v>
      </c>
      <c r="E12" s="11">
        <v>829863</v>
      </c>
      <c r="F12" s="11">
        <v>0</v>
      </c>
      <c r="G12" s="11">
        <v>60304291</v>
      </c>
      <c r="H12" s="11">
        <v>60304291</v>
      </c>
      <c r="I12" s="11">
        <v>30838650</v>
      </c>
      <c r="J12" s="11">
        <v>49379456</v>
      </c>
      <c r="K12" s="11">
        <v>2898572</v>
      </c>
      <c r="L12" s="11">
        <v>314660</v>
      </c>
      <c r="M12" s="11">
        <v>52592688</v>
      </c>
      <c r="N12" s="11">
        <v>7711603</v>
      </c>
      <c r="O12" s="12">
        <v>12.787818034375034</v>
      </c>
      <c r="P12" s="12">
        <v>37.161133825703757</v>
      </c>
      <c r="Q12" s="12">
        <v>59.50314208489835</v>
      </c>
      <c r="R12" s="13">
        <v>68.795763879098118</v>
      </c>
    </row>
    <row r="13" spans="1:18" x14ac:dyDescent="0.2">
      <c r="A13" s="9"/>
      <c r="B13" s="10"/>
      <c r="C13" s="10"/>
      <c r="D13" s="10" t="s">
        <v>108</v>
      </c>
      <c r="E13" s="11">
        <v>6600</v>
      </c>
      <c r="F13" s="11">
        <v>0</v>
      </c>
      <c r="G13" s="11">
        <v>426213</v>
      </c>
      <c r="H13" s="11">
        <v>426213</v>
      </c>
      <c r="I13" s="11">
        <v>281196</v>
      </c>
      <c r="J13" s="11">
        <v>325509</v>
      </c>
      <c r="K13" s="11">
        <v>0</v>
      </c>
      <c r="L13" s="11">
        <v>849</v>
      </c>
      <c r="M13" s="11">
        <v>326358</v>
      </c>
      <c r="N13" s="11">
        <v>99855</v>
      </c>
      <c r="O13" s="12">
        <v>23.428426631754544</v>
      </c>
      <c r="P13" s="12">
        <v>42.605454545454542</v>
      </c>
      <c r="Q13" s="12">
        <v>49.319545454545455</v>
      </c>
      <c r="R13" s="13">
        <v>64.449090909090913</v>
      </c>
    </row>
    <row r="14" spans="1:18" x14ac:dyDescent="0.2">
      <c r="A14" s="9"/>
      <c r="B14" s="10"/>
      <c r="C14" s="10"/>
      <c r="D14" s="10" t="s">
        <v>109</v>
      </c>
      <c r="E14" s="11">
        <v>24638</v>
      </c>
      <c r="F14" s="11">
        <v>0</v>
      </c>
      <c r="G14" s="11">
        <v>1863885</v>
      </c>
      <c r="H14" s="11">
        <v>1863885</v>
      </c>
      <c r="I14" s="11">
        <v>1512818</v>
      </c>
      <c r="J14" s="11">
        <v>1692923</v>
      </c>
      <c r="K14" s="11">
        <v>1467</v>
      </c>
      <c r="L14" s="11">
        <v>0</v>
      </c>
      <c r="M14" s="11">
        <v>1694390</v>
      </c>
      <c r="N14" s="11">
        <v>169495</v>
      </c>
      <c r="O14" s="12">
        <v>9.0936404338250476</v>
      </c>
      <c r="P14" s="12">
        <v>61.401818329409856</v>
      </c>
      <c r="Q14" s="12">
        <v>68.711867846416112</v>
      </c>
      <c r="R14" s="13">
        <v>75.591281759883103</v>
      </c>
    </row>
    <row r="15" spans="1:18" x14ac:dyDescent="0.2">
      <c r="A15" s="9"/>
      <c r="B15" s="10"/>
      <c r="C15" s="10"/>
      <c r="D15" s="10" t="s">
        <v>105</v>
      </c>
      <c r="E15" s="11">
        <v>861101</v>
      </c>
      <c r="F15" s="11">
        <v>0</v>
      </c>
      <c r="G15" s="11">
        <v>62594389</v>
      </c>
      <c r="H15" s="11">
        <v>62594389</v>
      </c>
      <c r="I15" s="11">
        <v>32632664</v>
      </c>
      <c r="J15" s="11">
        <v>51397888</v>
      </c>
      <c r="K15" s="11">
        <v>2900039</v>
      </c>
      <c r="L15" s="11">
        <v>315509</v>
      </c>
      <c r="M15" s="11">
        <v>54613436</v>
      </c>
      <c r="N15" s="11">
        <v>7980953</v>
      </c>
      <c r="O15" s="12">
        <v>12.750269037692819</v>
      </c>
      <c r="P15" s="12">
        <v>37.89644188080144</v>
      </c>
      <c r="Q15" s="12">
        <v>59.688570794831271</v>
      </c>
      <c r="R15" s="13">
        <v>68.956883106627444</v>
      </c>
    </row>
    <row r="16" spans="1:18" x14ac:dyDescent="0.2">
      <c r="A16" s="9">
        <v>3</v>
      </c>
      <c r="B16" s="10" t="s">
        <v>110</v>
      </c>
      <c r="C16" s="10">
        <v>765</v>
      </c>
      <c r="D16" s="10" t="s">
        <v>111</v>
      </c>
      <c r="E16" s="11">
        <v>13095</v>
      </c>
      <c r="F16" s="11">
        <v>0</v>
      </c>
      <c r="G16" s="11">
        <v>886010</v>
      </c>
      <c r="H16" s="11">
        <v>886010</v>
      </c>
      <c r="I16" s="11">
        <v>584058</v>
      </c>
      <c r="J16" s="11">
        <v>685262</v>
      </c>
      <c r="K16" s="11">
        <v>0</v>
      </c>
      <c r="L16" s="11">
        <v>30198</v>
      </c>
      <c r="M16" s="11">
        <v>715460</v>
      </c>
      <c r="N16" s="11">
        <v>170550</v>
      </c>
      <c r="O16" s="12">
        <v>19.249218406112796</v>
      </c>
      <c r="P16" s="12">
        <v>44.601603665521189</v>
      </c>
      <c r="Q16" s="12">
        <v>52.330049637266129</v>
      </c>
      <c r="R16" s="13">
        <v>65.354104620084001</v>
      </c>
    </row>
    <row r="17" spans="1:18" x14ac:dyDescent="0.2">
      <c r="A17" s="9"/>
      <c r="B17" s="10"/>
      <c r="C17" s="10"/>
      <c r="D17" s="10" t="s">
        <v>112</v>
      </c>
      <c r="E17" s="11">
        <v>17759</v>
      </c>
      <c r="F17" s="11">
        <v>0</v>
      </c>
      <c r="G17" s="11">
        <v>1392189</v>
      </c>
      <c r="H17" s="11">
        <v>1392189</v>
      </c>
      <c r="I17" s="11">
        <v>790419</v>
      </c>
      <c r="J17" s="11">
        <v>857237</v>
      </c>
      <c r="K17" s="11">
        <v>105246</v>
      </c>
      <c r="L17" s="11">
        <v>222</v>
      </c>
      <c r="M17" s="11">
        <v>962705</v>
      </c>
      <c r="N17" s="11">
        <v>429484</v>
      </c>
      <c r="O17" s="12">
        <v>30.849547008344413</v>
      </c>
      <c r="P17" s="12">
        <v>44.508080409932994</v>
      </c>
      <c r="Q17" s="12">
        <v>48.270567036432233</v>
      </c>
      <c r="R17" s="13">
        <v>72.454586406892275</v>
      </c>
    </row>
    <row r="18" spans="1:18" x14ac:dyDescent="0.2">
      <c r="A18" s="9"/>
      <c r="B18" s="10"/>
      <c r="C18" s="10"/>
      <c r="D18" s="10" t="s">
        <v>113</v>
      </c>
      <c r="E18" s="11">
        <v>7292</v>
      </c>
      <c r="F18" s="11">
        <v>0</v>
      </c>
      <c r="G18" s="11">
        <v>572681</v>
      </c>
      <c r="H18" s="11">
        <v>572681</v>
      </c>
      <c r="I18" s="11">
        <v>325230</v>
      </c>
      <c r="J18" s="11">
        <v>385285</v>
      </c>
      <c r="K18" s="11">
        <v>36564</v>
      </c>
      <c r="L18" s="11">
        <v>2295</v>
      </c>
      <c r="M18" s="11">
        <v>424144</v>
      </c>
      <c r="N18" s="11">
        <v>148537</v>
      </c>
      <c r="O18" s="12">
        <v>25.93712730123751</v>
      </c>
      <c r="P18" s="12">
        <v>44.600932528798687</v>
      </c>
      <c r="Q18" s="12">
        <v>52.836670323642345</v>
      </c>
      <c r="R18" s="13">
        <v>73.206527701590787</v>
      </c>
    </row>
    <row r="19" spans="1:18" x14ac:dyDescent="0.2">
      <c r="A19" s="9"/>
      <c r="B19" s="10"/>
      <c r="C19" s="10"/>
      <c r="D19" s="10" t="s">
        <v>114</v>
      </c>
      <c r="E19" s="11">
        <v>17674</v>
      </c>
      <c r="F19" s="11">
        <v>0</v>
      </c>
      <c r="G19" s="11">
        <v>1099283</v>
      </c>
      <c r="H19" s="11">
        <v>1099283</v>
      </c>
      <c r="I19" s="11">
        <v>796773</v>
      </c>
      <c r="J19" s="11">
        <v>858797</v>
      </c>
      <c r="K19" s="11">
        <v>0</v>
      </c>
      <c r="L19" s="11">
        <v>3834</v>
      </c>
      <c r="M19" s="11">
        <v>862631</v>
      </c>
      <c r="N19" s="11">
        <v>236652</v>
      </c>
      <c r="O19" s="12">
        <v>21.527850426141406</v>
      </c>
      <c r="P19" s="12">
        <v>45.0816453547584</v>
      </c>
      <c r="Q19" s="12">
        <v>48.590981102183996</v>
      </c>
      <c r="R19" s="13">
        <v>61.980819282561953</v>
      </c>
    </row>
    <row r="20" spans="1:18" x14ac:dyDescent="0.2">
      <c r="A20" s="9"/>
      <c r="B20" s="10"/>
      <c r="C20" s="10"/>
      <c r="D20" s="10" t="s">
        <v>115</v>
      </c>
      <c r="E20" s="11">
        <v>74363</v>
      </c>
      <c r="F20" s="11">
        <v>0</v>
      </c>
      <c r="G20" s="11">
        <v>5547993</v>
      </c>
      <c r="H20" s="11">
        <v>5547993</v>
      </c>
      <c r="I20" s="11">
        <v>3128356</v>
      </c>
      <c r="J20" s="11">
        <v>4339875</v>
      </c>
      <c r="K20" s="11">
        <v>71034</v>
      </c>
      <c r="L20" s="11">
        <v>0</v>
      </c>
      <c r="M20" s="11">
        <v>4410909</v>
      </c>
      <c r="N20" s="11">
        <v>1137084</v>
      </c>
      <c r="O20" s="12">
        <v>20.4954115839728</v>
      </c>
      <c r="P20" s="12">
        <v>42.068716969460617</v>
      </c>
      <c r="Q20" s="12">
        <v>58.360676680607291</v>
      </c>
      <c r="R20" s="13">
        <v>73.651668168309513</v>
      </c>
    </row>
    <row r="21" spans="1:18" x14ac:dyDescent="0.2">
      <c r="A21" s="9"/>
      <c r="B21" s="10"/>
      <c r="C21" s="10"/>
      <c r="D21" s="10" t="s">
        <v>105</v>
      </c>
      <c r="E21" s="11">
        <v>130183</v>
      </c>
      <c r="F21" s="11">
        <v>0</v>
      </c>
      <c r="G21" s="11">
        <v>9498156</v>
      </c>
      <c r="H21" s="11">
        <v>9498156</v>
      </c>
      <c r="I21" s="11">
        <v>5624836</v>
      </c>
      <c r="J21" s="11">
        <v>7126456</v>
      </c>
      <c r="K21" s="11">
        <v>212844</v>
      </c>
      <c r="L21" s="11">
        <v>36549</v>
      </c>
      <c r="M21" s="11">
        <v>7375849</v>
      </c>
      <c r="N21" s="11">
        <v>2122307</v>
      </c>
      <c r="O21" s="12">
        <v>22.344410851959054</v>
      </c>
      <c r="P21" s="12">
        <v>43.207146862493566</v>
      </c>
      <c r="Q21" s="12">
        <v>54.741832650960568</v>
      </c>
      <c r="R21" s="13">
        <v>71.044322223331775</v>
      </c>
    </row>
    <row r="22" spans="1:18" x14ac:dyDescent="0.2">
      <c r="A22" s="9">
        <v>4</v>
      </c>
      <c r="B22" s="10" t="s">
        <v>116</v>
      </c>
      <c r="C22" s="10">
        <v>718</v>
      </c>
      <c r="D22" s="10" t="s">
        <v>117</v>
      </c>
      <c r="E22" s="11">
        <v>1564</v>
      </c>
      <c r="F22" s="11">
        <v>0</v>
      </c>
      <c r="G22" s="11">
        <v>204987</v>
      </c>
      <c r="H22" s="11">
        <v>204987</v>
      </c>
      <c r="I22" s="11">
        <v>120988</v>
      </c>
      <c r="J22" s="11">
        <v>179256</v>
      </c>
      <c r="K22" s="11">
        <v>13196</v>
      </c>
      <c r="L22" s="11">
        <v>0</v>
      </c>
      <c r="M22" s="11">
        <v>192452</v>
      </c>
      <c r="N22" s="11">
        <v>12535</v>
      </c>
      <c r="O22" s="12">
        <v>6.1150219282198384</v>
      </c>
      <c r="P22" s="12">
        <v>77.358056265984658</v>
      </c>
      <c r="Q22" s="12">
        <v>114.61381074168798</v>
      </c>
      <c r="R22" s="13">
        <v>122.62851662404093</v>
      </c>
    </row>
    <row r="23" spans="1:18" x14ac:dyDescent="0.2">
      <c r="A23" s="9"/>
      <c r="B23" s="10"/>
      <c r="C23" s="10"/>
      <c r="D23" s="10" t="s">
        <v>118</v>
      </c>
      <c r="E23" s="11">
        <v>23114</v>
      </c>
      <c r="F23" s="11">
        <v>0</v>
      </c>
      <c r="G23" s="11">
        <v>1864757</v>
      </c>
      <c r="H23" s="11">
        <v>1864757</v>
      </c>
      <c r="I23" s="11">
        <v>1199551</v>
      </c>
      <c r="J23" s="11">
        <v>1597550</v>
      </c>
      <c r="K23" s="11">
        <v>57542</v>
      </c>
      <c r="L23" s="11">
        <v>9018</v>
      </c>
      <c r="M23" s="11">
        <v>1664110</v>
      </c>
      <c r="N23" s="11">
        <v>200647</v>
      </c>
      <c r="O23" s="12">
        <v>10.759954246049217</v>
      </c>
      <c r="P23" s="12">
        <v>51.897161893224883</v>
      </c>
      <c r="Q23" s="12">
        <v>69.116120100372072</v>
      </c>
      <c r="R23" s="13">
        <v>77.796876351994456</v>
      </c>
    </row>
    <row r="24" spans="1:18" x14ac:dyDescent="0.2">
      <c r="A24" s="9"/>
      <c r="B24" s="10"/>
      <c r="C24" s="10"/>
      <c r="D24" s="10" t="s">
        <v>119</v>
      </c>
      <c r="E24" s="11">
        <v>6736</v>
      </c>
      <c r="F24" s="11">
        <v>0</v>
      </c>
      <c r="G24" s="11">
        <v>744808</v>
      </c>
      <c r="H24" s="11">
        <v>744808</v>
      </c>
      <c r="I24" s="11">
        <v>339876</v>
      </c>
      <c r="J24" s="11">
        <v>551768</v>
      </c>
      <c r="K24" s="11">
        <v>117923</v>
      </c>
      <c r="L24" s="11">
        <v>0</v>
      </c>
      <c r="M24" s="11">
        <v>669691</v>
      </c>
      <c r="N24" s="11">
        <v>75117</v>
      </c>
      <c r="O24" s="12">
        <v>10.085417986917433</v>
      </c>
      <c r="P24" s="12">
        <v>50.456650831353919</v>
      </c>
      <c r="Q24" s="12">
        <v>81.913301662707838</v>
      </c>
      <c r="R24" s="13">
        <v>93.06487529691212</v>
      </c>
    </row>
    <row r="25" spans="1:18" x14ac:dyDescent="0.2">
      <c r="A25" s="9"/>
      <c r="B25" s="10"/>
      <c r="C25" s="10"/>
      <c r="D25" s="10" t="s">
        <v>120</v>
      </c>
      <c r="E25" s="11">
        <v>3375</v>
      </c>
      <c r="F25" s="11">
        <v>0</v>
      </c>
      <c r="G25" s="11">
        <v>247209</v>
      </c>
      <c r="H25" s="11">
        <v>247209</v>
      </c>
      <c r="I25" s="11">
        <v>159182</v>
      </c>
      <c r="J25" s="11">
        <v>196481</v>
      </c>
      <c r="K25" s="11">
        <v>0</v>
      </c>
      <c r="L25" s="11">
        <v>0</v>
      </c>
      <c r="M25" s="11">
        <v>196481</v>
      </c>
      <c r="N25" s="11">
        <v>50728</v>
      </c>
      <c r="O25" s="12">
        <v>20.520288500823188</v>
      </c>
      <c r="P25" s="12">
        <v>47.165037037037038</v>
      </c>
      <c r="Q25" s="12">
        <v>58.21659259259259</v>
      </c>
      <c r="R25" s="13">
        <v>73.24711111111111</v>
      </c>
    </row>
    <row r="26" spans="1:18" x14ac:dyDescent="0.2">
      <c r="A26" s="9"/>
      <c r="B26" s="10"/>
      <c r="C26" s="10"/>
      <c r="D26" s="10" t="s">
        <v>121</v>
      </c>
      <c r="E26" s="11">
        <v>10340</v>
      </c>
      <c r="F26" s="11">
        <v>0</v>
      </c>
      <c r="G26" s="11">
        <v>822421</v>
      </c>
      <c r="H26" s="11">
        <v>822421</v>
      </c>
      <c r="I26" s="11">
        <v>429722</v>
      </c>
      <c r="J26" s="11">
        <v>487565</v>
      </c>
      <c r="K26" s="11">
        <v>9797</v>
      </c>
      <c r="L26" s="11">
        <v>0</v>
      </c>
      <c r="M26" s="11">
        <v>497362</v>
      </c>
      <c r="N26" s="11">
        <v>325059</v>
      </c>
      <c r="O26" s="12">
        <v>39.524647352146893</v>
      </c>
      <c r="P26" s="12">
        <v>41.559187620889752</v>
      </c>
      <c r="Q26" s="12">
        <v>47.153288201160542</v>
      </c>
      <c r="R26" s="13">
        <v>78.590328820116056</v>
      </c>
    </row>
    <row r="27" spans="1:18" x14ac:dyDescent="0.2">
      <c r="A27" s="9"/>
      <c r="B27" s="10"/>
      <c r="C27" s="10"/>
      <c r="D27" s="10" t="s">
        <v>105</v>
      </c>
      <c r="E27" s="11">
        <v>45129</v>
      </c>
      <c r="F27" s="11">
        <v>0</v>
      </c>
      <c r="G27" s="11">
        <v>3884182</v>
      </c>
      <c r="H27" s="11">
        <v>3884182</v>
      </c>
      <c r="I27" s="11">
        <v>2249319</v>
      </c>
      <c r="J27" s="11">
        <v>3012620</v>
      </c>
      <c r="K27" s="11">
        <v>198458</v>
      </c>
      <c r="L27" s="11">
        <v>9018</v>
      </c>
      <c r="M27" s="11">
        <v>3220096</v>
      </c>
      <c r="N27" s="11">
        <v>664086</v>
      </c>
      <c r="O27" s="12">
        <v>17.097190605383577</v>
      </c>
      <c r="P27" s="12">
        <v>49.841986305923022</v>
      </c>
      <c r="Q27" s="12">
        <v>66.755744643134122</v>
      </c>
      <c r="R27" s="13">
        <v>81.471027498947464</v>
      </c>
    </row>
    <row r="28" spans="1:18" x14ac:dyDescent="0.2">
      <c r="A28" s="9">
        <v>5</v>
      </c>
      <c r="B28" s="10" t="s">
        <v>122</v>
      </c>
      <c r="C28" s="10">
        <v>6562</v>
      </c>
      <c r="D28" s="10" t="s">
        <v>123</v>
      </c>
      <c r="E28" s="11">
        <v>216511</v>
      </c>
      <c r="F28" s="11">
        <v>411490</v>
      </c>
      <c r="G28" s="11">
        <v>17790156</v>
      </c>
      <c r="H28" s="11">
        <v>18201646</v>
      </c>
      <c r="I28" s="11">
        <v>10090541</v>
      </c>
      <c r="J28" s="11">
        <v>14675660</v>
      </c>
      <c r="K28" s="11">
        <v>2181807</v>
      </c>
      <c r="L28" s="11">
        <v>0</v>
      </c>
      <c r="M28" s="11">
        <v>16857467</v>
      </c>
      <c r="N28" s="11">
        <v>1344179</v>
      </c>
      <c r="O28" s="12">
        <v>7.3849310111843733</v>
      </c>
      <c r="P28" s="12">
        <v>46.605211744437923</v>
      </c>
      <c r="Q28" s="12">
        <v>67.782514514274098</v>
      </c>
      <c r="R28" s="13">
        <v>73.990878061622738</v>
      </c>
    </row>
    <row r="29" spans="1:18" x14ac:dyDescent="0.2">
      <c r="A29" s="9"/>
      <c r="B29" s="10"/>
      <c r="C29" s="10"/>
      <c r="D29" s="10" t="s">
        <v>105</v>
      </c>
      <c r="E29" s="11">
        <v>216511</v>
      </c>
      <c r="F29" s="11">
        <v>411490</v>
      </c>
      <c r="G29" s="11">
        <v>17790156</v>
      </c>
      <c r="H29" s="11">
        <v>18201646</v>
      </c>
      <c r="I29" s="11">
        <v>10090541</v>
      </c>
      <c r="J29" s="11">
        <v>14675660</v>
      </c>
      <c r="K29" s="11">
        <v>2181807</v>
      </c>
      <c r="L29" s="11">
        <v>0</v>
      </c>
      <c r="M29" s="11">
        <v>16857467</v>
      </c>
      <c r="N29" s="11">
        <v>1344179</v>
      </c>
      <c r="O29" s="12">
        <v>7.3849310111843733</v>
      </c>
      <c r="P29" s="12">
        <v>46.605211744437923</v>
      </c>
      <c r="Q29" s="12">
        <v>67.782514514274098</v>
      </c>
      <c r="R29" s="13">
        <v>73.990878061622738</v>
      </c>
    </row>
    <row r="30" spans="1:18" x14ac:dyDescent="0.2">
      <c r="A30" s="9">
        <v>6</v>
      </c>
      <c r="B30" s="10" t="s">
        <v>124</v>
      </c>
      <c r="C30" s="10">
        <v>9503</v>
      </c>
      <c r="D30" s="10" t="s">
        <v>125</v>
      </c>
      <c r="E30" s="11">
        <v>18089</v>
      </c>
      <c r="F30" s="11">
        <v>0</v>
      </c>
      <c r="G30" s="11">
        <v>1266580</v>
      </c>
      <c r="H30" s="11">
        <v>1266580</v>
      </c>
      <c r="I30" s="11">
        <v>778158</v>
      </c>
      <c r="J30" s="11">
        <v>1172832</v>
      </c>
      <c r="K30" s="11">
        <v>28160</v>
      </c>
      <c r="L30" s="11">
        <v>0</v>
      </c>
      <c r="M30" s="11">
        <v>1200992</v>
      </c>
      <c r="N30" s="11">
        <v>65588</v>
      </c>
      <c r="O30" s="12">
        <v>5.1783543084526835</v>
      </c>
      <c r="P30" s="12">
        <v>43.018298413400409</v>
      </c>
      <c r="Q30" s="12">
        <v>64.836751617004808</v>
      </c>
      <c r="R30" s="13">
        <v>68.462601581071368</v>
      </c>
    </row>
    <row r="31" spans="1:18" x14ac:dyDescent="0.2">
      <c r="A31" s="9"/>
      <c r="B31" s="10"/>
      <c r="C31" s="10"/>
      <c r="D31" s="10" t="s">
        <v>126</v>
      </c>
      <c r="E31" s="11">
        <v>6560</v>
      </c>
      <c r="F31" s="11">
        <v>0</v>
      </c>
      <c r="G31" s="11">
        <v>582228</v>
      </c>
      <c r="H31" s="11">
        <v>582228</v>
      </c>
      <c r="I31" s="11">
        <v>325231</v>
      </c>
      <c r="J31" s="11">
        <v>489976</v>
      </c>
      <c r="K31" s="11">
        <v>61958</v>
      </c>
      <c r="L31" s="11">
        <v>0</v>
      </c>
      <c r="M31" s="11">
        <v>551934</v>
      </c>
      <c r="N31" s="11">
        <v>30294</v>
      </c>
      <c r="O31" s="12">
        <v>5.2031163049526992</v>
      </c>
      <c r="P31" s="12">
        <v>49.577896341463415</v>
      </c>
      <c r="Q31" s="12">
        <v>74.691463414634143</v>
      </c>
      <c r="R31" s="13">
        <v>79.309451219512198</v>
      </c>
    </row>
    <row r="32" spans="1:18" x14ac:dyDescent="0.2">
      <c r="A32" s="9"/>
      <c r="B32" s="10"/>
      <c r="C32" s="10"/>
      <c r="D32" s="10" t="s">
        <v>105</v>
      </c>
      <c r="E32" s="11">
        <v>24649</v>
      </c>
      <c r="F32" s="11">
        <v>0</v>
      </c>
      <c r="G32" s="11">
        <v>1848808</v>
      </c>
      <c r="H32" s="11">
        <v>1848808</v>
      </c>
      <c r="I32" s="11">
        <v>1103389</v>
      </c>
      <c r="J32" s="11">
        <v>1662808</v>
      </c>
      <c r="K32" s="11">
        <v>90118</v>
      </c>
      <c r="L32" s="11">
        <v>0</v>
      </c>
      <c r="M32" s="11">
        <v>1752926</v>
      </c>
      <c r="N32" s="11">
        <v>95882</v>
      </c>
      <c r="O32" s="12">
        <v>5.1861523749356344</v>
      </c>
      <c r="P32" s="12">
        <v>44.764047223011076</v>
      </c>
      <c r="Q32" s="12">
        <v>67.459450687654666</v>
      </c>
      <c r="R32" s="13">
        <v>71.349344801006126</v>
      </c>
    </row>
    <row r="33" spans="1:18" x14ac:dyDescent="0.2">
      <c r="A33" s="9">
        <v>7</v>
      </c>
      <c r="B33" s="10" t="s">
        <v>127</v>
      </c>
      <c r="C33" s="10">
        <v>3143</v>
      </c>
      <c r="D33" s="10" t="s">
        <v>128</v>
      </c>
      <c r="E33" s="11">
        <v>38681</v>
      </c>
      <c r="F33" s="11">
        <v>0</v>
      </c>
      <c r="G33" s="11">
        <v>2855064</v>
      </c>
      <c r="H33" s="11">
        <v>2855064</v>
      </c>
      <c r="I33" s="11">
        <v>1785624</v>
      </c>
      <c r="J33" s="11">
        <v>2311989</v>
      </c>
      <c r="K33" s="11">
        <v>3845</v>
      </c>
      <c r="L33" s="11">
        <v>0</v>
      </c>
      <c r="M33" s="11">
        <v>2315834</v>
      </c>
      <c r="N33" s="11">
        <v>539230</v>
      </c>
      <c r="O33" s="12">
        <v>18.88679202988094</v>
      </c>
      <c r="P33" s="12">
        <v>46.162818955042525</v>
      </c>
      <c r="Q33" s="12">
        <v>59.770662599208912</v>
      </c>
      <c r="R33" s="13">
        <v>73.711098472118096</v>
      </c>
    </row>
    <row r="34" spans="1:18" x14ac:dyDescent="0.2">
      <c r="A34" s="9"/>
      <c r="B34" s="10"/>
      <c r="C34" s="10"/>
      <c r="D34" s="10" t="s">
        <v>105</v>
      </c>
      <c r="E34" s="11">
        <v>38681</v>
      </c>
      <c r="F34" s="11">
        <v>0</v>
      </c>
      <c r="G34" s="11">
        <v>2855064</v>
      </c>
      <c r="H34" s="11">
        <v>2855064</v>
      </c>
      <c r="I34" s="11">
        <v>1785624</v>
      </c>
      <c r="J34" s="11">
        <v>2311989</v>
      </c>
      <c r="K34" s="11">
        <v>3845</v>
      </c>
      <c r="L34" s="11">
        <v>0</v>
      </c>
      <c r="M34" s="11">
        <v>2315834</v>
      </c>
      <c r="N34" s="11">
        <v>539230</v>
      </c>
      <c r="O34" s="12">
        <v>18.88679202988094</v>
      </c>
      <c r="P34" s="12">
        <v>46.162818955042525</v>
      </c>
      <c r="Q34" s="12">
        <v>59.770662599208912</v>
      </c>
      <c r="R34" s="13">
        <v>73.711098472118096</v>
      </c>
    </row>
    <row r="35" spans="1:18" x14ac:dyDescent="0.2">
      <c r="A35" s="9">
        <v>8</v>
      </c>
      <c r="B35" s="10" t="s">
        <v>129</v>
      </c>
      <c r="C35" s="10">
        <v>504</v>
      </c>
      <c r="D35" s="10" t="s">
        <v>130</v>
      </c>
      <c r="E35" s="11">
        <v>9551</v>
      </c>
      <c r="F35" s="11">
        <v>0</v>
      </c>
      <c r="G35" s="11">
        <v>625300</v>
      </c>
      <c r="H35" s="11">
        <v>625300</v>
      </c>
      <c r="I35" s="11">
        <v>476239</v>
      </c>
      <c r="J35" s="11">
        <v>524294</v>
      </c>
      <c r="K35" s="11">
        <v>0</v>
      </c>
      <c r="L35" s="11">
        <v>8958</v>
      </c>
      <c r="M35" s="11">
        <v>533252</v>
      </c>
      <c r="N35" s="11">
        <v>92048</v>
      </c>
      <c r="O35" s="12">
        <v>14.72061410522949</v>
      </c>
      <c r="P35" s="12">
        <v>49.862736886189928</v>
      </c>
      <c r="Q35" s="12">
        <v>54.894147209716259</v>
      </c>
      <c r="R35" s="13">
        <v>64.531672076222378</v>
      </c>
    </row>
    <row r="36" spans="1:18" x14ac:dyDescent="0.2">
      <c r="A36" s="9"/>
      <c r="B36" s="10"/>
      <c r="C36" s="10"/>
      <c r="D36" s="10" t="s">
        <v>131</v>
      </c>
      <c r="E36" s="11">
        <v>12830</v>
      </c>
      <c r="F36" s="11">
        <v>0</v>
      </c>
      <c r="G36" s="11">
        <v>858313</v>
      </c>
      <c r="H36" s="11">
        <v>858313</v>
      </c>
      <c r="I36" s="11">
        <v>592167</v>
      </c>
      <c r="J36" s="11">
        <v>646577</v>
      </c>
      <c r="K36" s="11">
        <v>0</v>
      </c>
      <c r="L36" s="11">
        <v>31786</v>
      </c>
      <c r="M36" s="11">
        <v>678363</v>
      </c>
      <c r="N36" s="11">
        <v>179950</v>
      </c>
      <c r="O36" s="12">
        <v>20.965545203206755</v>
      </c>
      <c r="P36" s="12">
        <v>46.154871395167575</v>
      </c>
      <c r="Q36" s="12">
        <v>50.395713172252535</v>
      </c>
      <c r="R36" s="13">
        <v>64.421434138737339</v>
      </c>
    </row>
    <row r="37" spans="1:18" x14ac:dyDescent="0.2">
      <c r="A37" s="9"/>
      <c r="B37" s="10"/>
      <c r="C37" s="10"/>
      <c r="D37" s="10" t="s">
        <v>132</v>
      </c>
      <c r="E37" s="11">
        <v>5470</v>
      </c>
      <c r="F37" s="11">
        <v>0</v>
      </c>
      <c r="G37" s="11">
        <v>393150</v>
      </c>
      <c r="H37" s="11">
        <v>393150</v>
      </c>
      <c r="I37" s="11">
        <v>232019</v>
      </c>
      <c r="J37" s="11">
        <v>256125</v>
      </c>
      <c r="K37" s="11">
        <v>0</v>
      </c>
      <c r="L37" s="11">
        <v>7112</v>
      </c>
      <c r="M37" s="11">
        <v>263237</v>
      </c>
      <c r="N37" s="11">
        <v>129913</v>
      </c>
      <c r="O37" s="12">
        <v>33.044130738903725</v>
      </c>
      <c r="P37" s="12">
        <v>42.416636197440582</v>
      </c>
      <c r="Q37" s="12">
        <v>46.8235831809872</v>
      </c>
      <c r="R37" s="13">
        <v>70.573674588665455</v>
      </c>
    </row>
    <row r="38" spans="1:18" x14ac:dyDescent="0.2">
      <c r="A38" s="9"/>
      <c r="B38" s="10"/>
      <c r="C38" s="10"/>
      <c r="D38" s="10" t="s">
        <v>133</v>
      </c>
      <c r="E38" s="11">
        <v>8715</v>
      </c>
      <c r="F38" s="11">
        <v>0</v>
      </c>
      <c r="G38" s="11">
        <v>364368</v>
      </c>
      <c r="H38" s="11">
        <v>364368</v>
      </c>
      <c r="I38" s="11">
        <v>236087</v>
      </c>
      <c r="J38" s="11">
        <v>269764</v>
      </c>
      <c r="K38" s="11">
        <v>27741</v>
      </c>
      <c r="L38" s="11">
        <v>5444</v>
      </c>
      <c r="M38" s="11">
        <v>302949</v>
      </c>
      <c r="N38" s="11">
        <v>61419</v>
      </c>
      <c r="O38" s="12">
        <v>16.856310104070609</v>
      </c>
      <c r="P38" s="12">
        <v>27.089730349971315</v>
      </c>
      <c r="Q38" s="12">
        <v>30.953987378083763</v>
      </c>
      <c r="R38" s="13">
        <v>38.001491681009753</v>
      </c>
    </row>
    <row r="39" spans="1:18" x14ac:dyDescent="0.2">
      <c r="A39" s="9"/>
      <c r="B39" s="10"/>
      <c r="C39" s="10"/>
      <c r="D39" s="10" t="s">
        <v>134</v>
      </c>
      <c r="E39" s="11">
        <v>20516</v>
      </c>
      <c r="F39" s="11">
        <v>0</v>
      </c>
      <c r="G39" s="11">
        <v>1445688</v>
      </c>
      <c r="H39" s="11">
        <v>1445688</v>
      </c>
      <c r="I39" s="11">
        <v>865726</v>
      </c>
      <c r="J39" s="11">
        <v>962766</v>
      </c>
      <c r="K39" s="11">
        <v>14639</v>
      </c>
      <c r="L39" s="11">
        <v>31156</v>
      </c>
      <c r="M39" s="11">
        <v>1008561</v>
      </c>
      <c r="N39" s="11">
        <v>437127</v>
      </c>
      <c r="O39" s="12">
        <v>30.236607068745126</v>
      </c>
      <c r="P39" s="12">
        <v>42.197601871709885</v>
      </c>
      <c r="Q39" s="12">
        <v>46.92756872684734</v>
      </c>
      <c r="R39" s="13">
        <v>68.234207447845577</v>
      </c>
    </row>
    <row r="40" spans="1:18" x14ac:dyDescent="0.2">
      <c r="A40" s="9"/>
      <c r="B40" s="10"/>
      <c r="C40" s="10"/>
      <c r="D40" s="10" t="s">
        <v>135</v>
      </c>
      <c r="E40" s="11">
        <v>7594</v>
      </c>
      <c r="F40" s="11">
        <v>0</v>
      </c>
      <c r="G40" s="11">
        <v>454380</v>
      </c>
      <c r="H40" s="11">
        <v>454380</v>
      </c>
      <c r="I40" s="11">
        <v>289159</v>
      </c>
      <c r="J40" s="11">
        <v>299211</v>
      </c>
      <c r="K40" s="11">
        <v>0</v>
      </c>
      <c r="L40" s="11">
        <v>14187</v>
      </c>
      <c r="M40" s="11">
        <v>313398</v>
      </c>
      <c r="N40" s="11">
        <v>140982</v>
      </c>
      <c r="O40" s="12">
        <v>31.02733394955764</v>
      </c>
      <c r="P40" s="12">
        <v>38.077297866736899</v>
      </c>
      <c r="Q40" s="12">
        <v>39.400974453515936</v>
      </c>
      <c r="R40" s="13">
        <v>57.965894126942324</v>
      </c>
    </row>
    <row r="41" spans="1:18" x14ac:dyDescent="0.2">
      <c r="A41" s="9"/>
      <c r="B41" s="10"/>
      <c r="C41" s="10"/>
      <c r="D41" s="10" t="s">
        <v>136</v>
      </c>
      <c r="E41" s="11">
        <v>12065</v>
      </c>
      <c r="F41" s="11">
        <v>0</v>
      </c>
      <c r="G41" s="11">
        <v>686061</v>
      </c>
      <c r="H41" s="11">
        <v>686061</v>
      </c>
      <c r="I41" s="11">
        <v>456916</v>
      </c>
      <c r="J41" s="11">
        <v>495665</v>
      </c>
      <c r="K41" s="11">
        <v>0</v>
      </c>
      <c r="L41" s="11">
        <v>7730</v>
      </c>
      <c r="M41" s="11">
        <v>503395</v>
      </c>
      <c r="N41" s="11">
        <v>182666</v>
      </c>
      <c r="O41" s="12">
        <v>26.625329234572437</v>
      </c>
      <c r="P41" s="12">
        <v>37.871197679237461</v>
      </c>
      <c r="Q41" s="12">
        <v>41.08288437629507</v>
      </c>
      <c r="R41" s="13">
        <v>56.223041856610031</v>
      </c>
    </row>
    <row r="42" spans="1:18" x14ac:dyDescent="0.2">
      <c r="A42" s="9"/>
      <c r="B42" s="10"/>
      <c r="C42" s="10"/>
      <c r="D42" s="10" t="s">
        <v>105</v>
      </c>
      <c r="E42" s="11">
        <v>76741</v>
      </c>
      <c r="F42" s="11">
        <v>0</v>
      </c>
      <c r="G42" s="11">
        <v>4827260</v>
      </c>
      <c r="H42" s="11">
        <v>4827260</v>
      </c>
      <c r="I42" s="11">
        <v>3148313</v>
      </c>
      <c r="J42" s="11">
        <v>3454402</v>
      </c>
      <c r="K42" s="11">
        <v>42380</v>
      </c>
      <c r="L42" s="11">
        <v>106373</v>
      </c>
      <c r="M42" s="11">
        <v>3603155</v>
      </c>
      <c r="N42" s="11">
        <v>1224105</v>
      </c>
      <c r="O42" s="12">
        <v>25.358174202342532</v>
      </c>
      <c r="P42" s="12">
        <v>41.025175590623007</v>
      </c>
      <c r="Q42" s="12">
        <v>45.01377360211621</v>
      </c>
      <c r="R42" s="13">
        <v>60.964894906243075</v>
      </c>
    </row>
    <row r="43" spans="1:18" x14ac:dyDescent="0.2">
      <c r="A43" s="9">
        <v>9</v>
      </c>
      <c r="B43" s="10" t="s">
        <v>137</v>
      </c>
      <c r="C43" s="10">
        <v>953</v>
      </c>
      <c r="D43" s="10" t="s">
        <v>138</v>
      </c>
      <c r="E43" s="11">
        <v>40460</v>
      </c>
      <c r="F43" s="11">
        <v>0</v>
      </c>
      <c r="G43" s="11">
        <v>3277360</v>
      </c>
      <c r="H43" s="11">
        <v>3277360</v>
      </c>
      <c r="I43" s="11">
        <v>1867358</v>
      </c>
      <c r="J43" s="11">
        <v>2403816</v>
      </c>
      <c r="K43" s="11">
        <v>518010</v>
      </c>
      <c r="L43" s="11">
        <v>0</v>
      </c>
      <c r="M43" s="11">
        <v>2921826</v>
      </c>
      <c r="N43" s="11">
        <v>355534</v>
      </c>
      <c r="O43" s="12">
        <v>10.848182683623405</v>
      </c>
      <c r="P43" s="12">
        <v>46.153188334157193</v>
      </c>
      <c r="Q43" s="12">
        <v>59.412160158180917</v>
      </c>
      <c r="R43" s="13">
        <v>68.199456253089465</v>
      </c>
    </row>
    <row r="44" spans="1:18" x14ac:dyDescent="0.2">
      <c r="A44" s="9"/>
      <c r="B44" s="10"/>
      <c r="C44" s="10"/>
      <c r="D44" s="10" t="s">
        <v>139</v>
      </c>
      <c r="E44" s="11">
        <v>24810</v>
      </c>
      <c r="F44" s="11">
        <v>0</v>
      </c>
      <c r="G44" s="11">
        <v>2801877</v>
      </c>
      <c r="H44" s="11">
        <v>2801877</v>
      </c>
      <c r="I44" s="11">
        <v>1102184</v>
      </c>
      <c r="J44" s="11">
        <v>1457418</v>
      </c>
      <c r="K44" s="11">
        <v>1097066</v>
      </c>
      <c r="L44" s="11">
        <v>0</v>
      </c>
      <c r="M44" s="11">
        <v>2554484</v>
      </c>
      <c r="N44" s="11">
        <v>247393</v>
      </c>
      <c r="O44" s="12">
        <v>8.8295453369294936</v>
      </c>
      <c r="P44" s="12">
        <v>44.424989923417975</v>
      </c>
      <c r="Q44" s="12">
        <v>58.743168077388148</v>
      </c>
      <c r="R44" s="13">
        <v>68.714671503426032</v>
      </c>
    </row>
    <row r="45" spans="1:18" x14ac:dyDescent="0.2">
      <c r="A45" s="9"/>
      <c r="B45" s="10"/>
      <c r="C45" s="10"/>
      <c r="D45" s="10" t="s">
        <v>140</v>
      </c>
      <c r="E45" s="11">
        <v>42770</v>
      </c>
      <c r="F45" s="11">
        <v>0</v>
      </c>
      <c r="G45" s="11">
        <v>3794197</v>
      </c>
      <c r="H45" s="11">
        <v>3794197</v>
      </c>
      <c r="I45" s="11">
        <v>2069777</v>
      </c>
      <c r="J45" s="11">
        <v>2656535</v>
      </c>
      <c r="K45" s="11">
        <v>147407</v>
      </c>
      <c r="L45" s="11">
        <v>22081</v>
      </c>
      <c r="M45" s="11">
        <v>2826023</v>
      </c>
      <c r="N45" s="11">
        <v>968174</v>
      </c>
      <c r="O45" s="12">
        <v>25.517230655129396</v>
      </c>
      <c r="P45" s="12">
        <v>48.393196165536594</v>
      </c>
      <c r="Q45" s="12">
        <v>62.112111292962354</v>
      </c>
      <c r="R45" s="13">
        <v>84.748866027589429</v>
      </c>
    </row>
    <row r="46" spans="1:18" x14ac:dyDescent="0.2">
      <c r="A46" s="9"/>
      <c r="B46" s="10"/>
      <c r="C46" s="10"/>
      <c r="D46" s="10" t="s">
        <v>105</v>
      </c>
      <c r="E46" s="11">
        <v>108040</v>
      </c>
      <c r="F46" s="11">
        <v>0</v>
      </c>
      <c r="G46" s="11">
        <v>9873434</v>
      </c>
      <c r="H46" s="11">
        <v>9873434</v>
      </c>
      <c r="I46" s="11">
        <v>5039319</v>
      </c>
      <c r="J46" s="11">
        <v>6517769</v>
      </c>
      <c r="K46" s="11">
        <v>1762483</v>
      </c>
      <c r="L46" s="11">
        <v>22081</v>
      </c>
      <c r="M46" s="11">
        <v>8302333</v>
      </c>
      <c r="N46" s="11">
        <v>1571101</v>
      </c>
      <c r="O46" s="12">
        <v>15.912406970057228</v>
      </c>
      <c r="P46" s="12">
        <v>46.643085894113291</v>
      </c>
      <c r="Q46" s="12">
        <v>60.327369492780448</v>
      </c>
      <c r="R46" s="13">
        <v>74.869215105516474</v>
      </c>
    </row>
    <row r="47" spans="1:18" x14ac:dyDescent="0.2">
      <c r="A47" s="9">
        <v>10</v>
      </c>
      <c r="B47" s="10" t="s">
        <v>141</v>
      </c>
      <c r="C47" s="10">
        <v>8209</v>
      </c>
      <c r="D47" s="10" t="s">
        <v>142</v>
      </c>
      <c r="E47" s="11">
        <v>418590</v>
      </c>
      <c r="F47" s="11">
        <v>3930160</v>
      </c>
      <c r="G47" s="11">
        <v>42066327</v>
      </c>
      <c r="H47" s="11">
        <v>45996487</v>
      </c>
      <c r="I47" s="11">
        <v>26120229</v>
      </c>
      <c r="J47" s="11">
        <v>39179779</v>
      </c>
      <c r="K47" s="11">
        <v>1451818</v>
      </c>
      <c r="L47" s="11">
        <v>15272</v>
      </c>
      <c r="M47" s="11">
        <v>40646869</v>
      </c>
      <c r="N47" s="11">
        <v>5349618</v>
      </c>
      <c r="O47" s="12">
        <v>11.630492563486424</v>
      </c>
      <c r="P47" s="12">
        <v>62.400508851143123</v>
      </c>
      <c r="Q47" s="12">
        <v>93.599414701736777</v>
      </c>
      <c r="R47" s="13">
        <v>106.3795050048974</v>
      </c>
    </row>
    <row r="48" spans="1:18" x14ac:dyDescent="0.2">
      <c r="A48" s="9"/>
      <c r="B48" s="10"/>
      <c r="C48" s="10"/>
      <c r="D48" s="10" t="s">
        <v>105</v>
      </c>
      <c r="E48" s="11">
        <v>418590</v>
      </c>
      <c r="F48" s="11">
        <v>3930160</v>
      </c>
      <c r="G48" s="11">
        <v>42066327</v>
      </c>
      <c r="H48" s="11">
        <v>45996487</v>
      </c>
      <c r="I48" s="11">
        <v>26120229</v>
      </c>
      <c r="J48" s="11">
        <v>39179779</v>
      </c>
      <c r="K48" s="11">
        <v>1451818</v>
      </c>
      <c r="L48" s="11">
        <v>15272</v>
      </c>
      <c r="M48" s="11">
        <v>40646869</v>
      </c>
      <c r="N48" s="11">
        <v>5349618</v>
      </c>
      <c r="O48" s="12">
        <v>11.630492563486424</v>
      </c>
      <c r="P48" s="12">
        <v>62.400508851143123</v>
      </c>
      <c r="Q48" s="12">
        <v>93.599414701736777</v>
      </c>
      <c r="R48" s="13">
        <v>106.3795050048974</v>
      </c>
    </row>
    <row r="49" spans="1:18" x14ac:dyDescent="0.2">
      <c r="A49" s="9">
        <v>11</v>
      </c>
      <c r="B49" s="10" t="s">
        <v>143</v>
      </c>
      <c r="C49" s="10">
        <v>7926</v>
      </c>
      <c r="D49" s="10" t="s">
        <v>144</v>
      </c>
      <c r="E49" s="11">
        <v>35546</v>
      </c>
      <c r="F49" s="11">
        <v>1957280</v>
      </c>
      <c r="G49" s="11">
        <v>779262</v>
      </c>
      <c r="H49" s="11">
        <v>2736542</v>
      </c>
      <c r="I49" s="11">
        <v>2121679</v>
      </c>
      <c r="J49" s="11">
        <v>2561124</v>
      </c>
      <c r="K49" s="11">
        <v>0</v>
      </c>
      <c r="L49" s="11">
        <v>0</v>
      </c>
      <c r="M49" s="11">
        <v>2561124</v>
      </c>
      <c r="N49" s="11">
        <v>175418</v>
      </c>
      <c r="O49" s="12">
        <v>6.4102067499786228</v>
      </c>
      <c r="P49" s="12">
        <v>59.688263095706972</v>
      </c>
      <c r="Q49" s="12">
        <v>72.050976199853707</v>
      </c>
      <c r="R49" s="13">
        <v>76.985933719687168</v>
      </c>
    </row>
    <row r="50" spans="1:18" x14ac:dyDescent="0.2">
      <c r="A50" s="9"/>
      <c r="B50" s="10"/>
      <c r="C50" s="10"/>
      <c r="D50" s="10" t="s">
        <v>105</v>
      </c>
      <c r="E50" s="11">
        <v>35546</v>
      </c>
      <c r="F50" s="11">
        <v>1957280</v>
      </c>
      <c r="G50" s="11">
        <v>779262</v>
      </c>
      <c r="H50" s="11">
        <v>2736542</v>
      </c>
      <c r="I50" s="11">
        <v>2121679</v>
      </c>
      <c r="J50" s="11">
        <v>2561124</v>
      </c>
      <c r="K50" s="11">
        <v>0</v>
      </c>
      <c r="L50" s="11">
        <v>0</v>
      </c>
      <c r="M50" s="11">
        <v>2561124</v>
      </c>
      <c r="N50" s="11">
        <v>175418</v>
      </c>
      <c r="O50" s="12">
        <v>6.4102067499786228</v>
      </c>
      <c r="P50" s="12">
        <v>59.688263095706972</v>
      </c>
      <c r="Q50" s="12">
        <v>72.050976199853707</v>
      </c>
      <c r="R50" s="13">
        <v>76.985933719687168</v>
      </c>
    </row>
    <row r="51" spans="1:18" x14ac:dyDescent="0.2">
      <c r="A51" s="9">
        <v>12</v>
      </c>
      <c r="B51" s="10" t="s">
        <v>145</v>
      </c>
      <c r="C51" s="10">
        <v>6590</v>
      </c>
      <c r="D51" s="10" t="s">
        <v>146</v>
      </c>
      <c r="E51" s="11">
        <v>123478</v>
      </c>
      <c r="F51" s="11">
        <v>0</v>
      </c>
      <c r="G51" s="11">
        <v>11222691</v>
      </c>
      <c r="H51" s="11">
        <v>11222691</v>
      </c>
      <c r="I51" s="11">
        <v>6266409</v>
      </c>
      <c r="J51" s="11">
        <v>8841063</v>
      </c>
      <c r="K51" s="11">
        <v>863729</v>
      </c>
      <c r="L51" s="11">
        <v>81742</v>
      </c>
      <c r="M51" s="11">
        <v>9786534</v>
      </c>
      <c r="N51" s="11">
        <v>1436157</v>
      </c>
      <c r="O51" s="12">
        <v>12.796904058037416</v>
      </c>
      <c r="P51" s="12">
        <v>50.749194188438423</v>
      </c>
      <c r="Q51" s="12">
        <v>71.60030936685078</v>
      </c>
      <c r="R51" s="13">
        <v>83.231182882780743</v>
      </c>
    </row>
    <row r="52" spans="1:18" x14ac:dyDescent="0.2">
      <c r="A52" s="9"/>
      <c r="B52" s="10"/>
      <c r="C52" s="10"/>
      <c r="D52" s="10" t="s">
        <v>147</v>
      </c>
      <c r="E52" s="11">
        <v>29529</v>
      </c>
      <c r="F52" s="11">
        <v>0</v>
      </c>
      <c r="G52" s="11">
        <v>2297273</v>
      </c>
      <c r="H52" s="11">
        <v>2297273</v>
      </c>
      <c r="I52" s="11">
        <v>1302629</v>
      </c>
      <c r="J52" s="11">
        <v>1846180</v>
      </c>
      <c r="K52" s="11">
        <v>23714</v>
      </c>
      <c r="L52" s="11">
        <v>0</v>
      </c>
      <c r="M52" s="11">
        <v>1869894</v>
      </c>
      <c r="N52" s="11">
        <v>427379</v>
      </c>
      <c r="O52" s="12">
        <v>18.603753232637132</v>
      </c>
      <c r="P52" s="12">
        <v>44.113549392122998</v>
      </c>
      <c r="Q52" s="12">
        <v>62.520911646178334</v>
      </c>
      <c r="R52" s="13">
        <v>76.994107487554601</v>
      </c>
    </row>
    <row r="53" spans="1:18" x14ac:dyDescent="0.2">
      <c r="A53" s="9"/>
      <c r="B53" s="10"/>
      <c r="C53" s="10"/>
      <c r="D53" s="10" t="s">
        <v>105</v>
      </c>
      <c r="E53" s="11">
        <v>153007</v>
      </c>
      <c r="F53" s="11">
        <v>0</v>
      </c>
      <c r="G53" s="11">
        <v>13519964</v>
      </c>
      <c r="H53" s="11">
        <v>13519964</v>
      </c>
      <c r="I53" s="11">
        <v>7569038</v>
      </c>
      <c r="J53" s="11">
        <v>10687243</v>
      </c>
      <c r="K53" s="11">
        <v>887443</v>
      </c>
      <c r="L53" s="11">
        <v>81742</v>
      </c>
      <c r="M53" s="11">
        <v>11656428</v>
      </c>
      <c r="N53" s="11">
        <v>1863536</v>
      </c>
      <c r="O53" s="12">
        <v>13.783586997716856</v>
      </c>
      <c r="P53" s="12">
        <v>49.468573333246191</v>
      </c>
      <c r="Q53" s="12">
        <v>69.848065774768472</v>
      </c>
      <c r="R53" s="13">
        <v>82.027482402765884</v>
      </c>
    </row>
    <row r="54" spans="1:18" x14ac:dyDescent="0.2">
      <c r="A54" s="9">
        <v>13</v>
      </c>
      <c r="B54" s="10" t="s">
        <v>148</v>
      </c>
      <c r="C54" s="10">
        <v>7695</v>
      </c>
      <c r="D54" s="10" t="s">
        <v>149</v>
      </c>
      <c r="E54" s="11">
        <v>172485</v>
      </c>
      <c r="F54" s="11">
        <v>3813080</v>
      </c>
      <c r="G54" s="11">
        <v>6694733</v>
      </c>
      <c r="H54" s="11">
        <v>10507813</v>
      </c>
      <c r="I54" s="11">
        <v>7083967</v>
      </c>
      <c r="J54" s="11">
        <v>9429899</v>
      </c>
      <c r="K54" s="11">
        <v>712784</v>
      </c>
      <c r="L54" s="11">
        <v>0</v>
      </c>
      <c r="M54" s="11">
        <v>10142683</v>
      </c>
      <c r="N54" s="11">
        <v>365130</v>
      </c>
      <c r="O54" s="12">
        <v>3.4748429573308925</v>
      </c>
      <c r="P54" s="12">
        <v>41.070046670724992</v>
      </c>
      <c r="Q54" s="12">
        <v>54.670835145085078</v>
      </c>
      <c r="R54" s="13">
        <v>56.787714873757139</v>
      </c>
    </row>
    <row r="55" spans="1:18" x14ac:dyDescent="0.2">
      <c r="A55" s="9"/>
      <c r="B55" s="10"/>
      <c r="C55" s="10"/>
      <c r="D55" s="10" t="s">
        <v>105</v>
      </c>
      <c r="E55" s="11">
        <v>172485</v>
      </c>
      <c r="F55" s="11">
        <v>3813080</v>
      </c>
      <c r="G55" s="11">
        <v>6694733</v>
      </c>
      <c r="H55" s="11">
        <v>10507813</v>
      </c>
      <c r="I55" s="11">
        <v>7083967</v>
      </c>
      <c r="J55" s="11">
        <v>9429899</v>
      </c>
      <c r="K55" s="11">
        <v>712784</v>
      </c>
      <c r="L55" s="11">
        <v>0</v>
      </c>
      <c r="M55" s="11">
        <v>10142683</v>
      </c>
      <c r="N55" s="11">
        <v>365130</v>
      </c>
      <c r="O55" s="12">
        <v>3.4748429573308925</v>
      </c>
      <c r="P55" s="12">
        <v>41.070046670724992</v>
      </c>
      <c r="Q55" s="12">
        <v>54.670835145085078</v>
      </c>
      <c r="R55" s="13">
        <v>56.787714873757139</v>
      </c>
    </row>
    <row r="56" spans="1:18" x14ac:dyDescent="0.2">
      <c r="A56" s="9">
        <v>14</v>
      </c>
      <c r="B56" s="10" t="s">
        <v>150</v>
      </c>
      <c r="C56" s="10">
        <v>7739</v>
      </c>
      <c r="D56" s="10" t="s">
        <v>151</v>
      </c>
      <c r="E56" s="11">
        <v>128871</v>
      </c>
      <c r="F56" s="11">
        <v>7521670</v>
      </c>
      <c r="G56" s="11">
        <v>1696083</v>
      </c>
      <c r="H56" s="11">
        <v>9217753</v>
      </c>
      <c r="I56" s="11">
        <v>6567727</v>
      </c>
      <c r="J56" s="11">
        <v>8115472</v>
      </c>
      <c r="K56" s="11">
        <v>208958</v>
      </c>
      <c r="L56" s="11">
        <v>0</v>
      </c>
      <c r="M56" s="11">
        <v>8324430</v>
      </c>
      <c r="N56" s="11">
        <v>893323</v>
      </c>
      <c r="O56" s="12">
        <v>9.6913314991191442</v>
      </c>
      <c r="P56" s="12">
        <v>50.963575979079856</v>
      </c>
      <c r="Q56" s="12">
        <v>62.973609268182912</v>
      </c>
      <c r="R56" s="13">
        <v>69.905525680719478</v>
      </c>
    </row>
    <row r="57" spans="1:18" x14ac:dyDescent="0.2">
      <c r="A57" s="9"/>
      <c r="B57" s="10"/>
      <c r="C57" s="10"/>
      <c r="D57" s="10" t="s">
        <v>105</v>
      </c>
      <c r="E57" s="11">
        <v>128871</v>
      </c>
      <c r="F57" s="11">
        <v>7521670</v>
      </c>
      <c r="G57" s="11">
        <v>1696083</v>
      </c>
      <c r="H57" s="11">
        <v>9217753</v>
      </c>
      <c r="I57" s="11">
        <v>6567727</v>
      </c>
      <c r="J57" s="11">
        <v>8115472</v>
      </c>
      <c r="K57" s="11">
        <v>208958</v>
      </c>
      <c r="L57" s="11">
        <v>0</v>
      </c>
      <c r="M57" s="11">
        <v>8324430</v>
      </c>
      <c r="N57" s="11">
        <v>893323</v>
      </c>
      <c r="O57" s="12">
        <v>9.6913314991191442</v>
      </c>
      <c r="P57" s="12">
        <v>50.963575979079856</v>
      </c>
      <c r="Q57" s="12">
        <v>62.973609268182912</v>
      </c>
      <c r="R57" s="13">
        <v>69.905525680719478</v>
      </c>
    </row>
    <row r="58" spans="1:18" x14ac:dyDescent="0.2">
      <c r="A58" s="9">
        <v>15</v>
      </c>
      <c r="B58" s="10" t="s">
        <v>152</v>
      </c>
      <c r="C58" s="10">
        <v>7776</v>
      </c>
      <c r="D58" s="10" t="s">
        <v>153</v>
      </c>
      <c r="E58" s="11">
        <v>56159</v>
      </c>
      <c r="F58" s="11">
        <v>1665570</v>
      </c>
      <c r="G58" s="11">
        <v>2134179</v>
      </c>
      <c r="H58" s="11">
        <v>3799749</v>
      </c>
      <c r="I58" s="11">
        <v>3063190</v>
      </c>
      <c r="J58" s="11">
        <v>3641800</v>
      </c>
      <c r="K58" s="11">
        <v>0</v>
      </c>
      <c r="L58" s="11">
        <v>0</v>
      </c>
      <c r="M58" s="11">
        <v>3641800</v>
      </c>
      <c r="N58" s="11">
        <v>157949</v>
      </c>
      <c r="O58" s="12">
        <v>4.1568272009545897</v>
      </c>
      <c r="P58" s="12">
        <v>54.544952723517156</v>
      </c>
      <c r="Q58" s="12">
        <v>64.848020798091127</v>
      </c>
      <c r="R58" s="13">
        <v>67.660553072526227</v>
      </c>
    </row>
    <row r="59" spans="1:18" x14ac:dyDescent="0.2">
      <c r="A59" s="9"/>
      <c r="B59" s="10"/>
      <c r="C59" s="10"/>
      <c r="D59" s="10" t="s">
        <v>105</v>
      </c>
      <c r="E59" s="11">
        <v>56159</v>
      </c>
      <c r="F59" s="11">
        <v>1665570</v>
      </c>
      <c r="G59" s="11">
        <v>2134179</v>
      </c>
      <c r="H59" s="11">
        <v>3799749</v>
      </c>
      <c r="I59" s="11">
        <v>3063190</v>
      </c>
      <c r="J59" s="11">
        <v>3641800</v>
      </c>
      <c r="K59" s="11">
        <v>0</v>
      </c>
      <c r="L59" s="11">
        <v>0</v>
      </c>
      <c r="M59" s="11">
        <v>3641800</v>
      </c>
      <c r="N59" s="11">
        <v>157949</v>
      </c>
      <c r="O59" s="12">
        <v>4.1568272009545897</v>
      </c>
      <c r="P59" s="12">
        <v>54.544952723517156</v>
      </c>
      <c r="Q59" s="12">
        <v>64.848020798091127</v>
      </c>
      <c r="R59" s="13">
        <v>67.660553072526227</v>
      </c>
    </row>
    <row r="60" spans="1:18" x14ac:dyDescent="0.2">
      <c r="A60" s="9">
        <v>16</v>
      </c>
      <c r="B60" s="10" t="s">
        <v>154</v>
      </c>
      <c r="C60" s="10">
        <v>1245</v>
      </c>
      <c r="D60" s="10" t="s">
        <v>155</v>
      </c>
      <c r="E60" s="11">
        <v>28136</v>
      </c>
      <c r="F60" s="11">
        <v>0</v>
      </c>
      <c r="G60" s="11">
        <v>1989780</v>
      </c>
      <c r="H60" s="11">
        <v>1989780</v>
      </c>
      <c r="I60" s="11">
        <v>1118467</v>
      </c>
      <c r="J60" s="11">
        <v>1378898</v>
      </c>
      <c r="K60" s="11">
        <v>18471</v>
      </c>
      <c r="L60" s="11">
        <v>19611</v>
      </c>
      <c r="M60" s="11">
        <v>1416980</v>
      </c>
      <c r="N60" s="11">
        <v>572800</v>
      </c>
      <c r="O60" s="12">
        <v>28.787102091688528</v>
      </c>
      <c r="P60" s="12">
        <v>39.752168040943985</v>
      </c>
      <c r="Q60" s="12">
        <v>49.008316747227752</v>
      </c>
      <c r="R60" s="13">
        <v>69.366576627807788</v>
      </c>
    </row>
    <row r="61" spans="1:18" x14ac:dyDescent="0.2">
      <c r="A61" s="9"/>
      <c r="B61" s="10"/>
      <c r="C61" s="10"/>
      <c r="D61" s="10" t="s">
        <v>156</v>
      </c>
      <c r="E61" s="11">
        <v>11695</v>
      </c>
      <c r="F61" s="11">
        <v>0</v>
      </c>
      <c r="G61" s="11">
        <v>635244</v>
      </c>
      <c r="H61" s="11">
        <v>635244</v>
      </c>
      <c r="I61" s="11">
        <v>446085</v>
      </c>
      <c r="J61" s="11">
        <v>510570</v>
      </c>
      <c r="K61" s="11">
        <v>0</v>
      </c>
      <c r="L61" s="11">
        <v>5024</v>
      </c>
      <c r="M61" s="11">
        <v>515594</v>
      </c>
      <c r="N61" s="11">
        <v>119650</v>
      </c>
      <c r="O61" s="12">
        <v>18.835282190780237</v>
      </c>
      <c r="P61" s="12">
        <v>38.143223599828985</v>
      </c>
      <c r="Q61" s="12">
        <v>43.657118426678068</v>
      </c>
      <c r="R61" s="13">
        <v>53.887986318939717</v>
      </c>
    </row>
    <row r="62" spans="1:18" x14ac:dyDescent="0.2">
      <c r="A62" s="9"/>
      <c r="B62" s="10"/>
      <c r="C62" s="10"/>
      <c r="D62" s="10" t="s">
        <v>157</v>
      </c>
      <c r="E62" s="11">
        <v>9526</v>
      </c>
      <c r="F62" s="11">
        <v>0</v>
      </c>
      <c r="G62" s="11">
        <v>613603</v>
      </c>
      <c r="H62" s="11">
        <v>613603</v>
      </c>
      <c r="I62" s="11">
        <v>401035</v>
      </c>
      <c r="J62" s="11">
        <v>463744</v>
      </c>
      <c r="K62" s="11">
        <v>0</v>
      </c>
      <c r="L62" s="11">
        <v>12371</v>
      </c>
      <c r="M62" s="11">
        <v>476115</v>
      </c>
      <c r="N62" s="11">
        <v>137488</v>
      </c>
      <c r="O62" s="12">
        <v>22.406670110804544</v>
      </c>
      <c r="P62" s="12">
        <v>42.098992231786688</v>
      </c>
      <c r="Q62" s="12">
        <v>48.681923157673737</v>
      </c>
      <c r="R62" s="13">
        <v>63.114843585975223</v>
      </c>
    </row>
    <row r="63" spans="1:18" x14ac:dyDescent="0.2">
      <c r="A63" s="9"/>
      <c r="B63" s="10"/>
      <c r="C63" s="10"/>
      <c r="D63" s="10" t="s">
        <v>158</v>
      </c>
      <c r="E63" s="11">
        <v>7664</v>
      </c>
      <c r="F63" s="11">
        <v>0</v>
      </c>
      <c r="G63" s="11">
        <v>710062</v>
      </c>
      <c r="H63" s="11">
        <v>710062</v>
      </c>
      <c r="I63" s="11">
        <v>354176</v>
      </c>
      <c r="J63" s="11">
        <v>411642</v>
      </c>
      <c r="K63" s="11">
        <v>0</v>
      </c>
      <c r="L63" s="11">
        <v>89894</v>
      </c>
      <c r="M63" s="11">
        <v>501536</v>
      </c>
      <c r="N63" s="11">
        <v>208526</v>
      </c>
      <c r="O63" s="12">
        <v>29.367294686942831</v>
      </c>
      <c r="P63" s="12">
        <v>46.21294363256785</v>
      </c>
      <c r="Q63" s="12">
        <v>53.711116910229649</v>
      </c>
      <c r="R63" s="13">
        <v>80.919624217118994</v>
      </c>
    </row>
    <row r="64" spans="1:18" x14ac:dyDescent="0.2">
      <c r="A64" s="9"/>
      <c r="B64" s="10"/>
      <c r="C64" s="10"/>
      <c r="D64" s="10" t="s">
        <v>159</v>
      </c>
      <c r="E64" s="11">
        <v>23038</v>
      </c>
      <c r="F64" s="11">
        <v>0</v>
      </c>
      <c r="G64" s="11">
        <v>1666354</v>
      </c>
      <c r="H64" s="11">
        <v>1666354</v>
      </c>
      <c r="I64" s="11">
        <v>1073095</v>
      </c>
      <c r="J64" s="11">
        <v>1222317</v>
      </c>
      <c r="K64" s="11">
        <v>13628</v>
      </c>
      <c r="L64" s="11">
        <v>26337</v>
      </c>
      <c r="M64" s="11">
        <v>1262282</v>
      </c>
      <c r="N64" s="11">
        <v>404072</v>
      </c>
      <c r="O64" s="12">
        <v>24.24886908784088</v>
      </c>
      <c r="P64" s="12">
        <v>46.579347165552562</v>
      </c>
      <c r="Q64" s="12">
        <v>53.056558729056341</v>
      </c>
      <c r="R64" s="13">
        <v>70.59592846601268</v>
      </c>
    </row>
    <row r="65" spans="1:18" x14ac:dyDescent="0.2">
      <c r="A65" s="9"/>
      <c r="B65" s="10"/>
      <c r="C65" s="10"/>
      <c r="D65" s="10" t="s">
        <v>160</v>
      </c>
      <c r="E65" s="11">
        <v>14249</v>
      </c>
      <c r="F65" s="11">
        <v>0</v>
      </c>
      <c r="G65" s="11">
        <v>925603</v>
      </c>
      <c r="H65" s="11">
        <v>925603</v>
      </c>
      <c r="I65" s="11">
        <v>643309</v>
      </c>
      <c r="J65" s="11">
        <v>738476</v>
      </c>
      <c r="K65" s="11">
        <v>0</v>
      </c>
      <c r="L65" s="11">
        <v>0</v>
      </c>
      <c r="M65" s="11">
        <v>738476</v>
      </c>
      <c r="N65" s="11">
        <v>187127</v>
      </c>
      <c r="O65" s="12">
        <v>20.216766799589024</v>
      </c>
      <c r="P65" s="12">
        <v>45.147659484876129</v>
      </c>
      <c r="Q65" s="12">
        <v>51.826514141343253</v>
      </c>
      <c r="R65" s="13">
        <v>64.959155028423041</v>
      </c>
    </row>
    <row r="66" spans="1:18" x14ac:dyDescent="0.2">
      <c r="A66" s="9"/>
      <c r="B66" s="10"/>
      <c r="C66" s="10"/>
      <c r="D66" s="10" t="s">
        <v>161</v>
      </c>
      <c r="E66" s="11">
        <v>11303</v>
      </c>
      <c r="F66" s="11">
        <v>0</v>
      </c>
      <c r="G66" s="11">
        <v>737962</v>
      </c>
      <c r="H66" s="11">
        <v>737962</v>
      </c>
      <c r="I66" s="11">
        <v>439334</v>
      </c>
      <c r="J66" s="11">
        <v>496222</v>
      </c>
      <c r="K66" s="11">
        <v>0</v>
      </c>
      <c r="L66" s="11">
        <v>17203</v>
      </c>
      <c r="M66" s="11">
        <v>513425</v>
      </c>
      <c r="N66" s="11">
        <v>224537</v>
      </c>
      <c r="O66" s="12">
        <v>30.426634433751332</v>
      </c>
      <c r="P66" s="12">
        <v>38.868795894895158</v>
      </c>
      <c r="Q66" s="12">
        <v>43.901795983367251</v>
      </c>
      <c r="R66" s="13">
        <v>63.767052994780144</v>
      </c>
    </row>
    <row r="67" spans="1:18" x14ac:dyDescent="0.2">
      <c r="A67" s="9"/>
      <c r="B67" s="10"/>
      <c r="C67" s="10"/>
      <c r="D67" s="10" t="s">
        <v>105</v>
      </c>
      <c r="E67" s="11">
        <v>105611</v>
      </c>
      <c r="F67" s="11">
        <v>0</v>
      </c>
      <c r="G67" s="11">
        <v>7278608</v>
      </c>
      <c r="H67" s="11">
        <v>7278608</v>
      </c>
      <c r="I67" s="11">
        <v>4475501</v>
      </c>
      <c r="J67" s="11">
        <v>5221869</v>
      </c>
      <c r="K67" s="11">
        <v>32099</v>
      </c>
      <c r="L67" s="11">
        <v>170440</v>
      </c>
      <c r="M67" s="11">
        <v>5424408</v>
      </c>
      <c r="N67" s="11">
        <v>1854200</v>
      </c>
      <c r="O67" s="12">
        <v>25.474651197042071</v>
      </c>
      <c r="P67" s="12">
        <v>42.377223963412902</v>
      </c>
      <c r="Q67" s="12">
        <v>49.444366590601355</v>
      </c>
      <c r="R67" s="13">
        <v>67.001249869805235</v>
      </c>
    </row>
    <row r="68" spans="1:18" x14ac:dyDescent="0.2">
      <c r="A68" s="9">
        <v>17</v>
      </c>
      <c r="B68" s="10" t="s">
        <v>162</v>
      </c>
      <c r="C68" s="10">
        <v>4014</v>
      </c>
      <c r="D68" s="10" t="s">
        <v>163</v>
      </c>
      <c r="E68" s="11">
        <v>52437</v>
      </c>
      <c r="F68" s="11">
        <v>210</v>
      </c>
      <c r="G68" s="11">
        <v>5027835</v>
      </c>
      <c r="H68" s="11">
        <v>5028045</v>
      </c>
      <c r="I68" s="11">
        <v>3272306</v>
      </c>
      <c r="J68" s="11">
        <v>4189974</v>
      </c>
      <c r="K68" s="11">
        <v>119976</v>
      </c>
      <c r="L68" s="11">
        <v>306462</v>
      </c>
      <c r="M68" s="11">
        <v>4616412</v>
      </c>
      <c r="N68" s="11">
        <v>411633</v>
      </c>
      <c r="O68" s="12">
        <v>8.186740572130919</v>
      </c>
      <c r="P68" s="12">
        <v>62.404523523466253</v>
      </c>
      <c r="Q68" s="12">
        <v>79.904914468791119</v>
      </c>
      <c r="R68" s="13">
        <v>87.754963098575431</v>
      </c>
    </row>
    <row r="69" spans="1:18" x14ac:dyDescent="0.2">
      <c r="A69" s="9"/>
      <c r="B69" s="10"/>
      <c r="C69" s="10"/>
      <c r="D69" s="10" t="s">
        <v>105</v>
      </c>
      <c r="E69" s="11">
        <v>52437</v>
      </c>
      <c r="F69" s="11">
        <v>210</v>
      </c>
      <c r="G69" s="11">
        <v>5027835</v>
      </c>
      <c r="H69" s="11">
        <v>5028045</v>
      </c>
      <c r="I69" s="11">
        <v>3272306</v>
      </c>
      <c r="J69" s="11">
        <v>4189974</v>
      </c>
      <c r="K69" s="11">
        <v>119976</v>
      </c>
      <c r="L69" s="11">
        <v>306462</v>
      </c>
      <c r="M69" s="11">
        <v>4616412</v>
      </c>
      <c r="N69" s="11">
        <v>411633</v>
      </c>
      <c r="O69" s="12">
        <v>8.186740572130919</v>
      </c>
      <c r="P69" s="12">
        <v>62.404523523466253</v>
      </c>
      <c r="Q69" s="12">
        <v>79.904914468791119</v>
      </c>
      <c r="R69" s="13">
        <v>87.754963098575431</v>
      </c>
    </row>
    <row r="70" spans="1:18" x14ac:dyDescent="0.2">
      <c r="A70" s="9">
        <v>18</v>
      </c>
      <c r="B70" s="10" t="s">
        <v>164</v>
      </c>
      <c r="C70" s="10">
        <v>7803</v>
      </c>
      <c r="D70" s="10" t="s">
        <v>5</v>
      </c>
      <c r="E70" s="11">
        <v>89813</v>
      </c>
      <c r="F70" s="11">
        <v>3350310</v>
      </c>
      <c r="G70" s="11">
        <v>7184538</v>
      </c>
      <c r="H70" s="11">
        <v>10534848</v>
      </c>
      <c r="I70" s="11">
        <v>6806773</v>
      </c>
      <c r="J70" s="11">
        <v>9519374</v>
      </c>
      <c r="K70" s="11">
        <v>273668</v>
      </c>
      <c r="L70" s="11">
        <v>62671</v>
      </c>
      <c r="M70" s="11">
        <v>9855713</v>
      </c>
      <c r="N70" s="11">
        <v>679135</v>
      </c>
      <c r="O70" s="12">
        <v>6.4465571786133031</v>
      </c>
      <c r="P70" s="12">
        <v>75.788282319931412</v>
      </c>
      <c r="Q70" s="12">
        <v>105.99104806653826</v>
      </c>
      <c r="R70" s="13">
        <v>113.55270395154376</v>
      </c>
    </row>
    <row r="71" spans="1:18" x14ac:dyDescent="0.2">
      <c r="A71" s="9"/>
      <c r="B71" s="10"/>
      <c r="C71" s="10"/>
      <c r="D71" s="10" t="s">
        <v>105</v>
      </c>
      <c r="E71" s="11">
        <v>89813</v>
      </c>
      <c r="F71" s="11">
        <v>3350310</v>
      </c>
      <c r="G71" s="11">
        <v>7184538</v>
      </c>
      <c r="H71" s="11">
        <v>10534848</v>
      </c>
      <c r="I71" s="11">
        <v>6806773</v>
      </c>
      <c r="J71" s="11">
        <v>9519374</v>
      </c>
      <c r="K71" s="11">
        <v>273668</v>
      </c>
      <c r="L71" s="11">
        <v>62671</v>
      </c>
      <c r="M71" s="11">
        <v>9855713</v>
      </c>
      <c r="N71" s="11">
        <v>679135</v>
      </c>
      <c r="O71" s="12">
        <v>6.4465571786133031</v>
      </c>
      <c r="P71" s="12">
        <v>75.788282319931412</v>
      </c>
      <c r="Q71" s="12">
        <v>105.99104806653826</v>
      </c>
      <c r="R71" s="13">
        <v>113.55270395154376</v>
      </c>
    </row>
    <row r="72" spans="1:18" x14ac:dyDescent="0.2">
      <c r="A72" s="9">
        <v>19</v>
      </c>
      <c r="B72" s="10" t="s">
        <v>165</v>
      </c>
      <c r="C72" s="10">
        <v>2177</v>
      </c>
      <c r="D72" s="10" t="s">
        <v>38</v>
      </c>
      <c r="E72" s="11">
        <v>85397</v>
      </c>
      <c r="F72" s="11">
        <v>2563330</v>
      </c>
      <c r="G72" s="11">
        <v>4721702</v>
      </c>
      <c r="H72" s="11">
        <v>7285032</v>
      </c>
      <c r="I72" s="11">
        <v>4455175</v>
      </c>
      <c r="J72" s="11">
        <v>6160370</v>
      </c>
      <c r="K72" s="11">
        <v>161799</v>
      </c>
      <c r="L72" s="11">
        <v>43098</v>
      </c>
      <c r="M72" s="11">
        <v>6365267</v>
      </c>
      <c r="N72" s="11">
        <v>919765</v>
      </c>
      <c r="O72" s="12">
        <v>12.625407822505103</v>
      </c>
      <c r="P72" s="12">
        <v>52.17015820227877</v>
      </c>
      <c r="Q72" s="12">
        <v>72.138014215956062</v>
      </c>
      <c r="R72" s="13">
        <v>82.908474536576222</v>
      </c>
    </row>
    <row r="73" spans="1:18" x14ac:dyDescent="0.2">
      <c r="A73" s="9"/>
      <c r="B73" s="10"/>
      <c r="C73" s="10"/>
      <c r="D73" s="10" t="s">
        <v>105</v>
      </c>
      <c r="E73" s="11">
        <v>85397</v>
      </c>
      <c r="F73" s="11">
        <v>2563330</v>
      </c>
      <c r="G73" s="11">
        <v>4721702</v>
      </c>
      <c r="H73" s="11">
        <v>7285032</v>
      </c>
      <c r="I73" s="11">
        <v>4455175</v>
      </c>
      <c r="J73" s="11">
        <v>6160370</v>
      </c>
      <c r="K73" s="11">
        <v>161799</v>
      </c>
      <c r="L73" s="11">
        <v>43098</v>
      </c>
      <c r="M73" s="11">
        <v>6365267</v>
      </c>
      <c r="N73" s="11">
        <v>919765</v>
      </c>
      <c r="O73" s="12">
        <v>12.625407822505103</v>
      </c>
      <c r="P73" s="12">
        <v>52.17015820227877</v>
      </c>
      <c r="Q73" s="12">
        <v>72.138014215956062</v>
      </c>
      <c r="R73" s="13">
        <v>82.908474536576222</v>
      </c>
    </row>
    <row r="74" spans="1:18" x14ac:dyDescent="0.2">
      <c r="A74" s="9">
        <v>20</v>
      </c>
      <c r="B74" s="10" t="s">
        <v>166</v>
      </c>
      <c r="C74" s="10">
        <v>4567</v>
      </c>
      <c r="D74" s="10" t="s">
        <v>167</v>
      </c>
      <c r="E74" s="11">
        <v>36506</v>
      </c>
      <c r="F74" s="11">
        <v>0</v>
      </c>
      <c r="G74" s="11">
        <v>3957076</v>
      </c>
      <c r="H74" s="11">
        <v>3957076</v>
      </c>
      <c r="I74" s="11">
        <v>1995198</v>
      </c>
      <c r="J74" s="11">
        <v>2950522</v>
      </c>
      <c r="K74" s="11">
        <v>334340</v>
      </c>
      <c r="L74" s="11">
        <v>0</v>
      </c>
      <c r="M74" s="11">
        <v>3284862</v>
      </c>
      <c r="N74" s="11">
        <v>672214</v>
      </c>
      <c r="O74" s="12">
        <v>16.98764441218718</v>
      </c>
      <c r="P74" s="12">
        <v>54.653974689092202</v>
      </c>
      <c r="Q74" s="12">
        <v>80.822933216457571</v>
      </c>
      <c r="R74" s="13">
        <v>99.236728209061525</v>
      </c>
    </row>
    <row r="75" spans="1:18" x14ac:dyDescent="0.2">
      <c r="A75" s="9"/>
      <c r="B75" s="10"/>
      <c r="C75" s="10"/>
      <c r="D75" s="10" t="s">
        <v>168</v>
      </c>
      <c r="E75" s="11">
        <v>21231</v>
      </c>
      <c r="F75" s="11">
        <v>426540</v>
      </c>
      <c r="G75" s="11">
        <v>1417594</v>
      </c>
      <c r="H75" s="11">
        <v>1844134</v>
      </c>
      <c r="I75" s="11">
        <v>1223576</v>
      </c>
      <c r="J75" s="11">
        <v>1525174</v>
      </c>
      <c r="K75" s="11">
        <v>74589</v>
      </c>
      <c r="L75" s="11">
        <v>21262</v>
      </c>
      <c r="M75" s="11">
        <v>1621025</v>
      </c>
      <c r="N75" s="11">
        <v>223109</v>
      </c>
      <c r="O75" s="12">
        <v>12.098307389810067</v>
      </c>
      <c r="P75" s="12">
        <v>57.631576468371719</v>
      </c>
      <c r="Q75" s="12">
        <v>71.837124958786674</v>
      </c>
      <c r="R75" s="13">
        <v>82.345767980782824</v>
      </c>
    </row>
    <row r="76" spans="1:18" x14ac:dyDescent="0.2">
      <c r="A76" s="9"/>
      <c r="B76" s="10"/>
      <c r="C76" s="10"/>
      <c r="D76" s="10" t="s">
        <v>105</v>
      </c>
      <c r="E76" s="11">
        <v>57737</v>
      </c>
      <c r="F76" s="11">
        <v>426540</v>
      </c>
      <c r="G76" s="11">
        <v>5374670</v>
      </c>
      <c r="H76" s="11">
        <v>5801210</v>
      </c>
      <c r="I76" s="11">
        <v>3218774</v>
      </c>
      <c r="J76" s="11">
        <v>4475696</v>
      </c>
      <c r="K76" s="11">
        <v>408929</v>
      </c>
      <c r="L76" s="11">
        <v>21262</v>
      </c>
      <c r="M76" s="11">
        <v>4905887</v>
      </c>
      <c r="N76" s="11">
        <v>895323</v>
      </c>
      <c r="O76" s="12">
        <v>15.433383725119414</v>
      </c>
      <c r="P76" s="12">
        <v>55.74889585534406</v>
      </c>
      <c r="Q76" s="12">
        <v>77.518679529591083</v>
      </c>
      <c r="R76" s="13">
        <v>93.025598836101636</v>
      </c>
    </row>
    <row r="77" spans="1:18" x14ac:dyDescent="0.2">
      <c r="A77" s="9">
        <v>21</v>
      </c>
      <c r="B77" s="10" t="s">
        <v>169</v>
      </c>
      <c r="C77" s="10">
        <v>2473</v>
      </c>
      <c r="D77" s="10" t="s">
        <v>66</v>
      </c>
      <c r="E77" s="11">
        <v>273177</v>
      </c>
      <c r="F77" s="11">
        <v>0</v>
      </c>
      <c r="G77" s="11">
        <v>23731634</v>
      </c>
      <c r="H77" s="11">
        <v>23731634</v>
      </c>
      <c r="I77" s="11">
        <v>11333640</v>
      </c>
      <c r="J77" s="11">
        <v>18552907</v>
      </c>
      <c r="K77" s="11">
        <v>1469207</v>
      </c>
      <c r="L77" s="11">
        <v>0</v>
      </c>
      <c r="M77" s="11">
        <v>20022114</v>
      </c>
      <c r="N77" s="11">
        <v>3709520</v>
      </c>
      <c r="O77" s="12">
        <v>15.631119205698182</v>
      </c>
      <c r="P77" s="12">
        <v>41.488265849613988</v>
      </c>
      <c r="Q77" s="12">
        <v>67.915333282084504</v>
      </c>
      <c r="R77" s="13">
        <v>81.494514545514448</v>
      </c>
    </row>
    <row r="78" spans="1:18" x14ac:dyDescent="0.2">
      <c r="A78" s="9"/>
      <c r="B78" s="10"/>
      <c r="C78" s="10"/>
      <c r="D78" s="10" t="s">
        <v>105</v>
      </c>
      <c r="E78" s="11">
        <v>273177</v>
      </c>
      <c r="F78" s="11">
        <v>0</v>
      </c>
      <c r="G78" s="11">
        <v>23731634</v>
      </c>
      <c r="H78" s="11">
        <v>23731634</v>
      </c>
      <c r="I78" s="11">
        <v>11333640</v>
      </c>
      <c r="J78" s="11">
        <v>18552907</v>
      </c>
      <c r="K78" s="11">
        <v>1469207</v>
      </c>
      <c r="L78" s="11">
        <v>0</v>
      </c>
      <c r="M78" s="11">
        <v>20022114</v>
      </c>
      <c r="N78" s="11">
        <v>3709520</v>
      </c>
      <c r="O78" s="12">
        <v>15.631119205698182</v>
      </c>
      <c r="P78" s="12">
        <v>41.488265849613988</v>
      </c>
      <c r="Q78" s="12">
        <v>67.915333282084504</v>
      </c>
      <c r="R78" s="13">
        <v>81.494514545514448</v>
      </c>
    </row>
    <row r="79" spans="1:18" x14ac:dyDescent="0.2">
      <c r="A79" s="9">
        <v>22</v>
      </c>
      <c r="B79" s="10" t="s">
        <v>170</v>
      </c>
      <c r="C79" s="10">
        <v>4762</v>
      </c>
      <c r="D79" s="10" t="s">
        <v>171</v>
      </c>
      <c r="E79" s="11">
        <v>71642</v>
      </c>
      <c r="F79" s="11">
        <v>0</v>
      </c>
      <c r="G79" s="11">
        <v>5283303</v>
      </c>
      <c r="H79" s="11">
        <v>5283303</v>
      </c>
      <c r="I79" s="11">
        <v>3222803</v>
      </c>
      <c r="J79" s="11">
        <v>4293729</v>
      </c>
      <c r="K79" s="11">
        <v>198668</v>
      </c>
      <c r="L79" s="11">
        <v>2342</v>
      </c>
      <c r="M79" s="11">
        <v>4494739</v>
      </c>
      <c r="N79" s="11">
        <v>788564</v>
      </c>
      <c r="O79" s="12">
        <v>14.925587269933221</v>
      </c>
      <c r="P79" s="12">
        <v>44.984827335920272</v>
      </c>
      <c r="Q79" s="12">
        <v>59.933125820049689</v>
      </c>
      <c r="R79" s="13">
        <v>70.940132882945761</v>
      </c>
    </row>
    <row r="80" spans="1:18" x14ac:dyDescent="0.2">
      <c r="A80" s="9"/>
      <c r="B80" s="10"/>
      <c r="C80" s="10"/>
      <c r="D80" s="10" t="s">
        <v>105</v>
      </c>
      <c r="E80" s="11">
        <v>71642</v>
      </c>
      <c r="F80" s="11">
        <v>0</v>
      </c>
      <c r="G80" s="11">
        <v>5283303</v>
      </c>
      <c r="H80" s="11">
        <v>5283303</v>
      </c>
      <c r="I80" s="11">
        <v>3222803</v>
      </c>
      <c r="J80" s="11">
        <v>4293729</v>
      </c>
      <c r="K80" s="11">
        <v>198668</v>
      </c>
      <c r="L80" s="11">
        <v>2342</v>
      </c>
      <c r="M80" s="11">
        <v>4494739</v>
      </c>
      <c r="N80" s="11">
        <v>788564</v>
      </c>
      <c r="O80" s="12">
        <v>14.925587269933221</v>
      </c>
      <c r="P80" s="12">
        <v>44.984827335920272</v>
      </c>
      <c r="Q80" s="12">
        <v>59.933125820049689</v>
      </c>
      <c r="R80" s="13">
        <v>70.940132882945761</v>
      </c>
    </row>
    <row r="81" spans="1:18" x14ac:dyDescent="0.2">
      <c r="A81" s="9">
        <v>23</v>
      </c>
      <c r="B81" s="10" t="s">
        <v>172</v>
      </c>
      <c r="C81" s="10">
        <v>4919</v>
      </c>
      <c r="D81" s="10" t="s">
        <v>173</v>
      </c>
      <c r="E81" s="11">
        <v>85426</v>
      </c>
      <c r="F81" s="11">
        <v>0</v>
      </c>
      <c r="G81" s="11">
        <v>6467671</v>
      </c>
      <c r="H81" s="11">
        <v>6467671</v>
      </c>
      <c r="I81" s="11">
        <v>4389689</v>
      </c>
      <c r="J81" s="11">
        <v>5895731</v>
      </c>
      <c r="K81" s="11">
        <v>0</v>
      </c>
      <c r="L81" s="11">
        <v>0</v>
      </c>
      <c r="M81" s="11">
        <v>5895731</v>
      </c>
      <c r="N81" s="11">
        <v>571940</v>
      </c>
      <c r="O81" s="12">
        <v>8.8430595804888661</v>
      </c>
      <c r="P81" s="12">
        <v>51.385866129749722</v>
      </c>
      <c r="Q81" s="12">
        <v>69.015650972771752</v>
      </c>
      <c r="R81" s="13">
        <v>75.710802331842771</v>
      </c>
    </row>
    <row r="82" spans="1:18" x14ac:dyDescent="0.2">
      <c r="A82" s="9"/>
      <c r="B82" s="10"/>
      <c r="C82" s="10"/>
      <c r="D82" s="10" t="s">
        <v>105</v>
      </c>
      <c r="E82" s="11">
        <v>85426</v>
      </c>
      <c r="F82" s="11">
        <v>0</v>
      </c>
      <c r="G82" s="11">
        <v>6467671</v>
      </c>
      <c r="H82" s="11">
        <v>6467671</v>
      </c>
      <c r="I82" s="11">
        <v>4389689</v>
      </c>
      <c r="J82" s="11">
        <v>5895731</v>
      </c>
      <c r="K82" s="11">
        <v>0</v>
      </c>
      <c r="L82" s="11">
        <v>0</v>
      </c>
      <c r="M82" s="11">
        <v>5895731</v>
      </c>
      <c r="N82" s="11">
        <v>571940</v>
      </c>
      <c r="O82" s="12">
        <v>8.8430595804888661</v>
      </c>
      <c r="P82" s="12">
        <v>51.385866129749722</v>
      </c>
      <c r="Q82" s="12">
        <v>69.015650972771752</v>
      </c>
      <c r="R82" s="13">
        <v>75.710802331842771</v>
      </c>
    </row>
    <row r="83" spans="1:18" x14ac:dyDescent="0.2">
      <c r="A83" s="9">
        <v>24</v>
      </c>
      <c r="B83" s="10" t="s">
        <v>174</v>
      </c>
      <c r="C83" s="10">
        <v>5316</v>
      </c>
      <c r="D83" s="10" t="s">
        <v>63</v>
      </c>
      <c r="E83" s="11">
        <v>196978</v>
      </c>
      <c r="F83" s="11">
        <v>7116560</v>
      </c>
      <c r="G83" s="11">
        <v>9493012</v>
      </c>
      <c r="H83" s="11">
        <v>16609572</v>
      </c>
      <c r="I83" s="11">
        <v>10345115</v>
      </c>
      <c r="J83" s="11">
        <v>13900249</v>
      </c>
      <c r="K83" s="11">
        <v>1216424</v>
      </c>
      <c r="L83" s="11">
        <v>5327</v>
      </c>
      <c r="M83" s="11">
        <v>15122000</v>
      </c>
      <c r="N83" s="11">
        <v>1487572</v>
      </c>
      <c r="O83" s="12">
        <v>8.9561127764159121</v>
      </c>
      <c r="P83" s="12">
        <v>52.519139193209391</v>
      </c>
      <c r="Q83" s="12">
        <v>70.567520230685659</v>
      </c>
      <c r="R83" s="13">
        <v>78.119490501477316</v>
      </c>
    </row>
    <row r="84" spans="1:18" x14ac:dyDescent="0.2">
      <c r="A84" s="9"/>
      <c r="B84" s="10"/>
      <c r="C84" s="10"/>
      <c r="D84" s="10" t="s">
        <v>105</v>
      </c>
      <c r="E84" s="11">
        <v>196978</v>
      </c>
      <c r="F84" s="11">
        <v>7116560</v>
      </c>
      <c r="G84" s="11">
        <v>9493012</v>
      </c>
      <c r="H84" s="11">
        <v>16609572</v>
      </c>
      <c r="I84" s="11">
        <v>10345115</v>
      </c>
      <c r="J84" s="11">
        <v>13900249</v>
      </c>
      <c r="K84" s="11">
        <v>1216424</v>
      </c>
      <c r="L84" s="11">
        <v>5327</v>
      </c>
      <c r="M84" s="11">
        <v>15122000</v>
      </c>
      <c r="N84" s="11">
        <v>1487572</v>
      </c>
      <c r="O84" s="12">
        <v>8.9561127764159121</v>
      </c>
      <c r="P84" s="12">
        <v>52.519139193209391</v>
      </c>
      <c r="Q84" s="12">
        <v>70.567520230685659</v>
      </c>
      <c r="R84" s="13">
        <v>78.119490501477316</v>
      </c>
    </row>
    <row r="85" spans="1:18" x14ac:dyDescent="0.2">
      <c r="A85" s="9">
        <v>25</v>
      </c>
      <c r="B85" s="10" t="s">
        <v>175</v>
      </c>
      <c r="C85" s="10">
        <v>2586</v>
      </c>
      <c r="D85" s="10" t="s">
        <v>176</v>
      </c>
      <c r="E85" s="11">
        <v>50597</v>
      </c>
      <c r="F85" s="11">
        <v>0</v>
      </c>
      <c r="G85" s="11">
        <v>3436005</v>
      </c>
      <c r="H85" s="11">
        <v>3436005</v>
      </c>
      <c r="I85" s="11">
        <v>2189977</v>
      </c>
      <c r="J85" s="11">
        <v>2843957</v>
      </c>
      <c r="K85" s="11">
        <v>26049</v>
      </c>
      <c r="L85" s="11">
        <v>3993</v>
      </c>
      <c r="M85" s="11">
        <v>2873999</v>
      </c>
      <c r="N85" s="11">
        <v>562006</v>
      </c>
      <c r="O85" s="12">
        <v>16.356378992463632</v>
      </c>
      <c r="P85" s="12">
        <v>43.282744036207681</v>
      </c>
      <c r="Q85" s="12">
        <v>56.208016285550528</v>
      </c>
      <c r="R85" s="13">
        <v>67.315512777437391</v>
      </c>
    </row>
    <row r="86" spans="1:18" x14ac:dyDescent="0.2">
      <c r="A86" s="9"/>
      <c r="B86" s="10"/>
      <c r="C86" s="10"/>
      <c r="D86" s="10" t="s">
        <v>177</v>
      </c>
      <c r="E86" s="11">
        <v>17141</v>
      </c>
      <c r="F86" s="11">
        <v>0</v>
      </c>
      <c r="G86" s="11">
        <v>1443250</v>
      </c>
      <c r="H86" s="11">
        <v>1443250</v>
      </c>
      <c r="I86" s="11">
        <v>995437</v>
      </c>
      <c r="J86" s="11">
        <v>1150259</v>
      </c>
      <c r="K86" s="11">
        <v>43034</v>
      </c>
      <c r="L86" s="11">
        <v>14227</v>
      </c>
      <c r="M86" s="11">
        <v>1207520</v>
      </c>
      <c r="N86" s="11">
        <v>235730</v>
      </c>
      <c r="O86" s="12">
        <v>16.333275593279055</v>
      </c>
      <c r="P86" s="12">
        <v>58.073449623709237</v>
      </c>
      <c r="Q86" s="12">
        <v>67.105711452073976</v>
      </c>
      <c r="R86" s="13">
        <v>80.858117962779303</v>
      </c>
    </row>
    <row r="87" spans="1:18" x14ac:dyDescent="0.2">
      <c r="A87" s="9"/>
      <c r="B87" s="10"/>
      <c r="C87" s="10"/>
      <c r="D87" s="10" t="s">
        <v>178</v>
      </c>
      <c r="E87" s="11">
        <v>9000</v>
      </c>
      <c r="F87" s="11">
        <v>0</v>
      </c>
      <c r="G87" s="11">
        <v>496231</v>
      </c>
      <c r="H87" s="11">
        <v>496231</v>
      </c>
      <c r="I87" s="11">
        <v>328312</v>
      </c>
      <c r="J87" s="11">
        <v>402093</v>
      </c>
      <c r="K87" s="11">
        <v>0</v>
      </c>
      <c r="L87" s="11">
        <v>0</v>
      </c>
      <c r="M87" s="11">
        <v>402093</v>
      </c>
      <c r="N87" s="11">
        <v>94138</v>
      </c>
      <c r="O87" s="12">
        <v>18.970600385707463</v>
      </c>
      <c r="P87" s="12">
        <v>36.479111111111109</v>
      </c>
      <c r="Q87" s="12">
        <v>44.677</v>
      </c>
      <c r="R87" s="13">
        <v>55.13677777777778</v>
      </c>
    </row>
    <row r="88" spans="1:18" x14ac:dyDescent="0.2">
      <c r="A88" s="9"/>
      <c r="B88" s="10"/>
      <c r="C88" s="10"/>
      <c r="D88" s="10" t="s">
        <v>179</v>
      </c>
      <c r="E88" s="11">
        <v>2000</v>
      </c>
      <c r="F88" s="11">
        <v>0</v>
      </c>
      <c r="G88" s="11">
        <v>149332</v>
      </c>
      <c r="H88" s="11">
        <v>149332</v>
      </c>
      <c r="I88" s="11">
        <v>104684</v>
      </c>
      <c r="J88" s="11">
        <v>109126</v>
      </c>
      <c r="K88" s="11">
        <v>0</v>
      </c>
      <c r="L88" s="11">
        <v>1445</v>
      </c>
      <c r="M88" s="11">
        <v>110571</v>
      </c>
      <c r="N88" s="11">
        <v>38761</v>
      </c>
      <c r="O88" s="12">
        <v>25.956258538022659</v>
      </c>
      <c r="P88" s="12">
        <v>52.341999999999999</v>
      </c>
      <c r="Q88" s="12">
        <v>54.563000000000002</v>
      </c>
      <c r="R88" s="13">
        <v>73.9435</v>
      </c>
    </row>
    <row r="89" spans="1:18" x14ac:dyDescent="0.2">
      <c r="A89" s="9"/>
      <c r="B89" s="10"/>
      <c r="C89" s="10"/>
      <c r="D89" s="10" t="s">
        <v>180</v>
      </c>
      <c r="E89" s="11">
        <v>2100</v>
      </c>
      <c r="F89" s="11">
        <v>0</v>
      </c>
      <c r="G89" s="11">
        <v>221890</v>
      </c>
      <c r="H89" s="11">
        <v>221890</v>
      </c>
      <c r="I89" s="11">
        <v>108532</v>
      </c>
      <c r="J89" s="11">
        <v>168481</v>
      </c>
      <c r="K89" s="11">
        <v>0</v>
      </c>
      <c r="L89" s="11">
        <v>106</v>
      </c>
      <c r="M89" s="11">
        <v>168587</v>
      </c>
      <c r="N89" s="11">
        <v>53303</v>
      </c>
      <c r="O89" s="12">
        <v>24.022263283608996</v>
      </c>
      <c r="P89" s="12">
        <v>51.681904761904761</v>
      </c>
      <c r="Q89" s="12">
        <v>80.22904761904762</v>
      </c>
      <c r="R89" s="13">
        <v>105.61142857142858</v>
      </c>
    </row>
    <row r="90" spans="1:18" x14ac:dyDescent="0.2">
      <c r="A90" s="9"/>
      <c r="B90" s="10"/>
      <c r="C90" s="10"/>
      <c r="D90" s="10" t="s">
        <v>181</v>
      </c>
      <c r="E90" s="11">
        <v>37805</v>
      </c>
      <c r="F90" s="11">
        <v>0</v>
      </c>
      <c r="G90" s="11">
        <v>2753292</v>
      </c>
      <c r="H90" s="11">
        <v>2753292</v>
      </c>
      <c r="I90" s="11">
        <v>1818316</v>
      </c>
      <c r="J90" s="11">
        <v>2088587</v>
      </c>
      <c r="K90" s="11">
        <v>45540</v>
      </c>
      <c r="L90" s="11">
        <v>0</v>
      </c>
      <c r="M90" s="11">
        <v>2134127</v>
      </c>
      <c r="N90" s="11">
        <v>619165</v>
      </c>
      <c r="O90" s="12">
        <v>22.48817052459383</v>
      </c>
      <c r="P90" s="12">
        <v>48.097235815368336</v>
      </c>
      <c r="Q90" s="12">
        <v>55.246316624785081</v>
      </c>
      <c r="R90" s="13">
        <v>71.624176696204202</v>
      </c>
    </row>
    <row r="91" spans="1:18" x14ac:dyDescent="0.2">
      <c r="A91" s="9"/>
      <c r="B91" s="10"/>
      <c r="C91" s="10"/>
      <c r="D91" s="10" t="s">
        <v>105</v>
      </c>
      <c r="E91" s="11">
        <v>118643</v>
      </c>
      <c r="F91" s="11">
        <v>0</v>
      </c>
      <c r="G91" s="11">
        <v>8500000</v>
      </c>
      <c r="H91" s="11">
        <v>8500000</v>
      </c>
      <c r="I91" s="11">
        <v>5545258</v>
      </c>
      <c r="J91" s="11">
        <v>6762503</v>
      </c>
      <c r="K91" s="11">
        <v>114623</v>
      </c>
      <c r="L91" s="11">
        <v>19771</v>
      </c>
      <c r="M91" s="11">
        <v>6896897</v>
      </c>
      <c r="N91" s="11">
        <v>1603103</v>
      </c>
      <c r="O91" s="12">
        <v>18.860035294117647</v>
      </c>
      <c r="P91" s="12">
        <v>46.739023794071286</v>
      </c>
      <c r="Q91" s="12">
        <v>56.998752560201616</v>
      </c>
      <c r="R91" s="13">
        <v>70.510742310966506</v>
      </c>
    </row>
    <row r="92" spans="1:18" x14ac:dyDescent="0.2">
      <c r="A92" s="9">
        <v>26</v>
      </c>
      <c r="B92" s="10" t="s">
        <v>182</v>
      </c>
      <c r="C92" s="10">
        <v>1224</v>
      </c>
      <c r="D92" s="10" t="s">
        <v>183</v>
      </c>
      <c r="E92" s="11">
        <v>47397</v>
      </c>
      <c r="F92" s="11">
        <v>0</v>
      </c>
      <c r="G92" s="11">
        <v>3624682</v>
      </c>
      <c r="H92" s="11">
        <v>3624682</v>
      </c>
      <c r="I92" s="11">
        <v>2064787</v>
      </c>
      <c r="J92" s="11">
        <v>2942338</v>
      </c>
      <c r="K92" s="11">
        <v>312961</v>
      </c>
      <c r="L92" s="11">
        <v>103673</v>
      </c>
      <c r="M92" s="11">
        <v>3358972</v>
      </c>
      <c r="N92" s="11">
        <v>265710</v>
      </c>
      <c r="O92" s="12">
        <v>7.3305741027764642</v>
      </c>
      <c r="P92" s="12">
        <v>43.563664366943058</v>
      </c>
      <c r="Q92" s="12">
        <v>62.07857037365234</v>
      </c>
      <c r="R92" s="13">
        <v>67.684621389539416</v>
      </c>
    </row>
    <row r="93" spans="1:18" x14ac:dyDescent="0.2">
      <c r="A93" s="9"/>
      <c r="B93" s="10"/>
      <c r="C93" s="10"/>
      <c r="D93" s="10" t="s">
        <v>105</v>
      </c>
      <c r="E93" s="11">
        <v>47397</v>
      </c>
      <c r="F93" s="11">
        <v>0</v>
      </c>
      <c r="G93" s="11">
        <v>3624682</v>
      </c>
      <c r="H93" s="11">
        <v>3624682</v>
      </c>
      <c r="I93" s="11">
        <v>2064787</v>
      </c>
      <c r="J93" s="11">
        <v>2942338</v>
      </c>
      <c r="K93" s="11">
        <v>312961</v>
      </c>
      <c r="L93" s="11">
        <v>103673</v>
      </c>
      <c r="M93" s="11">
        <v>3358972</v>
      </c>
      <c r="N93" s="11">
        <v>265710</v>
      </c>
      <c r="O93" s="12">
        <v>7.3305741027764642</v>
      </c>
      <c r="P93" s="12">
        <v>43.563664366943058</v>
      </c>
      <c r="Q93" s="12">
        <v>62.07857037365234</v>
      </c>
      <c r="R93" s="13">
        <v>67.684621389539416</v>
      </c>
    </row>
    <row r="94" spans="1:18" x14ac:dyDescent="0.2">
      <c r="A94" s="9">
        <v>27</v>
      </c>
      <c r="B94" s="10" t="s">
        <v>184</v>
      </c>
      <c r="C94" s="10">
        <v>5243</v>
      </c>
      <c r="D94" s="10" t="s">
        <v>185</v>
      </c>
      <c r="E94" s="11">
        <v>44779</v>
      </c>
      <c r="F94" s="11">
        <v>2154220</v>
      </c>
      <c r="G94" s="11">
        <v>1614125</v>
      </c>
      <c r="H94" s="11">
        <v>3768345</v>
      </c>
      <c r="I94" s="11">
        <v>2437406</v>
      </c>
      <c r="J94" s="11">
        <v>3420370</v>
      </c>
      <c r="K94" s="11">
        <v>127220</v>
      </c>
      <c r="L94" s="11">
        <v>5389</v>
      </c>
      <c r="M94" s="11">
        <v>3552979</v>
      </c>
      <c r="N94" s="11">
        <v>215366</v>
      </c>
      <c r="O94" s="12">
        <v>5.7151348934346506</v>
      </c>
      <c r="P94" s="12">
        <v>54.431898881171975</v>
      </c>
      <c r="Q94" s="12">
        <v>76.383349337859258</v>
      </c>
      <c r="R94" s="13">
        <v>81.192880591348626</v>
      </c>
    </row>
    <row r="95" spans="1:18" x14ac:dyDescent="0.2">
      <c r="A95" s="9"/>
      <c r="B95" s="10"/>
      <c r="C95" s="10"/>
      <c r="D95" s="10" t="s">
        <v>186</v>
      </c>
      <c r="E95" s="11">
        <v>11187</v>
      </c>
      <c r="F95" s="11">
        <v>0</v>
      </c>
      <c r="G95" s="11">
        <v>975501</v>
      </c>
      <c r="H95" s="11">
        <v>975501</v>
      </c>
      <c r="I95" s="11">
        <v>690435</v>
      </c>
      <c r="J95" s="11">
        <v>878844</v>
      </c>
      <c r="K95" s="11">
        <v>0</v>
      </c>
      <c r="L95" s="11">
        <v>978</v>
      </c>
      <c r="M95" s="11">
        <v>879822</v>
      </c>
      <c r="N95" s="11">
        <v>95679</v>
      </c>
      <c r="O95" s="12">
        <v>9.808190868077018</v>
      </c>
      <c r="P95" s="12">
        <v>61.717618664521318</v>
      </c>
      <c r="Q95" s="12">
        <v>78.559399302762131</v>
      </c>
      <c r="R95" s="13">
        <v>87.112094395280238</v>
      </c>
    </row>
    <row r="96" spans="1:18" x14ac:dyDescent="0.2">
      <c r="A96" s="9"/>
      <c r="B96" s="10"/>
      <c r="C96" s="10"/>
      <c r="D96" s="10" t="s">
        <v>187</v>
      </c>
      <c r="E96" s="11">
        <v>10718</v>
      </c>
      <c r="F96" s="11">
        <v>0</v>
      </c>
      <c r="G96" s="11">
        <v>904879</v>
      </c>
      <c r="H96" s="11">
        <v>904879</v>
      </c>
      <c r="I96" s="11">
        <v>602434</v>
      </c>
      <c r="J96" s="11">
        <v>800618</v>
      </c>
      <c r="K96" s="11">
        <v>11175</v>
      </c>
      <c r="L96" s="11">
        <v>0</v>
      </c>
      <c r="M96" s="11">
        <v>811793</v>
      </c>
      <c r="N96" s="11">
        <v>93086</v>
      </c>
      <c r="O96" s="12">
        <v>10.287121261516734</v>
      </c>
      <c r="P96" s="12">
        <v>56.207688001492819</v>
      </c>
      <c r="Q96" s="12">
        <v>74.698451203582763</v>
      </c>
      <c r="R96" s="13">
        <v>83.383467064750889</v>
      </c>
    </row>
    <row r="97" spans="1:18" x14ac:dyDescent="0.2">
      <c r="A97" s="9"/>
      <c r="B97" s="10"/>
      <c r="C97" s="10"/>
      <c r="D97" s="10" t="s">
        <v>105</v>
      </c>
      <c r="E97" s="11">
        <v>66684</v>
      </c>
      <c r="F97" s="11">
        <v>2154220</v>
      </c>
      <c r="G97" s="11">
        <v>3494505</v>
      </c>
      <c r="H97" s="11">
        <v>5648725</v>
      </c>
      <c r="I97" s="11">
        <v>3730275</v>
      </c>
      <c r="J97" s="11">
        <v>5099832</v>
      </c>
      <c r="K97" s="11">
        <v>138395</v>
      </c>
      <c r="L97" s="11">
        <v>6367</v>
      </c>
      <c r="M97" s="11">
        <v>5244594</v>
      </c>
      <c r="N97" s="11">
        <v>404131</v>
      </c>
      <c r="O97" s="12">
        <v>7.1543755449238553</v>
      </c>
      <c r="P97" s="12">
        <v>55.939580709015658</v>
      </c>
      <c r="Q97" s="12">
        <v>76.477595825085473</v>
      </c>
      <c r="R97" s="13">
        <v>82.537985123867799</v>
      </c>
    </row>
    <row r="98" spans="1:18" x14ac:dyDescent="0.2">
      <c r="A98" s="9">
        <v>28</v>
      </c>
      <c r="B98" s="10" t="s">
        <v>188</v>
      </c>
      <c r="C98" s="10">
        <v>3043</v>
      </c>
      <c r="D98" s="10" t="s">
        <v>189</v>
      </c>
      <c r="E98" s="11">
        <v>38591</v>
      </c>
      <c r="F98" s="11">
        <v>0</v>
      </c>
      <c r="G98" s="11">
        <v>2951636</v>
      </c>
      <c r="H98" s="11">
        <v>2951636</v>
      </c>
      <c r="I98" s="11">
        <v>1937071</v>
      </c>
      <c r="J98" s="11">
        <v>2561273</v>
      </c>
      <c r="K98" s="11">
        <v>119080</v>
      </c>
      <c r="L98" s="11">
        <v>7354</v>
      </c>
      <c r="M98" s="11">
        <v>2687707</v>
      </c>
      <c r="N98" s="11">
        <v>263929</v>
      </c>
      <c r="O98" s="12">
        <v>8.9417868598973591</v>
      </c>
      <c r="P98" s="12">
        <v>50.194890000259129</v>
      </c>
      <c r="Q98" s="12">
        <v>66.369697597885519</v>
      </c>
      <c r="R98" s="13">
        <v>73.208831074602884</v>
      </c>
    </row>
    <row r="99" spans="1:18" x14ac:dyDescent="0.2">
      <c r="A99" s="9"/>
      <c r="B99" s="10"/>
      <c r="C99" s="10"/>
      <c r="D99" s="10" t="s">
        <v>105</v>
      </c>
      <c r="E99" s="11">
        <v>38591</v>
      </c>
      <c r="F99" s="11">
        <v>0</v>
      </c>
      <c r="G99" s="11">
        <v>2951636</v>
      </c>
      <c r="H99" s="11">
        <v>2951636</v>
      </c>
      <c r="I99" s="11">
        <v>1937071</v>
      </c>
      <c r="J99" s="11">
        <v>2561273</v>
      </c>
      <c r="K99" s="11">
        <v>119080</v>
      </c>
      <c r="L99" s="11">
        <v>7354</v>
      </c>
      <c r="M99" s="11">
        <v>2687707</v>
      </c>
      <c r="N99" s="11">
        <v>263929</v>
      </c>
      <c r="O99" s="12">
        <v>8.9417868598973591</v>
      </c>
      <c r="P99" s="12">
        <v>50.194890000259129</v>
      </c>
      <c r="Q99" s="12">
        <v>66.369697597885519</v>
      </c>
      <c r="R99" s="13">
        <v>73.208831074602884</v>
      </c>
    </row>
    <row r="100" spans="1:18" x14ac:dyDescent="0.2">
      <c r="A100" s="9">
        <v>29</v>
      </c>
      <c r="B100" s="10" t="s">
        <v>190</v>
      </c>
      <c r="C100" s="10">
        <v>7315</v>
      </c>
      <c r="D100" s="10" t="s">
        <v>191</v>
      </c>
      <c r="E100" s="11">
        <v>49352</v>
      </c>
      <c r="F100" s="11">
        <v>0</v>
      </c>
      <c r="G100" s="11">
        <v>7841386</v>
      </c>
      <c r="H100" s="11">
        <v>7841386</v>
      </c>
      <c r="I100" s="11">
        <v>2201899</v>
      </c>
      <c r="J100" s="11">
        <v>3302783</v>
      </c>
      <c r="K100" s="11">
        <v>4140294</v>
      </c>
      <c r="L100" s="11">
        <v>0</v>
      </c>
      <c r="M100" s="11">
        <v>7443077</v>
      </c>
      <c r="N100" s="11">
        <v>398309</v>
      </c>
      <c r="O100" s="12">
        <v>5.0795739426677891</v>
      </c>
      <c r="P100" s="12">
        <v>44.616206030150757</v>
      </c>
      <c r="Q100" s="12">
        <v>66.922981844707408</v>
      </c>
      <c r="R100" s="13">
        <v>74.993759118171496</v>
      </c>
    </row>
    <row r="101" spans="1:18" x14ac:dyDescent="0.2">
      <c r="A101" s="9"/>
      <c r="B101" s="10"/>
      <c r="C101" s="10"/>
      <c r="D101" s="10" t="s">
        <v>105</v>
      </c>
      <c r="E101" s="11">
        <v>49352</v>
      </c>
      <c r="F101" s="11">
        <v>0</v>
      </c>
      <c r="G101" s="11">
        <v>7841386</v>
      </c>
      <c r="H101" s="11">
        <v>7841386</v>
      </c>
      <c r="I101" s="11">
        <v>2201899</v>
      </c>
      <c r="J101" s="11">
        <v>3302783</v>
      </c>
      <c r="K101" s="11">
        <v>4140294</v>
      </c>
      <c r="L101" s="11">
        <v>0</v>
      </c>
      <c r="M101" s="11">
        <v>7443077</v>
      </c>
      <c r="N101" s="11">
        <v>398309</v>
      </c>
      <c r="O101" s="12">
        <v>5.0795739426677891</v>
      </c>
      <c r="P101" s="12">
        <v>44.616206030150757</v>
      </c>
      <c r="Q101" s="12">
        <v>66.922981844707408</v>
      </c>
      <c r="R101" s="13">
        <v>74.993759118171496</v>
      </c>
    </row>
    <row r="102" spans="1:18" x14ac:dyDescent="0.2">
      <c r="A102" s="9">
        <v>30</v>
      </c>
      <c r="B102" s="10" t="s">
        <v>192</v>
      </c>
      <c r="C102" s="10">
        <v>6647</v>
      </c>
      <c r="D102" s="10" t="s">
        <v>193</v>
      </c>
      <c r="E102" s="11">
        <v>58690</v>
      </c>
      <c r="F102" s="11">
        <v>0</v>
      </c>
      <c r="G102" s="11">
        <v>3202346</v>
      </c>
      <c r="H102" s="11">
        <v>3202346</v>
      </c>
      <c r="I102" s="11">
        <v>2099346</v>
      </c>
      <c r="J102" s="11">
        <v>2438872</v>
      </c>
      <c r="K102" s="11">
        <v>81478</v>
      </c>
      <c r="L102" s="11">
        <v>39540</v>
      </c>
      <c r="M102" s="11">
        <v>2559890</v>
      </c>
      <c r="N102" s="11">
        <v>642456</v>
      </c>
      <c r="O102" s="12">
        <v>20.062042015447425</v>
      </c>
      <c r="P102" s="12">
        <v>35.77008008178565</v>
      </c>
      <c r="Q102" s="12">
        <v>41.555154200034075</v>
      </c>
      <c r="R102" s="13">
        <v>52.501754983813257</v>
      </c>
    </row>
    <row r="103" spans="1:18" x14ac:dyDescent="0.2">
      <c r="A103" s="9"/>
      <c r="B103" s="10"/>
      <c r="C103" s="10"/>
      <c r="D103" s="10" t="s">
        <v>105</v>
      </c>
      <c r="E103" s="11">
        <v>58690</v>
      </c>
      <c r="F103" s="11">
        <v>0</v>
      </c>
      <c r="G103" s="11">
        <v>3202346</v>
      </c>
      <c r="H103" s="11">
        <v>3202346</v>
      </c>
      <c r="I103" s="11">
        <v>2099346</v>
      </c>
      <c r="J103" s="11">
        <v>2438872</v>
      </c>
      <c r="K103" s="11">
        <v>81478</v>
      </c>
      <c r="L103" s="11">
        <v>39540</v>
      </c>
      <c r="M103" s="11">
        <v>2559890</v>
      </c>
      <c r="N103" s="11">
        <v>642456</v>
      </c>
      <c r="O103" s="12">
        <v>20.062042015447425</v>
      </c>
      <c r="P103" s="12">
        <v>35.77008008178565</v>
      </c>
      <c r="Q103" s="12">
        <v>41.555154200034075</v>
      </c>
      <c r="R103" s="13">
        <v>52.501754983813257</v>
      </c>
    </row>
    <row r="104" spans="1:18" x14ac:dyDescent="0.2">
      <c r="A104" s="9">
        <v>31</v>
      </c>
      <c r="B104" s="10" t="s">
        <v>194</v>
      </c>
      <c r="C104" s="10">
        <v>7970</v>
      </c>
      <c r="D104" s="10" t="s">
        <v>195</v>
      </c>
      <c r="E104" s="11">
        <v>149594</v>
      </c>
      <c r="F104" s="11">
        <v>4302320</v>
      </c>
      <c r="G104" s="11">
        <v>7958140</v>
      </c>
      <c r="H104" s="11">
        <v>12260460</v>
      </c>
      <c r="I104" s="11">
        <v>8647736</v>
      </c>
      <c r="J104" s="11">
        <v>11440092</v>
      </c>
      <c r="K104" s="11">
        <v>214875</v>
      </c>
      <c r="L104" s="11">
        <v>0</v>
      </c>
      <c r="M104" s="11">
        <v>11654967</v>
      </c>
      <c r="N104" s="11">
        <v>605493</v>
      </c>
      <c r="O104" s="12">
        <v>4.93858305479566</v>
      </c>
      <c r="P104" s="12">
        <v>57.808040429428985</v>
      </c>
      <c r="Q104" s="12">
        <v>76.47427035843684</v>
      </c>
      <c r="R104" s="13">
        <v>80.521845795954377</v>
      </c>
    </row>
    <row r="105" spans="1:18" x14ac:dyDescent="0.2">
      <c r="A105" s="9"/>
      <c r="B105" s="10"/>
      <c r="C105" s="10"/>
      <c r="D105" s="10" t="s">
        <v>105</v>
      </c>
      <c r="E105" s="11">
        <v>149594</v>
      </c>
      <c r="F105" s="11">
        <v>4302320</v>
      </c>
      <c r="G105" s="11">
        <v>7958140</v>
      </c>
      <c r="H105" s="11">
        <v>12260460</v>
      </c>
      <c r="I105" s="11">
        <v>8647736</v>
      </c>
      <c r="J105" s="11">
        <v>11440092</v>
      </c>
      <c r="K105" s="11">
        <v>214875</v>
      </c>
      <c r="L105" s="11">
        <v>0</v>
      </c>
      <c r="M105" s="11">
        <v>11654967</v>
      </c>
      <c r="N105" s="11">
        <v>605493</v>
      </c>
      <c r="O105" s="12">
        <v>4.93858305479566</v>
      </c>
      <c r="P105" s="12">
        <v>57.808040429428985</v>
      </c>
      <c r="Q105" s="12">
        <v>76.47427035843684</v>
      </c>
      <c r="R105" s="13">
        <v>80.521845795954377</v>
      </c>
    </row>
    <row r="106" spans="1:18" x14ac:dyDescent="0.2">
      <c r="A106" s="9">
        <v>32</v>
      </c>
      <c r="B106" s="10" t="s">
        <v>196</v>
      </c>
      <c r="C106" s="10">
        <v>6463</v>
      </c>
      <c r="D106" s="10" t="s">
        <v>197</v>
      </c>
      <c r="E106" s="11">
        <v>69320</v>
      </c>
      <c r="F106" s="11">
        <v>4528620</v>
      </c>
      <c r="G106" s="11">
        <v>2520652</v>
      </c>
      <c r="H106" s="11">
        <v>7049272</v>
      </c>
      <c r="I106" s="11">
        <v>4101151</v>
      </c>
      <c r="J106" s="11">
        <v>6310443</v>
      </c>
      <c r="K106" s="11">
        <v>2745</v>
      </c>
      <c r="L106" s="11">
        <v>205425</v>
      </c>
      <c r="M106" s="11">
        <v>6518613</v>
      </c>
      <c r="N106" s="11">
        <v>530659</v>
      </c>
      <c r="O106" s="12">
        <v>7.52785535868101</v>
      </c>
      <c r="P106" s="12">
        <v>59.162593768032316</v>
      </c>
      <c r="Q106" s="12">
        <v>91.033511252163876</v>
      </c>
      <c r="R106" s="13">
        <v>98.688718984420078</v>
      </c>
    </row>
    <row r="107" spans="1:18" x14ac:dyDescent="0.2">
      <c r="A107" s="9"/>
      <c r="B107" s="10"/>
      <c r="C107" s="10"/>
      <c r="D107" s="10" t="s">
        <v>105</v>
      </c>
      <c r="E107" s="11">
        <v>69320</v>
      </c>
      <c r="F107" s="11">
        <v>4528620</v>
      </c>
      <c r="G107" s="11">
        <v>2520652</v>
      </c>
      <c r="H107" s="11">
        <v>7049272</v>
      </c>
      <c r="I107" s="11">
        <v>4101151</v>
      </c>
      <c r="J107" s="11">
        <v>6310443</v>
      </c>
      <c r="K107" s="11">
        <v>2745</v>
      </c>
      <c r="L107" s="11">
        <v>205425</v>
      </c>
      <c r="M107" s="11">
        <v>6518613</v>
      </c>
      <c r="N107" s="11">
        <v>530659</v>
      </c>
      <c r="O107" s="12">
        <v>7.52785535868101</v>
      </c>
      <c r="P107" s="12">
        <v>59.162593768032316</v>
      </c>
      <c r="Q107" s="12">
        <v>91.033511252163876</v>
      </c>
      <c r="R107" s="13">
        <v>98.688718984420078</v>
      </c>
    </row>
    <row r="108" spans="1:18" x14ac:dyDescent="0.2">
      <c r="A108" s="9">
        <v>33</v>
      </c>
      <c r="B108" s="10" t="s">
        <v>198</v>
      </c>
      <c r="C108" s="10">
        <v>371</v>
      </c>
      <c r="D108" s="10" t="s">
        <v>199</v>
      </c>
      <c r="E108" s="11">
        <v>41984</v>
      </c>
      <c r="F108" s="11">
        <v>4222000</v>
      </c>
      <c r="G108" s="11">
        <v>155951</v>
      </c>
      <c r="H108" s="11">
        <v>4377951</v>
      </c>
      <c r="I108" s="11">
        <v>2139508</v>
      </c>
      <c r="J108" s="11">
        <v>3138562</v>
      </c>
      <c r="K108" s="11">
        <v>772681</v>
      </c>
      <c r="L108" s="11">
        <v>0</v>
      </c>
      <c r="M108" s="11">
        <v>3911243</v>
      </c>
      <c r="N108" s="11">
        <v>466708</v>
      </c>
      <c r="O108" s="12">
        <v>10.66042082243497</v>
      </c>
      <c r="P108" s="12">
        <v>50.960080030487802</v>
      </c>
      <c r="Q108" s="12">
        <v>74.756145198170728</v>
      </c>
      <c r="R108" s="13">
        <v>85.87247522865853</v>
      </c>
    </row>
    <row r="109" spans="1:18" x14ac:dyDescent="0.2">
      <c r="A109" s="9"/>
      <c r="B109" s="10"/>
      <c r="C109" s="10"/>
      <c r="D109" s="10" t="s">
        <v>200</v>
      </c>
      <c r="E109" s="11">
        <v>1795</v>
      </c>
      <c r="F109" s="11">
        <v>0</v>
      </c>
      <c r="G109" s="11">
        <v>275826</v>
      </c>
      <c r="H109" s="11">
        <v>275826</v>
      </c>
      <c r="I109" s="11">
        <v>131074</v>
      </c>
      <c r="J109" s="11">
        <v>236245</v>
      </c>
      <c r="K109" s="11">
        <v>0</v>
      </c>
      <c r="L109" s="11">
        <v>6493</v>
      </c>
      <c r="M109" s="11">
        <v>242738</v>
      </c>
      <c r="N109" s="11">
        <v>33088</v>
      </c>
      <c r="O109" s="12">
        <v>11.995968472877829</v>
      </c>
      <c r="P109" s="12">
        <v>73.021727019498613</v>
      </c>
      <c r="Q109" s="12">
        <v>131.61281337047353</v>
      </c>
      <c r="R109" s="13">
        <v>150.04623955431754</v>
      </c>
    </row>
    <row r="110" spans="1:18" x14ac:dyDescent="0.2">
      <c r="A110" s="9"/>
      <c r="B110" s="10"/>
      <c r="C110" s="10"/>
      <c r="D110" s="10" t="s">
        <v>201</v>
      </c>
      <c r="E110" s="11">
        <v>3117</v>
      </c>
      <c r="F110" s="11">
        <v>0</v>
      </c>
      <c r="G110" s="11">
        <v>214332</v>
      </c>
      <c r="H110" s="11">
        <v>214332</v>
      </c>
      <c r="I110" s="11">
        <v>156258</v>
      </c>
      <c r="J110" s="11">
        <v>182087</v>
      </c>
      <c r="K110" s="11">
        <v>0</v>
      </c>
      <c r="L110" s="11">
        <v>5492</v>
      </c>
      <c r="M110" s="11">
        <v>187579</v>
      </c>
      <c r="N110" s="11">
        <v>26753</v>
      </c>
      <c r="O110" s="12">
        <v>12.482037213295262</v>
      </c>
      <c r="P110" s="12">
        <v>50.13089509143407</v>
      </c>
      <c r="Q110" s="12">
        <v>58.41738851459737</v>
      </c>
      <c r="R110" s="13">
        <v>67.000320821302537</v>
      </c>
    </row>
    <row r="111" spans="1:18" x14ac:dyDescent="0.2">
      <c r="A111" s="9"/>
      <c r="B111" s="10"/>
      <c r="C111" s="10"/>
      <c r="D111" s="10" t="s">
        <v>105</v>
      </c>
      <c r="E111" s="11">
        <v>46896</v>
      </c>
      <c r="F111" s="11">
        <v>4222000</v>
      </c>
      <c r="G111" s="11">
        <v>646109</v>
      </c>
      <c r="H111" s="11">
        <v>4868109</v>
      </c>
      <c r="I111" s="11">
        <v>2426840</v>
      </c>
      <c r="J111" s="11">
        <v>3556894</v>
      </c>
      <c r="K111" s="11">
        <v>772681</v>
      </c>
      <c r="L111" s="11">
        <v>11985</v>
      </c>
      <c r="M111" s="11">
        <v>4341560</v>
      </c>
      <c r="N111" s="11">
        <v>526549</v>
      </c>
      <c r="O111" s="12">
        <v>10.816294376317375</v>
      </c>
      <c r="P111" s="12">
        <v>51.749402934152165</v>
      </c>
      <c r="Q111" s="12">
        <v>75.846426134425116</v>
      </c>
      <c r="R111" s="13">
        <v>87.074441316956666</v>
      </c>
    </row>
    <row r="112" spans="1:18" x14ac:dyDescent="0.2">
      <c r="A112" s="9">
        <v>34</v>
      </c>
      <c r="B112" s="10" t="s">
        <v>202</v>
      </c>
      <c r="C112" s="10">
        <v>6841</v>
      </c>
      <c r="D112" s="10" t="s">
        <v>203</v>
      </c>
      <c r="E112" s="11">
        <v>199334</v>
      </c>
      <c r="F112" s="11">
        <v>0</v>
      </c>
      <c r="G112" s="11">
        <v>19355583</v>
      </c>
      <c r="H112" s="11">
        <v>19355583</v>
      </c>
      <c r="I112" s="11">
        <v>10449379</v>
      </c>
      <c r="J112" s="11">
        <v>16251548</v>
      </c>
      <c r="K112" s="11">
        <v>520966</v>
      </c>
      <c r="L112" s="11">
        <v>77071</v>
      </c>
      <c r="M112" s="11">
        <v>16849585</v>
      </c>
      <c r="N112" s="11">
        <v>2505998</v>
      </c>
      <c r="O112" s="12">
        <v>12.947158450355126</v>
      </c>
      <c r="P112" s="12">
        <v>52.42145845666068</v>
      </c>
      <c r="Q112" s="12">
        <v>81.529232343704535</v>
      </c>
      <c r="R112" s="13">
        <v>94.101086618439396</v>
      </c>
    </row>
    <row r="113" spans="1:18" x14ac:dyDescent="0.2">
      <c r="A113" s="9"/>
      <c r="B113" s="10"/>
      <c r="C113" s="10"/>
      <c r="D113" s="10" t="s">
        <v>204</v>
      </c>
      <c r="E113" s="11">
        <v>25074</v>
      </c>
      <c r="F113" s="11">
        <v>0</v>
      </c>
      <c r="G113" s="11">
        <v>2271320</v>
      </c>
      <c r="H113" s="11">
        <v>2271320</v>
      </c>
      <c r="I113" s="11">
        <v>1126384</v>
      </c>
      <c r="J113" s="11">
        <v>1457890</v>
      </c>
      <c r="K113" s="11">
        <v>477691</v>
      </c>
      <c r="L113" s="11">
        <v>1121</v>
      </c>
      <c r="M113" s="11">
        <v>1936702</v>
      </c>
      <c r="N113" s="11">
        <v>334618</v>
      </c>
      <c r="O113" s="12">
        <v>14.73231424898297</v>
      </c>
      <c r="P113" s="12">
        <v>44.922389726409826</v>
      </c>
      <c r="Q113" s="12">
        <v>58.14349525404802</v>
      </c>
      <c r="R113" s="13">
        <v>71.488713408311398</v>
      </c>
    </row>
    <row r="114" spans="1:18" x14ac:dyDescent="0.2">
      <c r="A114" s="9"/>
      <c r="B114" s="10"/>
      <c r="C114" s="10"/>
      <c r="D114" s="10" t="s">
        <v>105</v>
      </c>
      <c r="E114" s="11">
        <v>224408</v>
      </c>
      <c r="F114" s="11">
        <v>0</v>
      </c>
      <c r="G114" s="11">
        <v>21626903</v>
      </c>
      <c r="H114" s="11">
        <v>21626903</v>
      </c>
      <c r="I114" s="11">
        <v>11575763</v>
      </c>
      <c r="J114" s="11">
        <v>17709438</v>
      </c>
      <c r="K114" s="11">
        <v>998657</v>
      </c>
      <c r="L114" s="11">
        <v>78192</v>
      </c>
      <c r="M114" s="11">
        <v>18786287</v>
      </c>
      <c r="N114" s="11">
        <v>2840616</v>
      </c>
      <c r="O114" s="12">
        <v>13.134640683411765</v>
      </c>
      <c r="P114" s="12">
        <v>51.583557627179069</v>
      </c>
      <c r="Q114" s="12">
        <v>78.916250757548752</v>
      </c>
      <c r="R114" s="13">
        <v>91.574516060033517</v>
      </c>
    </row>
    <row r="115" spans="1:18" x14ac:dyDescent="0.2">
      <c r="A115" s="9">
        <v>35</v>
      </c>
      <c r="B115" s="10" t="s">
        <v>205</v>
      </c>
      <c r="C115" s="10">
        <v>8329</v>
      </c>
      <c r="D115" s="10" t="s">
        <v>206</v>
      </c>
      <c r="E115" s="11">
        <v>94069</v>
      </c>
      <c r="F115" s="11">
        <v>0</v>
      </c>
      <c r="G115" s="11">
        <v>5604450</v>
      </c>
      <c r="H115" s="11">
        <v>5604450</v>
      </c>
      <c r="I115" s="11">
        <v>3693345</v>
      </c>
      <c r="J115" s="11">
        <v>4726352</v>
      </c>
      <c r="K115" s="11">
        <v>103553</v>
      </c>
      <c r="L115" s="11">
        <v>450</v>
      </c>
      <c r="M115" s="11">
        <v>4830355</v>
      </c>
      <c r="N115" s="11">
        <v>774095</v>
      </c>
      <c r="O115" s="12">
        <v>13.812149274237436</v>
      </c>
      <c r="P115" s="12">
        <v>39.262084214778511</v>
      </c>
      <c r="Q115" s="12">
        <v>50.243459588174638</v>
      </c>
      <c r="R115" s="13">
        <v>58.472472334137706</v>
      </c>
    </row>
    <row r="116" spans="1:18" x14ac:dyDescent="0.2">
      <c r="A116" s="9"/>
      <c r="B116" s="10"/>
      <c r="C116" s="10"/>
      <c r="D116" s="10" t="s">
        <v>105</v>
      </c>
      <c r="E116" s="11">
        <v>94069</v>
      </c>
      <c r="F116" s="11">
        <v>0</v>
      </c>
      <c r="G116" s="11">
        <v>5604450</v>
      </c>
      <c r="H116" s="11">
        <v>5604450</v>
      </c>
      <c r="I116" s="11">
        <v>3693345</v>
      </c>
      <c r="J116" s="11">
        <v>4726352</v>
      </c>
      <c r="K116" s="11">
        <v>103553</v>
      </c>
      <c r="L116" s="11">
        <v>450</v>
      </c>
      <c r="M116" s="11">
        <v>4830355</v>
      </c>
      <c r="N116" s="11">
        <v>774095</v>
      </c>
      <c r="O116" s="12">
        <v>13.812149274237436</v>
      </c>
      <c r="P116" s="12">
        <v>39.262084214778511</v>
      </c>
      <c r="Q116" s="12">
        <v>50.243459588174638</v>
      </c>
      <c r="R116" s="13">
        <v>58.472472334137706</v>
      </c>
    </row>
    <row r="117" spans="1:18" x14ac:dyDescent="0.2">
      <c r="A117" s="9">
        <v>36</v>
      </c>
      <c r="B117" s="10" t="s">
        <v>207</v>
      </c>
      <c r="C117" s="10">
        <v>7864</v>
      </c>
      <c r="D117" s="10" t="s">
        <v>208</v>
      </c>
      <c r="E117" s="11">
        <v>11840</v>
      </c>
      <c r="F117" s="11">
        <v>0</v>
      </c>
      <c r="G117" s="11">
        <v>1333456</v>
      </c>
      <c r="H117" s="11">
        <v>1333456</v>
      </c>
      <c r="I117" s="11">
        <v>666453</v>
      </c>
      <c r="J117" s="11">
        <v>894306</v>
      </c>
      <c r="K117" s="11">
        <v>212487</v>
      </c>
      <c r="L117" s="11">
        <v>13539</v>
      </c>
      <c r="M117" s="11">
        <v>1120332</v>
      </c>
      <c r="N117" s="11">
        <v>213124</v>
      </c>
      <c r="O117" s="12">
        <v>15.98282957967867</v>
      </c>
      <c r="P117" s="12">
        <v>56.288260135135133</v>
      </c>
      <c r="Q117" s="12">
        <v>75.532601351351346</v>
      </c>
      <c r="R117" s="13">
        <v>93.532939189189193</v>
      </c>
    </row>
    <row r="118" spans="1:18" x14ac:dyDescent="0.2">
      <c r="A118" s="9"/>
      <c r="B118" s="10"/>
      <c r="C118" s="10"/>
      <c r="D118" s="10" t="s">
        <v>209</v>
      </c>
      <c r="E118" s="11">
        <v>186399</v>
      </c>
      <c r="F118" s="11">
        <v>0</v>
      </c>
      <c r="G118" s="11">
        <v>13943915</v>
      </c>
      <c r="H118" s="11">
        <v>13943915</v>
      </c>
      <c r="I118" s="11">
        <v>9763137</v>
      </c>
      <c r="J118" s="11">
        <v>12319922</v>
      </c>
      <c r="K118" s="11">
        <v>318633</v>
      </c>
      <c r="L118" s="11">
        <v>0</v>
      </c>
      <c r="M118" s="11">
        <v>12638555</v>
      </c>
      <c r="N118" s="11">
        <v>1305360</v>
      </c>
      <c r="O118" s="12">
        <v>9.3615028490922381</v>
      </c>
      <c r="P118" s="12">
        <v>52.377625416445369</v>
      </c>
      <c r="Q118" s="12">
        <v>66.094356729381602</v>
      </c>
      <c r="R118" s="13">
        <v>73.097398591194164</v>
      </c>
    </row>
    <row r="119" spans="1:18" x14ac:dyDescent="0.2">
      <c r="A119" s="9"/>
      <c r="B119" s="10"/>
      <c r="C119" s="10"/>
      <c r="D119" s="10" t="s">
        <v>210</v>
      </c>
      <c r="E119" s="11">
        <v>7122</v>
      </c>
      <c r="F119" s="11">
        <v>0</v>
      </c>
      <c r="G119" s="11">
        <v>560716</v>
      </c>
      <c r="H119" s="11">
        <v>560716</v>
      </c>
      <c r="I119" s="11">
        <v>370198</v>
      </c>
      <c r="J119" s="11">
        <v>457317</v>
      </c>
      <c r="K119" s="11">
        <v>0</v>
      </c>
      <c r="L119" s="11">
        <v>0</v>
      </c>
      <c r="M119" s="11">
        <v>457317</v>
      </c>
      <c r="N119" s="11">
        <v>103399</v>
      </c>
      <c r="O119" s="12">
        <v>18.4405296085719</v>
      </c>
      <c r="P119" s="12">
        <v>51.979500140409996</v>
      </c>
      <c r="Q119" s="12">
        <v>64.211878685762429</v>
      </c>
      <c r="R119" s="13">
        <v>78.730131985397364</v>
      </c>
    </row>
    <row r="120" spans="1:18" x14ac:dyDescent="0.2">
      <c r="A120" s="9"/>
      <c r="B120" s="10"/>
      <c r="C120" s="10"/>
      <c r="D120" s="10" t="s">
        <v>211</v>
      </c>
      <c r="E120" s="11">
        <v>35526</v>
      </c>
      <c r="F120" s="11">
        <v>0</v>
      </c>
      <c r="G120" s="11">
        <v>3091735</v>
      </c>
      <c r="H120" s="11">
        <v>3091735</v>
      </c>
      <c r="I120" s="11">
        <v>1790183</v>
      </c>
      <c r="J120" s="11">
        <v>2379079</v>
      </c>
      <c r="K120" s="11">
        <v>0</v>
      </c>
      <c r="L120" s="11">
        <v>203156</v>
      </c>
      <c r="M120" s="11">
        <v>2582235</v>
      </c>
      <c r="N120" s="11">
        <v>509500</v>
      </c>
      <c r="O120" s="12">
        <v>16.479420131414884</v>
      </c>
      <c r="P120" s="12">
        <v>50.390784214378201</v>
      </c>
      <c r="Q120" s="12">
        <v>66.967263412711816</v>
      </c>
      <c r="R120" s="13">
        <v>81.308872375161855</v>
      </c>
    </row>
    <row r="121" spans="1:18" x14ac:dyDescent="0.2">
      <c r="A121" s="9"/>
      <c r="B121" s="10"/>
      <c r="C121" s="10"/>
      <c r="D121" s="10" t="s">
        <v>105</v>
      </c>
      <c r="E121" s="11">
        <v>240887</v>
      </c>
      <c r="F121" s="11">
        <v>0</v>
      </c>
      <c r="G121" s="11">
        <v>18929822</v>
      </c>
      <c r="H121" s="11">
        <v>18929822</v>
      </c>
      <c r="I121" s="11">
        <v>12589971</v>
      </c>
      <c r="J121" s="11">
        <v>16050624</v>
      </c>
      <c r="K121" s="11">
        <v>531120</v>
      </c>
      <c r="L121" s="11">
        <v>216695</v>
      </c>
      <c r="M121" s="11">
        <v>16798439</v>
      </c>
      <c r="N121" s="11">
        <v>2131383</v>
      </c>
      <c r="O121" s="12">
        <v>11.259392719065186</v>
      </c>
      <c r="P121" s="12">
        <v>52.265049587565954</v>
      </c>
      <c r="Q121" s="12">
        <v>66.631341666424504</v>
      </c>
      <c r="R121" s="13">
        <v>75.479403205652446</v>
      </c>
    </row>
    <row r="122" spans="1:18" x14ac:dyDescent="0.2">
      <c r="A122" s="9">
        <v>37</v>
      </c>
      <c r="B122" s="10" t="s">
        <v>212</v>
      </c>
      <c r="C122" s="10">
        <v>3911</v>
      </c>
      <c r="D122" s="10" t="s">
        <v>213</v>
      </c>
      <c r="E122" s="11">
        <v>14959</v>
      </c>
      <c r="F122" s="11">
        <v>0</v>
      </c>
      <c r="G122" s="11">
        <v>1149803</v>
      </c>
      <c r="H122" s="11">
        <v>1149803</v>
      </c>
      <c r="I122" s="11">
        <v>889260</v>
      </c>
      <c r="J122" s="11">
        <v>1112180</v>
      </c>
      <c r="K122" s="11">
        <v>0</v>
      </c>
      <c r="L122" s="11">
        <v>0</v>
      </c>
      <c r="M122" s="11">
        <v>1112180</v>
      </c>
      <c r="N122" s="11">
        <v>37623</v>
      </c>
      <c r="O122" s="12">
        <v>3.2721257467583578</v>
      </c>
      <c r="P122" s="12">
        <v>59.446487064643357</v>
      </c>
      <c r="Q122" s="12">
        <v>74.348552710742695</v>
      </c>
      <c r="R122" s="13">
        <v>76.863627247810683</v>
      </c>
    </row>
    <row r="123" spans="1:18" x14ac:dyDescent="0.2">
      <c r="A123" s="9"/>
      <c r="B123" s="10"/>
      <c r="C123" s="10"/>
      <c r="D123" s="10" t="s">
        <v>105</v>
      </c>
      <c r="E123" s="11">
        <v>14959</v>
      </c>
      <c r="F123" s="11">
        <v>0</v>
      </c>
      <c r="G123" s="11">
        <v>1149803</v>
      </c>
      <c r="H123" s="11">
        <v>1149803</v>
      </c>
      <c r="I123" s="11">
        <v>889260</v>
      </c>
      <c r="J123" s="11">
        <v>1112180</v>
      </c>
      <c r="K123" s="11">
        <v>0</v>
      </c>
      <c r="L123" s="11">
        <v>0</v>
      </c>
      <c r="M123" s="11">
        <v>1112180</v>
      </c>
      <c r="N123" s="11">
        <v>37623</v>
      </c>
      <c r="O123" s="12">
        <v>3.2721257467583578</v>
      </c>
      <c r="P123" s="12">
        <v>59.446487064643357</v>
      </c>
      <c r="Q123" s="12">
        <v>74.348552710742695</v>
      </c>
      <c r="R123" s="13">
        <v>76.863627247810683</v>
      </c>
    </row>
    <row r="124" spans="1:18" x14ac:dyDescent="0.2">
      <c r="A124" s="9">
        <v>38</v>
      </c>
      <c r="B124" s="10" t="s">
        <v>214</v>
      </c>
      <c r="C124" s="10">
        <v>5742</v>
      </c>
      <c r="D124" s="10" t="s">
        <v>215</v>
      </c>
      <c r="E124" s="11">
        <v>219303</v>
      </c>
      <c r="F124" s="11">
        <v>7982150</v>
      </c>
      <c r="G124" s="11">
        <v>9151855</v>
      </c>
      <c r="H124" s="11">
        <v>17134005</v>
      </c>
      <c r="I124" s="11">
        <v>11481988</v>
      </c>
      <c r="J124" s="11">
        <v>15552504</v>
      </c>
      <c r="K124" s="11">
        <v>246907</v>
      </c>
      <c r="L124" s="11">
        <v>44785</v>
      </c>
      <c r="M124" s="11">
        <v>15844196</v>
      </c>
      <c r="N124" s="11">
        <v>1289809</v>
      </c>
      <c r="O124" s="12">
        <v>7.527772987109552</v>
      </c>
      <c r="P124" s="12">
        <v>52.356730186089564</v>
      </c>
      <c r="Q124" s="12">
        <v>70.917880740345552</v>
      </c>
      <c r="R124" s="13">
        <v>76.799282271560358</v>
      </c>
    </row>
    <row r="125" spans="1:18" x14ac:dyDescent="0.2">
      <c r="A125" s="9"/>
      <c r="B125" s="10"/>
      <c r="C125" s="10"/>
      <c r="D125" s="10" t="s">
        <v>216</v>
      </c>
      <c r="E125" s="11">
        <v>42561</v>
      </c>
      <c r="F125" s="11">
        <v>0</v>
      </c>
      <c r="G125" s="11">
        <v>1981524</v>
      </c>
      <c r="H125" s="11">
        <v>1981524</v>
      </c>
      <c r="I125" s="11">
        <v>1402693</v>
      </c>
      <c r="J125" s="11">
        <v>1644713</v>
      </c>
      <c r="K125" s="11">
        <v>0</v>
      </c>
      <c r="L125" s="11">
        <v>0</v>
      </c>
      <c r="M125" s="11">
        <v>1644713</v>
      </c>
      <c r="N125" s="11">
        <v>336811</v>
      </c>
      <c r="O125" s="12">
        <v>16.997573584776163</v>
      </c>
      <c r="P125" s="12">
        <v>32.957237846855101</v>
      </c>
      <c r="Q125" s="12">
        <v>38.643664387584877</v>
      </c>
      <c r="R125" s="13">
        <v>46.557270740819057</v>
      </c>
    </row>
    <row r="126" spans="1:18" x14ac:dyDescent="0.2">
      <c r="A126" s="9"/>
      <c r="B126" s="10"/>
      <c r="C126" s="10"/>
      <c r="D126" s="10" t="s">
        <v>217</v>
      </c>
      <c r="E126" s="11">
        <v>3199</v>
      </c>
      <c r="F126" s="11">
        <v>0</v>
      </c>
      <c r="G126" s="11">
        <v>214792</v>
      </c>
      <c r="H126" s="11">
        <v>214792</v>
      </c>
      <c r="I126" s="11">
        <v>127930</v>
      </c>
      <c r="J126" s="11">
        <v>135762</v>
      </c>
      <c r="K126" s="11">
        <v>0</v>
      </c>
      <c r="L126" s="11">
        <v>0</v>
      </c>
      <c r="M126" s="11">
        <v>135762</v>
      </c>
      <c r="N126" s="11">
        <v>79030</v>
      </c>
      <c r="O126" s="12">
        <v>36.793735334649334</v>
      </c>
      <c r="P126" s="12">
        <v>39.990622069396686</v>
      </c>
      <c r="Q126" s="12">
        <v>42.438887152235075</v>
      </c>
      <c r="R126" s="13">
        <v>67.143482338230697</v>
      </c>
    </row>
    <row r="127" spans="1:18" x14ac:dyDescent="0.2">
      <c r="A127" s="9"/>
      <c r="B127" s="10"/>
      <c r="C127" s="10"/>
      <c r="D127" s="10" t="s">
        <v>105</v>
      </c>
      <c r="E127" s="11">
        <v>265063</v>
      </c>
      <c r="F127" s="11">
        <v>7982150</v>
      </c>
      <c r="G127" s="11">
        <v>11348171</v>
      </c>
      <c r="H127" s="11">
        <v>19330321</v>
      </c>
      <c r="I127" s="11">
        <v>13012611</v>
      </c>
      <c r="J127" s="11">
        <v>17332979</v>
      </c>
      <c r="K127" s="11">
        <v>246907</v>
      </c>
      <c r="L127" s="11">
        <v>44785</v>
      </c>
      <c r="M127" s="11">
        <v>17624671</v>
      </c>
      <c r="N127" s="11">
        <v>1705650</v>
      </c>
      <c r="O127" s="12">
        <v>8.823702410322106</v>
      </c>
      <c r="P127" s="12">
        <v>49.092521400572693</v>
      </c>
      <c r="Q127" s="12">
        <v>65.391921920449107</v>
      </c>
      <c r="R127" s="13">
        <v>71.826807211870388</v>
      </c>
    </row>
    <row r="128" spans="1:18" x14ac:dyDescent="0.2">
      <c r="A128" s="9">
        <v>39</v>
      </c>
      <c r="B128" s="10" t="s">
        <v>218</v>
      </c>
      <c r="C128" s="10">
        <v>6019</v>
      </c>
      <c r="D128" s="10" t="s">
        <v>219</v>
      </c>
      <c r="E128" s="11">
        <v>237639</v>
      </c>
      <c r="F128" s="11">
        <v>9843110</v>
      </c>
      <c r="G128" s="11">
        <v>9608181</v>
      </c>
      <c r="H128" s="11">
        <v>19451291</v>
      </c>
      <c r="I128" s="11">
        <v>12524915</v>
      </c>
      <c r="J128" s="11">
        <v>17861740</v>
      </c>
      <c r="K128" s="11">
        <v>406832</v>
      </c>
      <c r="L128" s="11">
        <v>12881</v>
      </c>
      <c r="M128" s="11">
        <v>18281453</v>
      </c>
      <c r="N128" s="11">
        <v>1169838</v>
      </c>
      <c r="O128" s="12">
        <v>6.0141920657091603</v>
      </c>
      <c r="P128" s="12">
        <v>52.705637542659247</v>
      </c>
      <c r="Q128" s="12">
        <v>75.163335984413337</v>
      </c>
      <c r="R128" s="13">
        <v>80.086088562904237</v>
      </c>
    </row>
    <row r="129" spans="1:18" x14ac:dyDescent="0.2">
      <c r="A129" s="9"/>
      <c r="B129" s="10"/>
      <c r="C129" s="10"/>
      <c r="D129" s="10" t="s">
        <v>105</v>
      </c>
      <c r="E129" s="11">
        <v>237639</v>
      </c>
      <c r="F129" s="11">
        <v>9843110</v>
      </c>
      <c r="G129" s="11">
        <v>9608181</v>
      </c>
      <c r="H129" s="11">
        <v>19451291</v>
      </c>
      <c r="I129" s="11">
        <v>12524915</v>
      </c>
      <c r="J129" s="11">
        <v>17861740</v>
      </c>
      <c r="K129" s="11">
        <v>406832</v>
      </c>
      <c r="L129" s="11">
        <v>12881</v>
      </c>
      <c r="M129" s="11">
        <v>18281453</v>
      </c>
      <c r="N129" s="11">
        <v>1169838</v>
      </c>
      <c r="O129" s="12">
        <v>6.0141920657091603</v>
      </c>
      <c r="P129" s="12">
        <v>52.705637542659247</v>
      </c>
      <c r="Q129" s="12">
        <v>75.163335984413337</v>
      </c>
      <c r="R129" s="13">
        <v>80.086088562904237</v>
      </c>
    </row>
    <row r="130" spans="1:18" x14ac:dyDescent="0.2">
      <c r="A130" s="9">
        <v>40</v>
      </c>
      <c r="B130" s="10" t="s">
        <v>220</v>
      </c>
      <c r="C130" s="10">
        <v>3070</v>
      </c>
      <c r="D130" s="10" t="s">
        <v>221</v>
      </c>
      <c r="E130" s="11">
        <v>53378</v>
      </c>
      <c r="F130" s="11">
        <v>0</v>
      </c>
      <c r="G130" s="11">
        <v>3838340</v>
      </c>
      <c r="H130" s="11">
        <v>3838340</v>
      </c>
      <c r="I130" s="11">
        <v>2666307</v>
      </c>
      <c r="J130" s="11">
        <v>3445572</v>
      </c>
      <c r="K130" s="11">
        <v>46502</v>
      </c>
      <c r="L130" s="11">
        <v>409</v>
      </c>
      <c r="M130" s="11">
        <v>3492483</v>
      </c>
      <c r="N130" s="11">
        <v>345857</v>
      </c>
      <c r="O130" s="12">
        <v>9.0105879103987672</v>
      </c>
      <c r="P130" s="12">
        <v>49.951421934130167</v>
      </c>
      <c r="Q130" s="12">
        <v>64.550414028251339</v>
      </c>
      <c r="R130" s="13">
        <v>71.029806287234436</v>
      </c>
    </row>
    <row r="131" spans="1:18" x14ac:dyDescent="0.2">
      <c r="A131" s="9"/>
      <c r="B131" s="10"/>
      <c r="C131" s="10"/>
      <c r="D131" s="10" t="s">
        <v>105</v>
      </c>
      <c r="E131" s="11">
        <v>53378</v>
      </c>
      <c r="F131" s="11">
        <v>0</v>
      </c>
      <c r="G131" s="11">
        <v>3838340</v>
      </c>
      <c r="H131" s="11">
        <v>3838340</v>
      </c>
      <c r="I131" s="11">
        <v>2666307</v>
      </c>
      <c r="J131" s="11">
        <v>3445572</v>
      </c>
      <c r="K131" s="11">
        <v>46502</v>
      </c>
      <c r="L131" s="11">
        <v>409</v>
      </c>
      <c r="M131" s="11">
        <v>3492483</v>
      </c>
      <c r="N131" s="11">
        <v>345857</v>
      </c>
      <c r="O131" s="12">
        <v>9.0105879103987672</v>
      </c>
      <c r="P131" s="12">
        <v>49.951421934130167</v>
      </c>
      <c r="Q131" s="12">
        <v>64.550414028251339</v>
      </c>
      <c r="R131" s="13">
        <v>71.029806287234436</v>
      </c>
    </row>
    <row r="132" spans="1:18" x14ac:dyDescent="0.2">
      <c r="A132" s="9">
        <v>41</v>
      </c>
      <c r="B132" s="10" t="s">
        <v>222</v>
      </c>
      <c r="C132" s="10">
        <v>4457</v>
      </c>
      <c r="D132" s="10" t="s">
        <v>223</v>
      </c>
      <c r="E132" s="11">
        <v>24046</v>
      </c>
      <c r="F132" s="11">
        <v>1409300</v>
      </c>
      <c r="G132" s="11">
        <v>547096</v>
      </c>
      <c r="H132" s="11">
        <v>1956396</v>
      </c>
      <c r="I132" s="11">
        <v>803201</v>
      </c>
      <c r="J132" s="11">
        <v>1116385</v>
      </c>
      <c r="K132" s="11">
        <v>0</v>
      </c>
      <c r="L132" s="11">
        <v>57321</v>
      </c>
      <c r="M132" s="11">
        <v>1173706</v>
      </c>
      <c r="N132" s="11">
        <v>782690</v>
      </c>
      <c r="O132" s="12">
        <v>40.006726654521884</v>
      </c>
      <c r="P132" s="12">
        <v>33.402686517508108</v>
      </c>
      <c r="Q132" s="12">
        <v>46.427056475089415</v>
      </c>
      <c r="R132" s="13">
        <v>78.976752890293611</v>
      </c>
    </row>
    <row r="133" spans="1:18" x14ac:dyDescent="0.2">
      <c r="A133" s="9"/>
      <c r="B133" s="10"/>
      <c r="C133" s="10"/>
      <c r="D133" s="10" t="s">
        <v>224</v>
      </c>
      <c r="E133" s="11">
        <v>9094</v>
      </c>
      <c r="F133" s="11">
        <v>1077900</v>
      </c>
      <c r="G133" s="11">
        <v>0</v>
      </c>
      <c r="H133" s="11">
        <v>1077900</v>
      </c>
      <c r="I133" s="11">
        <v>457104</v>
      </c>
      <c r="J133" s="11">
        <v>697785</v>
      </c>
      <c r="K133" s="11">
        <v>0</v>
      </c>
      <c r="L133" s="11">
        <v>45444</v>
      </c>
      <c r="M133" s="11">
        <v>743229</v>
      </c>
      <c r="N133" s="11">
        <v>334671</v>
      </c>
      <c r="O133" s="12">
        <v>31.048427497912606</v>
      </c>
      <c r="P133" s="12">
        <v>50.264350120958873</v>
      </c>
      <c r="Q133" s="12">
        <v>76.730261711018258</v>
      </c>
      <c r="R133" s="13">
        <v>113.53155926984824</v>
      </c>
    </row>
    <row r="134" spans="1:18" x14ac:dyDescent="0.2">
      <c r="A134" s="9"/>
      <c r="B134" s="10"/>
      <c r="C134" s="10"/>
      <c r="D134" s="10" t="s">
        <v>225</v>
      </c>
      <c r="E134" s="11">
        <v>21036</v>
      </c>
      <c r="F134" s="11">
        <v>1136080</v>
      </c>
      <c r="G134" s="11">
        <v>763125</v>
      </c>
      <c r="H134" s="11">
        <v>1899205</v>
      </c>
      <c r="I134" s="11">
        <v>1136345</v>
      </c>
      <c r="J134" s="11">
        <v>1394347</v>
      </c>
      <c r="K134" s="11">
        <v>0</v>
      </c>
      <c r="L134" s="11">
        <v>0</v>
      </c>
      <c r="M134" s="11">
        <v>1394347</v>
      </c>
      <c r="N134" s="11">
        <v>504858</v>
      </c>
      <c r="O134" s="12">
        <v>26.582596402178805</v>
      </c>
      <c r="P134" s="12">
        <v>54.01906255942194</v>
      </c>
      <c r="Q134" s="12">
        <v>66.283846738923756</v>
      </c>
      <c r="R134" s="13">
        <v>90.283561513595743</v>
      </c>
    </row>
    <row r="135" spans="1:18" x14ac:dyDescent="0.2">
      <c r="A135" s="9"/>
      <c r="B135" s="10"/>
      <c r="C135" s="10"/>
      <c r="D135" s="10" t="s">
        <v>105</v>
      </c>
      <c r="E135" s="11">
        <v>54176</v>
      </c>
      <c r="F135" s="11">
        <v>3623280</v>
      </c>
      <c r="G135" s="11">
        <v>1310221</v>
      </c>
      <c r="H135" s="11">
        <v>4933501</v>
      </c>
      <c r="I135" s="11">
        <v>2396650</v>
      </c>
      <c r="J135" s="11">
        <v>3208517</v>
      </c>
      <c r="K135" s="11">
        <v>0</v>
      </c>
      <c r="L135" s="11">
        <v>102765</v>
      </c>
      <c r="M135" s="11">
        <v>3311282</v>
      </c>
      <c r="N135" s="11">
        <v>1622219</v>
      </c>
      <c r="O135" s="12">
        <v>32.881700034113706</v>
      </c>
      <c r="P135" s="12">
        <v>44.238223567631422</v>
      </c>
      <c r="Q135" s="12">
        <v>59.223955256940343</v>
      </c>
      <c r="R135" s="13">
        <v>89.167454223272301</v>
      </c>
    </row>
    <row r="136" spans="1:18" x14ac:dyDescent="0.2">
      <c r="A136" s="9">
        <v>42</v>
      </c>
      <c r="B136" s="10" t="s">
        <v>226</v>
      </c>
      <c r="C136" s="10">
        <v>7290</v>
      </c>
      <c r="D136" s="10" t="s">
        <v>227</v>
      </c>
      <c r="E136" s="11">
        <v>24207</v>
      </c>
      <c r="F136" s="11">
        <v>0</v>
      </c>
      <c r="G136" s="11">
        <v>2324283</v>
      </c>
      <c r="H136" s="11">
        <v>2324283</v>
      </c>
      <c r="I136" s="11">
        <v>1199981</v>
      </c>
      <c r="J136" s="11">
        <v>1673561</v>
      </c>
      <c r="K136" s="11">
        <v>274879</v>
      </c>
      <c r="L136" s="11">
        <v>405</v>
      </c>
      <c r="M136" s="11">
        <v>1948845</v>
      </c>
      <c r="N136" s="11">
        <v>375438</v>
      </c>
      <c r="O136" s="12">
        <v>16.152852298967034</v>
      </c>
      <c r="P136" s="12">
        <v>49.571652827694471</v>
      </c>
      <c r="Q136" s="12">
        <v>69.13541537571777</v>
      </c>
      <c r="R136" s="13">
        <v>84.644896104432604</v>
      </c>
    </row>
    <row r="137" spans="1:18" x14ac:dyDescent="0.2">
      <c r="A137" s="9"/>
      <c r="B137" s="10"/>
      <c r="C137" s="10"/>
      <c r="D137" s="10" t="s">
        <v>228</v>
      </c>
      <c r="E137" s="11">
        <v>33188</v>
      </c>
      <c r="F137" s="11">
        <v>0</v>
      </c>
      <c r="G137" s="11">
        <v>3099826</v>
      </c>
      <c r="H137" s="11">
        <v>3099826</v>
      </c>
      <c r="I137" s="11">
        <v>1713359</v>
      </c>
      <c r="J137" s="11">
        <v>2327722</v>
      </c>
      <c r="K137" s="11">
        <v>255660</v>
      </c>
      <c r="L137" s="11">
        <v>0</v>
      </c>
      <c r="M137" s="11">
        <v>2583382</v>
      </c>
      <c r="N137" s="11">
        <v>516444</v>
      </c>
      <c r="O137" s="12">
        <v>16.660419004163458</v>
      </c>
      <c r="P137" s="12">
        <v>51.625858744124379</v>
      </c>
      <c r="Q137" s="12">
        <v>70.137459322646734</v>
      </c>
      <c r="R137" s="13">
        <v>85.698626009400982</v>
      </c>
    </row>
    <row r="138" spans="1:18" x14ac:dyDescent="0.2">
      <c r="A138" s="9"/>
      <c r="B138" s="10"/>
      <c r="C138" s="10"/>
      <c r="D138" s="10" t="s">
        <v>229</v>
      </c>
      <c r="E138" s="11">
        <v>8752</v>
      </c>
      <c r="F138" s="11">
        <v>0</v>
      </c>
      <c r="G138" s="11">
        <v>1059597</v>
      </c>
      <c r="H138" s="11">
        <v>1059597</v>
      </c>
      <c r="I138" s="11">
        <v>406109</v>
      </c>
      <c r="J138" s="11">
        <v>658163</v>
      </c>
      <c r="K138" s="11">
        <v>215585</v>
      </c>
      <c r="L138" s="11">
        <v>0</v>
      </c>
      <c r="M138" s="11">
        <v>873748</v>
      </c>
      <c r="N138" s="11">
        <v>185849</v>
      </c>
      <c r="O138" s="12">
        <v>17.539592882954558</v>
      </c>
      <c r="P138" s="12">
        <v>46.40185100548446</v>
      </c>
      <c r="Q138" s="12">
        <v>75.201439670932359</v>
      </c>
      <c r="R138" s="13">
        <v>96.436471663619741</v>
      </c>
    </row>
    <row r="139" spans="1:18" x14ac:dyDescent="0.2">
      <c r="A139" s="9"/>
      <c r="B139" s="10"/>
      <c r="C139" s="10"/>
      <c r="D139" s="10" t="s">
        <v>230</v>
      </c>
      <c r="E139" s="11">
        <v>4999</v>
      </c>
      <c r="F139" s="11">
        <v>0</v>
      </c>
      <c r="G139" s="11">
        <v>653788</v>
      </c>
      <c r="H139" s="11">
        <v>653788</v>
      </c>
      <c r="I139" s="11">
        <v>213960</v>
      </c>
      <c r="J139" s="11">
        <v>439192</v>
      </c>
      <c r="K139" s="11">
        <v>123076</v>
      </c>
      <c r="L139" s="11">
        <v>15382</v>
      </c>
      <c r="M139" s="11">
        <v>577650</v>
      </c>
      <c r="N139" s="11">
        <v>76138</v>
      </c>
      <c r="O139" s="12">
        <v>11.64567107380374</v>
      </c>
      <c r="P139" s="12">
        <v>42.800560112022403</v>
      </c>
      <c r="Q139" s="12">
        <v>87.855971194238847</v>
      </c>
      <c r="R139" s="13">
        <v>103.08661732346469</v>
      </c>
    </row>
    <row r="140" spans="1:18" x14ac:dyDescent="0.2">
      <c r="A140" s="9"/>
      <c r="B140" s="10"/>
      <c r="C140" s="10"/>
      <c r="D140" s="10" t="s">
        <v>105</v>
      </c>
      <c r="E140" s="11">
        <v>71146</v>
      </c>
      <c r="F140" s="11">
        <v>0</v>
      </c>
      <c r="G140" s="11">
        <v>7137494</v>
      </c>
      <c r="H140" s="11">
        <v>7137494</v>
      </c>
      <c r="I140" s="11">
        <v>3533409</v>
      </c>
      <c r="J140" s="11">
        <v>5098638</v>
      </c>
      <c r="K140" s="11">
        <v>869200</v>
      </c>
      <c r="L140" s="11">
        <v>15787</v>
      </c>
      <c r="M140" s="11">
        <v>5983625</v>
      </c>
      <c r="N140" s="11">
        <v>1153869</v>
      </c>
      <c r="O140" s="12">
        <v>16.166304307926563</v>
      </c>
      <c r="P140" s="12">
        <v>49.664197565569395</v>
      </c>
      <c r="Q140" s="12">
        <v>71.664436510836865</v>
      </c>
      <c r="R140" s="13">
        <v>87.882762207292046</v>
      </c>
    </row>
    <row r="141" spans="1:18" x14ac:dyDescent="0.2">
      <c r="A141" s="9">
        <v>43</v>
      </c>
      <c r="B141" s="10" t="s">
        <v>231</v>
      </c>
      <c r="C141" s="10">
        <v>1719</v>
      </c>
      <c r="D141" s="10" t="s">
        <v>232</v>
      </c>
      <c r="E141" s="11">
        <v>20760</v>
      </c>
      <c r="F141" s="11">
        <v>0</v>
      </c>
      <c r="G141" s="11">
        <v>1509893</v>
      </c>
      <c r="H141" s="11">
        <v>1509893</v>
      </c>
      <c r="I141" s="11">
        <v>967639</v>
      </c>
      <c r="J141" s="11">
        <v>1392026</v>
      </c>
      <c r="K141" s="11">
        <v>0</v>
      </c>
      <c r="L141" s="11">
        <v>0</v>
      </c>
      <c r="M141" s="11">
        <v>1392026</v>
      </c>
      <c r="N141" s="11">
        <v>117867</v>
      </c>
      <c r="O141" s="12">
        <v>7.8063147521049512</v>
      </c>
      <c r="P141" s="12">
        <v>46.610741811175338</v>
      </c>
      <c r="Q141" s="12">
        <v>67.053275529865118</v>
      </c>
      <c r="R141" s="13">
        <v>72.73087668593449</v>
      </c>
    </row>
    <row r="142" spans="1:18" x14ac:dyDescent="0.2">
      <c r="A142" s="9"/>
      <c r="B142" s="10"/>
      <c r="C142" s="10"/>
      <c r="D142" s="10" t="s">
        <v>233</v>
      </c>
      <c r="E142" s="11">
        <v>17474</v>
      </c>
      <c r="F142" s="11">
        <v>0</v>
      </c>
      <c r="G142" s="11">
        <v>1505350</v>
      </c>
      <c r="H142" s="11">
        <v>1505350</v>
      </c>
      <c r="I142" s="11">
        <v>1017929</v>
      </c>
      <c r="J142" s="11">
        <v>1280924</v>
      </c>
      <c r="K142" s="11">
        <v>0</v>
      </c>
      <c r="L142" s="11">
        <v>10962</v>
      </c>
      <c r="M142" s="11">
        <v>1291886</v>
      </c>
      <c r="N142" s="11">
        <v>213464</v>
      </c>
      <c r="O142" s="12">
        <v>14.180356727671306</v>
      </c>
      <c r="P142" s="12">
        <v>58.253920109877534</v>
      </c>
      <c r="Q142" s="12">
        <v>73.30456678493762</v>
      </c>
      <c r="R142" s="13">
        <v>85.520659265193999</v>
      </c>
    </row>
    <row r="143" spans="1:18" x14ac:dyDescent="0.2">
      <c r="A143" s="9"/>
      <c r="B143" s="10"/>
      <c r="C143" s="10"/>
      <c r="D143" s="10" t="s">
        <v>234</v>
      </c>
      <c r="E143" s="11">
        <v>7348</v>
      </c>
      <c r="F143" s="11">
        <v>0</v>
      </c>
      <c r="G143" s="11">
        <v>544024</v>
      </c>
      <c r="H143" s="11">
        <v>544024</v>
      </c>
      <c r="I143" s="11">
        <v>403683</v>
      </c>
      <c r="J143" s="11">
        <v>484957</v>
      </c>
      <c r="K143" s="11">
        <v>0</v>
      </c>
      <c r="L143" s="11">
        <v>0</v>
      </c>
      <c r="M143" s="11">
        <v>484957</v>
      </c>
      <c r="N143" s="11">
        <v>59067</v>
      </c>
      <c r="O143" s="12">
        <v>10.857425407702602</v>
      </c>
      <c r="P143" s="12">
        <v>54.937806205770279</v>
      </c>
      <c r="Q143" s="12">
        <v>65.998502994011972</v>
      </c>
      <c r="R143" s="13">
        <v>74.037016875340228</v>
      </c>
    </row>
    <row r="144" spans="1:18" x14ac:dyDescent="0.2">
      <c r="A144" s="9"/>
      <c r="B144" s="10"/>
      <c r="C144" s="10"/>
      <c r="D144" s="10" t="s">
        <v>105</v>
      </c>
      <c r="E144" s="11">
        <v>45582</v>
      </c>
      <c r="F144" s="11">
        <v>0</v>
      </c>
      <c r="G144" s="11">
        <v>3559267</v>
      </c>
      <c r="H144" s="11">
        <v>3559267</v>
      </c>
      <c r="I144" s="11">
        <v>2389251</v>
      </c>
      <c r="J144" s="11">
        <v>3157907</v>
      </c>
      <c r="K144" s="11">
        <v>0</v>
      </c>
      <c r="L144" s="11">
        <v>10962</v>
      </c>
      <c r="M144" s="11">
        <v>3168869</v>
      </c>
      <c r="N144" s="11">
        <v>390398</v>
      </c>
      <c r="O144" s="12">
        <v>10.968494355719871</v>
      </c>
      <c r="P144" s="12">
        <v>52.416546005001976</v>
      </c>
      <c r="Q144" s="12">
        <v>69.279693738756521</v>
      </c>
      <c r="R144" s="13">
        <v>77.844434206485019</v>
      </c>
    </row>
    <row r="145" spans="1:18" x14ac:dyDescent="0.2">
      <c r="A145" s="9">
        <v>44</v>
      </c>
      <c r="B145" s="10" t="s">
        <v>235</v>
      </c>
      <c r="C145" s="10">
        <v>3178</v>
      </c>
      <c r="D145" s="10" t="s">
        <v>236</v>
      </c>
      <c r="E145" s="11">
        <v>12703</v>
      </c>
      <c r="F145" s="11">
        <v>0</v>
      </c>
      <c r="G145" s="11">
        <v>1313871</v>
      </c>
      <c r="H145" s="11">
        <v>1313871</v>
      </c>
      <c r="I145" s="11">
        <v>886014</v>
      </c>
      <c r="J145" s="11">
        <v>1138134</v>
      </c>
      <c r="K145" s="11">
        <v>0</v>
      </c>
      <c r="L145" s="11">
        <v>94330</v>
      </c>
      <c r="M145" s="11">
        <v>1232464</v>
      </c>
      <c r="N145" s="11">
        <v>81407</v>
      </c>
      <c r="O145" s="12">
        <v>6.1959659662173836</v>
      </c>
      <c r="P145" s="12">
        <v>69.74840588837283</v>
      </c>
      <c r="Q145" s="12">
        <v>89.595686058411403</v>
      </c>
      <c r="R145" s="13">
        <v>96.004172242777301</v>
      </c>
    </row>
    <row r="146" spans="1:18" x14ac:dyDescent="0.2">
      <c r="A146" s="9"/>
      <c r="B146" s="10"/>
      <c r="C146" s="10"/>
      <c r="D146" s="10" t="s">
        <v>237</v>
      </c>
      <c r="E146" s="11">
        <v>20546</v>
      </c>
      <c r="F146" s="11">
        <v>687880</v>
      </c>
      <c r="G146" s="11">
        <v>1044688</v>
      </c>
      <c r="H146" s="11">
        <v>1732568</v>
      </c>
      <c r="I146" s="11">
        <v>1134105</v>
      </c>
      <c r="J146" s="11">
        <v>1401368</v>
      </c>
      <c r="K146" s="11">
        <v>0</v>
      </c>
      <c r="L146" s="11">
        <v>86045</v>
      </c>
      <c r="M146" s="11">
        <v>1487413</v>
      </c>
      <c r="N146" s="11">
        <v>245155</v>
      </c>
      <c r="O146" s="12">
        <v>14.149805375604304</v>
      </c>
      <c r="P146" s="12">
        <v>55.198335442421886</v>
      </c>
      <c r="Q146" s="12">
        <v>68.206366202667184</v>
      </c>
      <c r="R146" s="13">
        <v>80.138372432590288</v>
      </c>
    </row>
    <row r="147" spans="1:18" x14ac:dyDescent="0.2">
      <c r="A147" s="9"/>
      <c r="B147" s="10"/>
      <c r="C147" s="10"/>
      <c r="D147" s="10" t="s">
        <v>238</v>
      </c>
      <c r="E147" s="11">
        <v>5462</v>
      </c>
      <c r="F147" s="11">
        <v>82350</v>
      </c>
      <c r="G147" s="11">
        <v>429390</v>
      </c>
      <c r="H147" s="11">
        <v>511740</v>
      </c>
      <c r="I147" s="11">
        <v>357912</v>
      </c>
      <c r="J147" s="11">
        <v>466466</v>
      </c>
      <c r="K147" s="11">
        <v>0</v>
      </c>
      <c r="L147" s="11">
        <v>973</v>
      </c>
      <c r="M147" s="11">
        <v>467439</v>
      </c>
      <c r="N147" s="11">
        <v>44301</v>
      </c>
      <c r="O147" s="12">
        <v>8.6569351623871498</v>
      </c>
      <c r="P147" s="12">
        <v>65.527645551080184</v>
      </c>
      <c r="Q147" s="12">
        <v>85.402050530941054</v>
      </c>
      <c r="R147" s="13">
        <v>93.51281581838154</v>
      </c>
    </row>
    <row r="148" spans="1:18" x14ac:dyDescent="0.2">
      <c r="A148" s="9"/>
      <c r="B148" s="10"/>
      <c r="C148" s="10"/>
      <c r="D148" s="10" t="s">
        <v>239</v>
      </c>
      <c r="E148" s="11">
        <v>18624</v>
      </c>
      <c r="F148" s="11">
        <v>373700</v>
      </c>
      <c r="G148" s="11">
        <v>664803</v>
      </c>
      <c r="H148" s="11">
        <v>1038503</v>
      </c>
      <c r="I148" s="11">
        <v>730819</v>
      </c>
      <c r="J148" s="11">
        <v>972032</v>
      </c>
      <c r="K148" s="11">
        <v>0</v>
      </c>
      <c r="L148" s="11">
        <v>57283</v>
      </c>
      <c r="M148" s="11">
        <v>1029315</v>
      </c>
      <c r="N148" s="11">
        <v>9188</v>
      </c>
      <c r="O148" s="12">
        <v>0.88473504650443957</v>
      </c>
      <c r="P148" s="12">
        <v>39.240710910652922</v>
      </c>
      <c r="Q148" s="12">
        <v>52.192439862542955</v>
      </c>
      <c r="R148" s="13">
        <v>52.685781786941583</v>
      </c>
    </row>
    <row r="149" spans="1:18" x14ac:dyDescent="0.2">
      <c r="A149" s="9"/>
      <c r="B149" s="10"/>
      <c r="C149" s="10"/>
      <c r="D149" s="10" t="s">
        <v>240</v>
      </c>
      <c r="E149" s="11">
        <v>11397</v>
      </c>
      <c r="F149" s="11">
        <v>0</v>
      </c>
      <c r="G149" s="11">
        <v>1058405</v>
      </c>
      <c r="H149" s="11">
        <v>1058405</v>
      </c>
      <c r="I149" s="11">
        <v>761388</v>
      </c>
      <c r="J149" s="11">
        <v>1011976</v>
      </c>
      <c r="K149" s="11">
        <v>0</v>
      </c>
      <c r="L149" s="11">
        <v>23332</v>
      </c>
      <c r="M149" s="11">
        <v>1035308</v>
      </c>
      <c r="N149" s="11">
        <v>23097</v>
      </c>
      <c r="O149" s="12">
        <v>2.1822459266537857</v>
      </c>
      <c r="P149" s="12">
        <v>66.806001579362984</v>
      </c>
      <c r="Q149" s="12">
        <v>88.793191190664203</v>
      </c>
      <c r="R149" s="13">
        <v>90.819777134333592</v>
      </c>
    </row>
    <row r="150" spans="1:18" x14ac:dyDescent="0.2">
      <c r="A150" s="9"/>
      <c r="B150" s="10"/>
      <c r="C150" s="10"/>
      <c r="D150" s="10" t="s">
        <v>105</v>
      </c>
      <c r="E150" s="11">
        <v>68732</v>
      </c>
      <c r="F150" s="11">
        <v>1143930</v>
      </c>
      <c r="G150" s="11">
        <v>4511157</v>
      </c>
      <c r="H150" s="11">
        <v>5655087</v>
      </c>
      <c r="I150" s="11">
        <v>3870238</v>
      </c>
      <c r="J150" s="11">
        <v>4989976</v>
      </c>
      <c r="K150" s="11">
        <v>0</v>
      </c>
      <c r="L150" s="11">
        <v>261963</v>
      </c>
      <c r="M150" s="11">
        <v>5251939</v>
      </c>
      <c r="N150" s="11">
        <v>403148</v>
      </c>
      <c r="O150" s="12">
        <v>7.128944258505661</v>
      </c>
      <c r="P150" s="12">
        <v>56.309113658848865</v>
      </c>
      <c r="Q150" s="12">
        <v>72.600477215852877</v>
      </c>
      <c r="R150" s="13">
        <v>78.465983821218643</v>
      </c>
    </row>
    <row r="151" spans="1:18" x14ac:dyDescent="0.2">
      <c r="A151" s="9">
        <v>45</v>
      </c>
      <c r="B151" s="10" t="s">
        <v>241</v>
      </c>
      <c r="C151" s="10">
        <v>778</v>
      </c>
      <c r="D151" s="10" t="s">
        <v>242</v>
      </c>
      <c r="E151" s="11">
        <v>21126</v>
      </c>
      <c r="F151" s="11">
        <v>0</v>
      </c>
      <c r="G151" s="11">
        <v>1565121</v>
      </c>
      <c r="H151" s="11">
        <v>1565121</v>
      </c>
      <c r="I151" s="11">
        <v>917947</v>
      </c>
      <c r="J151" s="11">
        <v>1260921</v>
      </c>
      <c r="K151" s="11">
        <v>63301</v>
      </c>
      <c r="L151" s="11">
        <v>12970</v>
      </c>
      <c r="M151" s="11">
        <v>1337192</v>
      </c>
      <c r="N151" s="11">
        <v>227929</v>
      </c>
      <c r="O151" s="12">
        <v>14.563027395325983</v>
      </c>
      <c r="P151" s="12">
        <v>43.451055571333903</v>
      </c>
      <c r="Q151" s="12">
        <v>59.685742686736724</v>
      </c>
      <c r="R151" s="13">
        <v>70.474770425068641</v>
      </c>
    </row>
    <row r="152" spans="1:18" x14ac:dyDescent="0.2">
      <c r="A152" s="9"/>
      <c r="B152" s="10"/>
      <c r="C152" s="10"/>
      <c r="D152" s="10" t="s">
        <v>243</v>
      </c>
      <c r="E152" s="11">
        <v>7868</v>
      </c>
      <c r="F152" s="11">
        <v>0</v>
      </c>
      <c r="G152" s="11">
        <v>351101</v>
      </c>
      <c r="H152" s="11">
        <v>351101</v>
      </c>
      <c r="I152" s="11">
        <v>230191</v>
      </c>
      <c r="J152" s="11">
        <v>270092</v>
      </c>
      <c r="K152" s="11">
        <v>0</v>
      </c>
      <c r="L152" s="11">
        <v>4324</v>
      </c>
      <c r="M152" s="11">
        <v>274416</v>
      </c>
      <c r="N152" s="11">
        <v>76685</v>
      </c>
      <c r="O152" s="12">
        <v>21.841293530921302</v>
      </c>
      <c r="P152" s="12">
        <v>29.256609049313674</v>
      </c>
      <c r="Q152" s="12">
        <v>34.327910523640064</v>
      </c>
      <c r="R152" s="13">
        <v>44.07435180477885</v>
      </c>
    </row>
    <row r="153" spans="1:18" x14ac:dyDescent="0.2">
      <c r="A153" s="9"/>
      <c r="B153" s="10"/>
      <c r="C153" s="10"/>
      <c r="D153" s="10" t="s">
        <v>244</v>
      </c>
      <c r="E153" s="11">
        <v>5636</v>
      </c>
      <c r="F153" s="11">
        <v>0</v>
      </c>
      <c r="G153" s="11">
        <v>506744</v>
      </c>
      <c r="H153" s="11">
        <v>506744</v>
      </c>
      <c r="I153" s="11">
        <v>355208</v>
      </c>
      <c r="J153" s="11">
        <v>448733</v>
      </c>
      <c r="K153" s="11">
        <v>0</v>
      </c>
      <c r="L153" s="11">
        <v>0</v>
      </c>
      <c r="M153" s="11">
        <v>448733</v>
      </c>
      <c r="N153" s="11">
        <v>58011</v>
      </c>
      <c r="O153" s="12">
        <v>11.447792179088454</v>
      </c>
      <c r="P153" s="12">
        <v>63.024840312278215</v>
      </c>
      <c r="Q153" s="12">
        <v>79.619056068133432</v>
      </c>
      <c r="R153" s="13">
        <v>89.911994322214341</v>
      </c>
    </row>
    <row r="154" spans="1:18" x14ac:dyDescent="0.2">
      <c r="A154" s="9"/>
      <c r="B154" s="10"/>
      <c r="C154" s="10"/>
      <c r="D154" s="10" t="s">
        <v>245</v>
      </c>
      <c r="E154" s="11">
        <v>6203</v>
      </c>
      <c r="F154" s="11">
        <v>0</v>
      </c>
      <c r="G154" s="11">
        <v>828058</v>
      </c>
      <c r="H154" s="11">
        <v>828058</v>
      </c>
      <c r="I154" s="11">
        <v>296851</v>
      </c>
      <c r="J154" s="11">
        <v>391782</v>
      </c>
      <c r="K154" s="11">
        <v>382900</v>
      </c>
      <c r="L154" s="11">
        <v>0</v>
      </c>
      <c r="M154" s="11">
        <v>774682</v>
      </c>
      <c r="N154" s="11">
        <v>53376</v>
      </c>
      <c r="O154" s="12">
        <v>6.445925285426866</v>
      </c>
      <c r="P154" s="12">
        <v>47.856037401257453</v>
      </c>
      <c r="Q154" s="12">
        <v>63.160083830404645</v>
      </c>
      <c r="R154" s="13">
        <v>71.764952442366592</v>
      </c>
    </row>
    <row r="155" spans="1:18" x14ac:dyDescent="0.2">
      <c r="A155" s="9"/>
      <c r="B155" s="10"/>
      <c r="C155" s="10"/>
      <c r="D155" s="10" t="s">
        <v>105</v>
      </c>
      <c r="E155" s="11">
        <v>40833</v>
      </c>
      <c r="F155" s="11">
        <v>0</v>
      </c>
      <c r="G155" s="11">
        <v>3251024</v>
      </c>
      <c r="H155" s="11">
        <v>3251024</v>
      </c>
      <c r="I155" s="11">
        <v>1800197</v>
      </c>
      <c r="J155" s="11">
        <v>2371528</v>
      </c>
      <c r="K155" s="11">
        <v>446201</v>
      </c>
      <c r="L155" s="11">
        <v>17294</v>
      </c>
      <c r="M155" s="11">
        <v>2835023</v>
      </c>
      <c r="N155" s="11">
        <v>416001</v>
      </c>
      <c r="O155" s="12">
        <v>12.795999045223905</v>
      </c>
      <c r="P155" s="12">
        <v>44.086817035241104</v>
      </c>
      <c r="Q155" s="12">
        <v>58.078710846619153</v>
      </c>
      <c r="R155" s="13">
        <v>68.266573604682492</v>
      </c>
    </row>
    <row r="156" spans="1:18" x14ac:dyDescent="0.2">
      <c r="A156" s="9">
        <v>46</v>
      </c>
      <c r="B156" s="10" t="s">
        <v>246</v>
      </c>
      <c r="C156" s="10">
        <v>6646</v>
      </c>
      <c r="D156" s="10" t="s">
        <v>247</v>
      </c>
      <c r="E156" s="11">
        <v>17529</v>
      </c>
      <c r="F156" s="11">
        <v>0</v>
      </c>
      <c r="G156" s="11">
        <v>1164235</v>
      </c>
      <c r="H156" s="11">
        <v>1164235</v>
      </c>
      <c r="I156" s="11">
        <v>638416</v>
      </c>
      <c r="J156" s="11">
        <v>723001</v>
      </c>
      <c r="K156" s="11">
        <v>0</v>
      </c>
      <c r="L156" s="11">
        <v>0</v>
      </c>
      <c r="M156" s="11">
        <v>723001</v>
      </c>
      <c r="N156" s="11">
        <v>441234</v>
      </c>
      <c r="O156" s="12">
        <v>37.899049590503637</v>
      </c>
      <c r="P156" s="12">
        <v>36.420560214501684</v>
      </c>
      <c r="Q156" s="12">
        <v>41.245992355525132</v>
      </c>
      <c r="R156" s="13">
        <v>66.417650750185402</v>
      </c>
    </row>
    <row r="157" spans="1:18" x14ac:dyDescent="0.2">
      <c r="A157" s="9"/>
      <c r="B157" s="10"/>
      <c r="C157" s="10"/>
      <c r="D157" s="10" t="s">
        <v>248</v>
      </c>
      <c r="E157" s="11">
        <v>18271</v>
      </c>
      <c r="F157" s="11">
        <v>0</v>
      </c>
      <c r="G157" s="11">
        <v>1028737</v>
      </c>
      <c r="H157" s="11">
        <v>1028737</v>
      </c>
      <c r="I157" s="11">
        <v>513135</v>
      </c>
      <c r="J157" s="11">
        <v>620272</v>
      </c>
      <c r="K157" s="11">
        <v>27933</v>
      </c>
      <c r="L157" s="11">
        <v>22585</v>
      </c>
      <c r="M157" s="11">
        <v>670790</v>
      </c>
      <c r="N157" s="11">
        <v>357947</v>
      </c>
      <c r="O157" s="12">
        <v>34.794801781213273</v>
      </c>
      <c r="P157" s="12">
        <v>28.084669695145312</v>
      </c>
      <c r="Q157" s="12">
        <v>33.948442887636148</v>
      </c>
      <c r="R157" s="13">
        <v>53.539434075857919</v>
      </c>
    </row>
    <row r="158" spans="1:18" x14ac:dyDescent="0.2">
      <c r="A158" s="9"/>
      <c r="B158" s="10"/>
      <c r="C158" s="10"/>
      <c r="D158" s="10" t="s">
        <v>249</v>
      </c>
      <c r="E158" s="11">
        <v>10824</v>
      </c>
      <c r="F158" s="11">
        <v>0</v>
      </c>
      <c r="G158" s="11">
        <v>1309094</v>
      </c>
      <c r="H158" s="11">
        <v>1309094</v>
      </c>
      <c r="I158" s="11">
        <v>450087</v>
      </c>
      <c r="J158" s="11">
        <v>548197</v>
      </c>
      <c r="K158" s="11">
        <v>0</v>
      </c>
      <c r="L158" s="11">
        <v>0</v>
      </c>
      <c r="M158" s="11">
        <v>548197</v>
      </c>
      <c r="N158" s="11">
        <v>760897</v>
      </c>
      <c r="O158" s="12">
        <v>58.123939151810333</v>
      </c>
      <c r="P158" s="12">
        <v>41.582317073170735</v>
      </c>
      <c r="Q158" s="12">
        <v>50.646433850702145</v>
      </c>
      <c r="R158" s="13">
        <v>120.94364375461936</v>
      </c>
    </row>
    <row r="159" spans="1:18" x14ac:dyDescent="0.2">
      <c r="A159" s="9"/>
      <c r="B159" s="10"/>
      <c r="C159" s="10"/>
      <c r="D159" s="10" t="s">
        <v>250</v>
      </c>
      <c r="E159" s="11">
        <v>14798</v>
      </c>
      <c r="F159" s="11">
        <v>0</v>
      </c>
      <c r="G159" s="11">
        <v>1182192</v>
      </c>
      <c r="H159" s="11">
        <v>1182192</v>
      </c>
      <c r="I159" s="11">
        <v>444384</v>
      </c>
      <c r="J159" s="11">
        <v>531073</v>
      </c>
      <c r="K159" s="11">
        <v>0</v>
      </c>
      <c r="L159" s="11">
        <v>0</v>
      </c>
      <c r="M159" s="11">
        <v>531073</v>
      </c>
      <c r="N159" s="11">
        <v>651119</v>
      </c>
      <c r="O159" s="12">
        <v>55.077263253346331</v>
      </c>
      <c r="P159" s="12">
        <v>30.030004054601974</v>
      </c>
      <c r="Q159" s="12">
        <v>35.888160562238141</v>
      </c>
      <c r="R159" s="13">
        <v>79.888633599135019</v>
      </c>
    </row>
    <row r="160" spans="1:18" x14ac:dyDescent="0.2">
      <c r="A160" s="9"/>
      <c r="B160" s="10"/>
      <c r="C160" s="10"/>
      <c r="D160" s="10" t="s">
        <v>251</v>
      </c>
      <c r="E160" s="11">
        <v>18124</v>
      </c>
      <c r="F160" s="11">
        <v>0</v>
      </c>
      <c r="G160" s="11">
        <v>853215</v>
      </c>
      <c r="H160" s="11">
        <v>853215</v>
      </c>
      <c r="I160" s="11">
        <v>654393</v>
      </c>
      <c r="J160" s="11">
        <v>728615</v>
      </c>
      <c r="K160" s="11">
        <v>0</v>
      </c>
      <c r="L160" s="11">
        <v>0</v>
      </c>
      <c r="M160" s="11">
        <v>728615</v>
      </c>
      <c r="N160" s="11">
        <v>124600</v>
      </c>
      <c r="O160" s="12">
        <v>14.603587606875172</v>
      </c>
      <c r="P160" s="12">
        <v>36.106433458397703</v>
      </c>
      <c r="Q160" s="12">
        <v>40.201666298830283</v>
      </c>
      <c r="R160" s="13">
        <v>47.076528360185392</v>
      </c>
    </row>
    <row r="161" spans="1:18" x14ac:dyDescent="0.2">
      <c r="A161" s="9"/>
      <c r="B161" s="10"/>
      <c r="C161" s="10"/>
      <c r="D161" s="10" t="s">
        <v>252</v>
      </c>
      <c r="E161" s="11">
        <v>8497</v>
      </c>
      <c r="F161" s="11">
        <v>0</v>
      </c>
      <c r="G161" s="11">
        <v>586758</v>
      </c>
      <c r="H161" s="11">
        <v>586758</v>
      </c>
      <c r="I161" s="11">
        <v>393001</v>
      </c>
      <c r="J161" s="11">
        <v>481430</v>
      </c>
      <c r="K161" s="11">
        <v>0</v>
      </c>
      <c r="L161" s="11">
        <v>0</v>
      </c>
      <c r="M161" s="11">
        <v>481430</v>
      </c>
      <c r="N161" s="11">
        <v>105328</v>
      </c>
      <c r="O161" s="12">
        <v>17.95084174395577</v>
      </c>
      <c r="P161" s="12">
        <v>46.251735906790636</v>
      </c>
      <c r="Q161" s="12">
        <v>56.658820760268327</v>
      </c>
      <c r="R161" s="13">
        <v>69.054725197128391</v>
      </c>
    </row>
    <row r="162" spans="1:18" x14ac:dyDescent="0.2">
      <c r="A162" s="9"/>
      <c r="B162" s="10"/>
      <c r="C162" s="10"/>
      <c r="D162" s="10" t="s">
        <v>105</v>
      </c>
      <c r="E162" s="11">
        <v>88043</v>
      </c>
      <c r="F162" s="11">
        <v>0</v>
      </c>
      <c r="G162" s="11">
        <v>6124231</v>
      </c>
      <c r="H162" s="11">
        <v>6124231</v>
      </c>
      <c r="I162" s="11">
        <v>3093416</v>
      </c>
      <c r="J162" s="11">
        <v>3632588</v>
      </c>
      <c r="K162" s="11">
        <v>27933</v>
      </c>
      <c r="L162" s="11">
        <v>22585</v>
      </c>
      <c r="M162" s="11">
        <v>3683106</v>
      </c>
      <c r="N162" s="11">
        <v>2441125</v>
      </c>
      <c r="O162" s="12">
        <v>39.860106517863223</v>
      </c>
      <c r="P162" s="12">
        <v>35.135286166986589</v>
      </c>
      <c r="Q162" s="12">
        <v>41.259248321842733</v>
      </c>
      <c r="R162" s="13">
        <v>68.985756959667441</v>
      </c>
    </row>
    <row r="163" spans="1:18" x14ac:dyDescent="0.2">
      <c r="A163" s="9">
        <v>47</v>
      </c>
      <c r="B163" s="10" t="s">
        <v>253</v>
      </c>
      <c r="C163" s="10">
        <v>1626</v>
      </c>
      <c r="D163" s="10" t="s">
        <v>254</v>
      </c>
      <c r="E163" s="11">
        <v>7061</v>
      </c>
      <c r="F163" s="11">
        <v>0</v>
      </c>
      <c r="G163" s="11">
        <v>441209</v>
      </c>
      <c r="H163" s="11">
        <v>441209</v>
      </c>
      <c r="I163" s="11">
        <v>303090</v>
      </c>
      <c r="J163" s="11">
        <v>348972</v>
      </c>
      <c r="K163" s="11">
        <v>0</v>
      </c>
      <c r="L163" s="11">
        <v>25504</v>
      </c>
      <c r="M163" s="11">
        <v>374476</v>
      </c>
      <c r="N163" s="11">
        <v>66733</v>
      </c>
      <c r="O163" s="12">
        <v>15.125031447681259</v>
      </c>
      <c r="P163" s="12">
        <v>42.924514941226455</v>
      </c>
      <c r="Q163" s="12">
        <v>49.422461407732612</v>
      </c>
      <c r="R163" s="13">
        <v>58.873389038379834</v>
      </c>
    </row>
    <row r="164" spans="1:18" x14ac:dyDescent="0.2">
      <c r="A164" s="9"/>
      <c r="B164" s="10"/>
      <c r="C164" s="10"/>
      <c r="D164" s="10" t="s">
        <v>255</v>
      </c>
      <c r="E164" s="11">
        <v>17714</v>
      </c>
      <c r="F164" s="11">
        <v>0</v>
      </c>
      <c r="G164" s="11">
        <v>1234681</v>
      </c>
      <c r="H164" s="11">
        <v>1234681</v>
      </c>
      <c r="I164" s="11">
        <v>944418</v>
      </c>
      <c r="J164" s="11">
        <v>1025217</v>
      </c>
      <c r="K164" s="11">
        <v>0</v>
      </c>
      <c r="L164" s="11">
        <v>14385</v>
      </c>
      <c r="M164" s="11">
        <v>1039602</v>
      </c>
      <c r="N164" s="11">
        <v>195079</v>
      </c>
      <c r="O164" s="12">
        <v>15.799951566436999</v>
      </c>
      <c r="P164" s="12">
        <v>53.314779270633395</v>
      </c>
      <c r="Q164" s="12">
        <v>57.876086711075985</v>
      </c>
      <c r="R164" s="13">
        <v>68.888788528847243</v>
      </c>
    </row>
    <row r="165" spans="1:18" x14ac:dyDescent="0.2">
      <c r="A165" s="9"/>
      <c r="B165" s="10"/>
      <c r="C165" s="10"/>
      <c r="D165" s="10" t="s">
        <v>256</v>
      </c>
      <c r="E165" s="11">
        <v>12802</v>
      </c>
      <c r="F165" s="11">
        <v>0</v>
      </c>
      <c r="G165" s="11">
        <v>657602</v>
      </c>
      <c r="H165" s="11">
        <v>657602</v>
      </c>
      <c r="I165" s="11">
        <v>464443</v>
      </c>
      <c r="J165" s="11">
        <v>547765</v>
      </c>
      <c r="K165" s="11">
        <v>0</v>
      </c>
      <c r="L165" s="11">
        <v>9882</v>
      </c>
      <c r="M165" s="11">
        <v>557647</v>
      </c>
      <c r="N165" s="11">
        <v>99955</v>
      </c>
      <c r="O165" s="12">
        <v>15.19992335789733</v>
      </c>
      <c r="P165" s="12">
        <v>36.278940790501487</v>
      </c>
      <c r="Q165" s="12">
        <v>42.787455085142945</v>
      </c>
      <c r="R165" s="13">
        <v>50.595219496953604</v>
      </c>
    </row>
    <row r="166" spans="1:18" x14ac:dyDescent="0.2">
      <c r="A166" s="9"/>
      <c r="B166" s="10"/>
      <c r="C166" s="10"/>
      <c r="D166" s="10" t="s">
        <v>257</v>
      </c>
      <c r="E166" s="11">
        <v>6381</v>
      </c>
      <c r="F166" s="11">
        <v>0</v>
      </c>
      <c r="G166" s="11">
        <v>366201</v>
      </c>
      <c r="H166" s="11">
        <v>366201</v>
      </c>
      <c r="I166" s="11">
        <v>260666</v>
      </c>
      <c r="J166" s="11">
        <v>311825</v>
      </c>
      <c r="K166" s="11">
        <v>0</v>
      </c>
      <c r="L166" s="11">
        <v>6024</v>
      </c>
      <c r="M166" s="11">
        <v>317849</v>
      </c>
      <c r="N166" s="11">
        <v>48352</v>
      </c>
      <c r="O166" s="12">
        <v>13.203677761666407</v>
      </c>
      <c r="P166" s="12">
        <v>40.850336937784043</v>
      </c>
      <c r="Q166" s="12">
        <v>48.867732330355743</v>
      </c>
      <c r="R166" s="13">
        <v>56.445228020686415</v>
      </c>
    </row>
    <row r="167" spans="1:18" x14ac:dyDescent="0.2">
      <c r="A167" s="9"/>
      <c r="B167" s="10"/>
      <c r="C167" s="10"/>
      <c r="D167" s="10" t="s">
        <v>258</v>
      </c>
      <c r="E167" s="11">
        <v>38717</v>
      </c>
      <c r="F167" s="11">
        <v>0</v>
      </c>
      <c r="G167" s="11">
        <v>3078011</v>
      </c>
      <c r="H167" s="11">
        <v>3078011</v>
      </c>
      <c r="I167" s="11">
        <v>1981249</v>
      </c>
      <c r="J167" s="11">
        <v>2365030</v>
      </c>
      <c r="K167" s="11">
        <v>29202</v>
      </c>
      <c r="L167" s="11">
        <v>28162</v>
      </c>
      <c r="M167" s="11">
        <v>2422394</v>
      </c>
      <c r="N167" s="11">
        <v>655617</v>
      </c>
      <c r="O167" s="12">
        <v>21.300021344952956</v>
      </c>
      <c r="P167" s="12">
        <v>51.172585685874424</v>
      </c>
      <c r="Q167" s="12">
        <v>61.085053077459513</v>
      </c>
      <c r="R167" s="13">
        <v>78.018622310612912</v>
      </c>
    </row>
    <row r="168" spans="1:18" x14ac:dyDescent="0.2">
      <c r="A168" s="9"/>
      <c r="B168" s="10"/>
      <c r="C168" s="10"/>
      <c r="D168" s="10" t="s">
        <v>259</v>
      </c>
      <c r="E168" s="11">
        <v>31146</v>
      </c>
      <c r="F168" s="11">
        <v>0</v>
      </c>
      <c r="G168" s="11">
        <v>2160903</v>
      </c>
      <c r="H168" s="11">
        <v>2160903</v>
      </c>
      <c r="I168" s="11">
        <v>1506654</v>
      </c>
      <c r="J168" s="11">
        <v>1733748</v>
      </c>
      <c r="K168" s="11">
        <v>22969</v>
      </c>
      <c r="L168" s="11">
        <v>21278</v>
      </c>
      <c r="M168" s="11">
        <v>1777995</v>
      </c>
      <c r="N168" s="11">
        <v>382908</v>
      </c>
      <c r="O168" s="12">
        <v>17.719814355387538</v>
      </c>
      <c r="P168" s="12">
        <v>48.373916393758428</v>
      </c>
      <c r="Q168" s="12">
        <v>55.665189751492967</v>
      </c>
      <c r="R168" s="13">
        <v>67.95916008476209</v>
      </c>
    </row>
    <row r="169" spans="1:18" x14ac:dyDescent="0.2">
      <c r="A169" s="9"/>
      <c r="B169" s="10"/>
      <c r="C169" s="10"/>
      <c r="D169" s="10" t="s">
        <v>260</v>
      </c>
      <c r="E169" s="11">
        <v>7195</v>
      </c>
      <c r="F169" s="11">
        <v>0</v>
      </c>
      <c r="G169" s="11">
        <v>543067</v>
      </c>
      <c r="H169" s="11">
        <v>543067</v>
      </c>
      <c r="I169" s="11">
        <v>441210</v>
      </c>
      <c r="J169" s="11">
        <v>471383</v>
      </c>
      <c r="K169" s="11">
        <v>0</v>
      </c>
      <c r="L169" s="11">
        <v>0</v>
      </c>
      <c r="M169" s="11">
        <v>471383</v>
      </c>
      <c r="N169" s="11">
        <v>71684</v>
      </c>
      <c r="O169" s="12">
        <v>13.199844586395418</v>
      </c>
      <c r="P169" s="12">
        <v>61.321751216122308</v>
      </c>
      <c r="Q169" s="12">
        <v>65.515357887421814</v>
      </c>
      <c r="R169" s="13">
        <v>75.478387769284225</v>
      </c>
    </row>
    <row r="170" spans="1:18" x14ac:dyDescent="0.2">
      <c r="A170" s="9"/>
      <c r="B170" s="10"/>
      <c r="C170" s="10"/>
      <c r="D170" s="10" t="s">
        <v>261</v>
      </c>
      <c r="E170" s="11">
        <v>12276</v>
      </c>
      <c r="F170" s="11">
        <v>0</v>
      </c>
      <c r="G170" s="11">
        <v>902935</v>
      </c>
      <c r="H170" s="11">
        <v>902935</v>
      </c>
      <c r="I170" s="11">
        <v>516123</v>
      </c>
      <c r="J170" s="11">
        <v>627361</v>
      </c>
      <c r="K170" s="11">
        <v>0</v>
      </c>
      <c r="L170" s="11">
        <v>85045</v>
      </c>
      <c r="M170" s="11">
        <v>712406</v>
      </c>
      <c r="N170" s="11">
        <v>190529</v>
      </c>
      <c r="O170" s="12">
        <v>21.101075935698582</v>
      </c>
      <c r="P170" s="12">
        <v>42.043255131964813</v>
      </c>
      <c r="Q170" s="12">
        <v>51.104675790159661</v>
      </c>
      <c r="R170" s="13">
        <v>66.625122189638319</v>
      </c>
    </row>
    <row r="171" spans="1:18" x14ac:dyDescent="0.2">
      <c r="A171" s="9"/>
      <c r="B171" s="10"/>
      <c r="C171" s="10"/>
      <c r="D171" s="10" t="s">
        <v>262</v>
      </c>
      <c r="E171" s="11">
        <v>8295</v>
      </c>
      <c r="F171" s="11">
        <v>0</v>
      </c>
      <c r="G171" s="11">
        <v>541897</v>
      </c>
      <c r="H171" s="11">
        <v>541897</v>
      </c>
      <c r="I171" s="11">
        <v>409292</v>
      </c>
      <c r="J171" s="11">
        <v>453541</v>
      </c>
      <c r="K171" s="11">
        <v>0</v>
      </c>
      <c r="L171" s="11">
        <v>4906</v>
      </c>
      <c r="M171" s="11">
        <v>458447</v>
      </c>
      <c r="N171" s="11">
        <v>83450</v>
      </c>
      <c r="O171" s="12">
        <v>15.399605460078206</v>
      </c>
      <c r="P171" s="12">
        <v>49.342013261000602</v>
      </c>
      <c r="Q171" s="12">
        <v>54.676431585292342</v>
      </c>
      <c r="R171" s="13">
        <v>64.736708860759492</v>
      </c>
    </row>
    <row r="172" spans="1:18" x14ac:dyDescent="0.2">
      <c r="A172" s="9"/>
      <c r="B172" s="10"/>
      <c r="C172" s="10"/>
      <c r="D172" s="10" t="s">
        <v>263</v>
      </c>
      <c r="E172" s="11">
        <v>3157</v>
      </c>
      <c r="F172" s="11">
        <v>0</v>
      </c>
      <c r="G172" s="11">
        <v>207145</v>
      </c>
      <c r="H172" s="11">
        <v>207145</v>
      </c>
      <c r="I172" s="11">
        <v>171451</v>
      </c>
      <c r="J172" s="11">
        <v>200001</v>
      </c>
      <c r="K172" s="11">
        <v>0</v>
      </c>
      <c r="L172" s="11">
        <v>500</v>
      </c>
      <c r="M172" s="11">
        <v>200501</v>
      </c>
      <c r="N172" s="11">
        <v>6644</v>
      </c>
      <c r="O172" s="12">
        <v>3.2074150957059064</v>
      </c>
      <c r="P172" s="12">
        <v>54.308203991130817</v>
      </c>
      <c r="Q172" s="12">
        <v>63.351599619892305</v>
      </c>
      <c r="R172" s="13">
        <v>65.456129236617045</v>
      </c>
    </row>
    <row r="173" spans="1:18" x14ac:dyDescent="0.2">
      <c r="A173" s="9"/>
      <c r="B173" s="10"/>
      <c r="C173" s="10"/>
      <c r="D173" s="10" t="s">
        <v>105</v>
      </c>
      <c r="E173" s="11">
        <v>144744</v>
      </c>
      <c r="F173" s="11">
        <v>0</v>
      </c>
      <c r="G173" s="11">
        <v>10133651</v>
      </c>
      <c r="H173" s="11">
        <v>10133651</v>
      </c>
      <c r="I173" s="11">
        <v>6998596</v>
      </c>
      <c r="J173" s="11">
        <v>8084843</v>
      </c>
      <c r="K173" s="11">
        <v>52171</v>
      </c>
      <c r="L173" s="11">
        <v>195686</v>
      </c>
      <c r="M173" s="11">
        <v>8332700</v>
      </c>
      <c r="N173" s="11">
        <v>1800951</v>
      </c>
      <c r="O173" s="12">
        <v>17.771985634792436</v>
      </c>
      <c r="P173" s="12">
        <v>48.351544796330074</v>
      </c>
      <c r="Q173" s="12">
        <v>55.856152932073179</v>
      </c>
      <c r="R173" s="13">
        <v>68.298471784668109</v>
      </c>
    </row>
    <row r="174" spans="1:18" x14ac:dyDescent="0.2">
      <c r="A174" s="9">
        <v>48</v>
      </c>
      <c r="B174" s="10" t="s">
        <v>264</v>
      </c>
      <c r="C174" s="10">
        <v>5876</v>
      </c>
      <c r="D174" s="10" t="s">
        <v>265</v>
      </c>
      <c r="E174" s="11">
        <v>41451</v>
      </c>
      <c r="F174" s="11">
        <v>0</v>
      </c>
      <c r="G174" s="11">
        <v>4072599</v>
      </c>
      <c r="H174" s="11">
        <v>4072599</v>
      </c>
      <c r="I174" s="11">
        <v>2283863</v>
      </c>
      <c r="J174" s="11">
        <v>3451142</v>
      </c>
      <c r="K174" s="11">
        <v>14564</v>
      </c>
      <c r="L174" s="11">
        <v>0</v>
      </c>
      <c r="M174" s="11">
        <v>3465706</v>
      </c>
      <c r="N174" s="11">
        <v>606893</v>
      </c>
      <c r="O174" s="12">
        <v>14.901859967062803</v>
      </c>
      <c r="P174" s="12">
        <v>55.097898723794358</v>
      </c>
      <c r="Q174" s="12">
        <v>83.258353236351354</v>
      </c>
      <c r="R174" s="13">
        <v>97.899568164821119</v>
      </c>
    </row>
    <row r="175" spans="1:18" x14ac:dyDescent="0.2">
      <c r="A175" s="9"/>
      <c r="B175" s="10"/>
      <c r="C175" s="10"/>
      <c r="D175" s="10" t="s">
        <v>105</v>
      </c>
      <c r="E175" s="11">
        <v>41451</v>
      </c>
      <c r="F175" s="11">
        <v>0</v>
      </c>
      <c r="G175" s="11">
        <v>4072599</v>
      </c>
      <c r="H175" s="11">
        <v>4072599</v>
      </c>
      <c r="I175" s="11">
        <v>2283863</v>
      </c>
      <c r="J175" s="11">
        <v>3451142</v>
      </c>
      <c r="K175" s="11">
        <v>14564</v>
      </c>
      <c r="L175" s="11">
        <v>0</v>
      </c>
      <c r="M175" s="11">
        <v>3465706</v>
      </c>
      <c r="N175" s="11">
        <v>606893</v>
      </c>
      <c r="O175" s="12">
        <v>14.901859967062803</v>
      </c>
      <c r="P175" s="12">
        <v>55.097898723794358</v>
      </c>
      <c r="Q175" s="12">
        <v>83.258353236351354</v>
      </c>
      <c r="R175" s="13">
        <v>97.899568164821119</v>
      </c>
    </row>
    <row r="176" spans="1:18" x14ac:dyDescent="0.2">
      <c r="A176" s="9">
        <v>49</v>
      </c>
      <c r="B176" s="10" t="s">
        <v>266</v>
      </c>
      <c r="C176" s="10">
        <v>636</v>
      </c>
      <c r="D176" s="10" t="s">
        <v>267</v>
      </c>
      <c r="E176" s="11">
        <v>44715</v>
      </c>
      <c r="F176" s="11">
        <v>0</v>
      </c>
      <c r="G176" s="11">
        <v>3860972</v>
      </c>
      <c r="H176" s="11">
        <v>3860972</v>
      </c>
      <c r="I176" s="11">
        <v>2042448</v>
      </c>
      <c r="J176" s="11">
        <v>3197387</v>
      </c>
      <c r="K176" s="11">
        <v>398897</v>
      </c>
      <c r="L176" s="11">
        <v>0</v>
      </c>
      <c r="M176" s="11">
        <v>3596284</v>
      </c>
      <c r="N176" s="11">
        <v>264688</v>
      </c>
      <c r="O176" s="12">
        <v>6.8554757713860663</v>
      </c>
      <c r="P176" s="12">
        <v>45.677021133847703</v>
      </c>
      <c r="Q176" s="12">
        <v>71.505915240970594</v>
      </c>
      <c r="R176" s="13">
        <v>77.425360617242532</v>
      </c>
    </row>
    <row r="177" spans="1:18" x14ac:dyDescent="0.2">
      <c r="A177" s="9"/>
      <c r="B177" s="10"/>
      <c r="C177" s="10"/>
      <c r="D177" s="10" t="s">
        <v>105</v>
      </c>
      <c r="E177" s="11">
        <v>44715</v>
      </c>
      <c r="F177" s="11">
        <v>0</v>
      </c>
      <c r="G177" s="11">
        <v>3860972</v>
      </c>
      <c r="H177" s="11">
        <v>3860972</v>
      </c>
      <c r="I177" s="11">
        <v>2042448</v>
      </c>
      <c r="J177" s="11">
        <v>3197387</v>
      </c>
      <c r="K177" s="11">
        <v>398897</v>
      </c>
      <c r="L177" s="11">
        <v>0</v>
      </c>
      <c r="M177" s="11">
        <v>3596284</v>
      </c>
      <c r="N177" s="11">
        <v>264688</v>
      </c>
      <c r="O177" s="12">
        <v>6.8554757713860663</v>
      </c>
      <c r="P177" s="12">
        <v>45.677021133847703</v>
      </c>
      <c r="Q177" s="12">
        <v>71.505915240970594</v>
      </c>
      <c r="R177" s="13">
        <v>77.425360617242532</v>
      </c>
    </row>
    <row r="178" spans="1:18" x14ac:dyDescent="0.2">
      <c r="A178" s="9">
        <v>50</v>
      </c>
      <c r="B178" s="10" t="s">
        <v>268</v>
      </c>
      <c r="C178" s="10">
        <v>6544</v>
      </c>
      <c r="D178" s="10" t="s">
        <v>269</v>
      </c>
      <c r="E178" s="11">
        <v>48140</v>
      </c>
      <c r="F178" s="11">
        <v>0</v>
      </c>
      <c r="G178" s="11">
        <v>11297618</v>
      </c>
      <c r="H178" s="11">
        <v>11297618</v>
      </c>
      <c r="I178" s="11">
        <v>3749233</v>
      </c>
      <c r="J178" s="11">
        <v>6447879</v>
      </c>
      <c r="K178" s="11">
        <v>4104430</v>
      </c>
      <c r="L178" s="11">
        <v>78392</v>
      </c>
      <c r="M178" s="11">
        <v>10630701</v>
      </c>
      <c r="N178" s="11">
        <v>666917</v>
      </c>
      <c r="O178" s="12">
        <v>5.9031647202091628</v>
      </c>
      <c r="P178" s="12">
        <v>77.881865392604908</v>
      </c>
      <c r="Q178" s="12">
        <v>133.94015371832157</v>
      </c>
      <c r="R178" s="13">
        <v>147.79385126713751</v>
      </c>
    </row>
    <row r="179" spans="1:18" x14ac:dyDescent="0.2">
      <c r="A179" s="9"/>
      <c r="B179" s="10"/>
      <c r="C179" s="10"/>
      <c r="D179" s="10" t="s">
        <v>105</v>
      </c>
      <c r="E179" s="11">
        <v>48140</v>
      </c>
      <c r="F179" s="11">
        <v>0</v>
      </c>
      <c r="G179" s="11">
        <v>11297618</v>
      </c>
      <c r="H179" s="11">
        <v>11297618</v>
      </c>
      <c r="I179" s="11">
        <v>3749233</v>
      </c>
      <c r="J179" s="11">
        <v>6447879</v>
      </c>
      <c r="K179" s="11">
        <v>4104430</v>
      </c>
      <c r="L179" s="11">
        <v>78392</v>
      </c>
      <c r="M179" s="11">
        <v>10630701</v>
      </c>
      <c r="N179" s="11">
        <v>666917</v>
      </c>
      <c r="O179" s="12">
        <v>5.9031647202091628</v>
      </c>
      <c r="P179" s="12">
        <v>77.881865392604908</v>
      </c>
      <c r="Q179" s="12">
        <v>133.94015371832157</v>
      </c>
      <c r="R179" s="13">
        <v>147.79385126713751</v>
      </c>
    </row>
    <row r="180" spans="1:18" x14ac:dyDescent="0.2">
      <c r="A180" s="9">
        <v>51</v>
      </c>
      <c r="B180" s="10" t="s">
        <v>270</v>
      </c>
      <c r="C180" s="10">
        <v>1464</v>
      </c>
      <c r="D180" s="10" t="s">
        <v>271</v>
      </c>
      <c r="E180" s="11">
        <v>8873</v>
      </c>
      <c r="F180" s="11">
        <v>0</v>
      </c>
      <c r="G180" s="11">
        <v>764298</v>
      </c>
      <c r="H180" s="11">
        <v>764298</v>
      </c>
      <c r="I180" s="11">
        <v>454546</v>
      </c>
      <c r="J180" s="11">
        <v>659239</v>
      </c>
      <c r="K180" s="11">
        <v>38456</v>
      </c>
      <c r="L180" s="11">
        <v>13690</v>
      </c>
      <c r="M180" s="11">
        <v>711385</v>
      </c>
      <c r="N180" s="11">
        <v>52913</v>
      </c>
      <c r="O180" s="12">
        <v>6.9230849747088179</v>
      </c>
      <c r="P180" s="12">
        <v>51.227995041136033</v>
      </c>
      <c r="Q180" s="12">
        <v>74.297193733799162</v>
      </c>
      <c r="R180" s="13">
        <v>80.260565761298324</v>
      </c>
    </row>
    <row r="181" spans="1:18" x14ac:dyDescent="0.2">
      <c r="A181" s="9"/>
      <c r="B181" s="10"/>
      <c r="C181" s="10"/>
      <c r="D181" s="10" t="s">
        <v>272</v>
      </c>
      <c r="E181" s="11">
        <v>2992</v>
      </c>
      <c r="F181" s="11">
        <v>0</v>
      </c>
      <c r="G181" s="11">
        <v>185149</v>
      </c>
      <c r="H181" s="11">
        <v>185149</v>
      </c>
      <c r="I181" s="11">
        <v>156286</v>
      </c>
      <c r="J181" s="11">
        <v>172177</v>
      </c>
      <c r="K181" s="11">
        <v>0</v>
      </c>
      <c r="L181" s="11">
        <v>5290</v>
      </c>
      <c r="M181" s="11">
        <v>177467</v>
      </c>
      <c r="N181" s="11">
        <v>7682</v>
      </c>
      <c r="O181" s="12">
        <v>4.1490907323290971</v>
      </c>
      <c r="P181" s="12">
        <v>52.234625668449198</v>
      </c>
      <c r="Q181" s="12">
        <v>57.545788770053477</v>
      </c>
      <c r="R181" s="13">
        <v>60.113302139037437</v>
      </c>
    </row>
    <row r="182" spans="1:18" x14ac:dyDescent="0.2">
      <c r="A182" s="9"/>
      <c r="B182" s="10"/>
      <c r="C182" s="10"/>
      <c r="D182" s="10" t="s">
        <v>273</v>
      </c>
      <c r="E182" s="11">
        <v>6029</v>
      </c>
      <c r="F182" s="11">
        <v>0</v>
      </c>
      <c r="G182" s="11">
        <v>511655</v>
      </c>
      <c r="H182" s="11">
        <v>511655</v>
      </c>
      <c r="I182" s="11">
        <v>369871</v>
      </c>
      <c r="J182" s="11">
        <v>403548</v>
      </c>
      <c r="K182" s="11">
        <v>0</v>
      </c>
      <c r="L182" s="11">
        <v>5565</v>
      </c>
      <c r="M182" s="11">
        <v>409113</v>
      </c>
      <c r="N182" s="11">
        <v>102542</v>
      </c>
      <c r="O182" s="12">
        <v>20.041238725312954</v>
      </c>
      <c r="P182" s="12">
        <v>61.348648200364906</v>
      </c>
      <c r="Q182" s="12">
        <v>66.934483330568924</v>
      </c>
      <c r="R182" s="13">
        <v>83.942610714878086</v>
      </c>
    </row>
    <row r="183" spans="1:18" x14ac:dyDescent="0.2">
      <c r="A183" s="9"/>
      <c r="B183" s="10"/>
      <c r="C183" s="10"/>
      <c r="D183" s="10" t="s">
        <v>274</v>
      </c>
      <c r="E183" s="11">
        <v>1638</v>
      </c>
      <c r="F183" s="11">
        <v>0</v>
      </c>
      <c r="G183" s="11">
        <v>135059</v>
      </c>
      <c r="H183" s="11">
        <v>135059</v>
      </c>
      <c r="I183" s="11">
        <v>83442</v>
      </c>
      <c r="J183" s="11">
        <v>123843</v>
      </c>
      <c r="K183" s="11">
        <v>0</v>
      </c>
      <c r="L183" s="11">
        <v>2187</v>
      </c>
      <c r="M183" s="11">
        <v>126030</v>
      </c>
      <c r="N183" s="11">
        <v>9029</v>
      </c>
      <c r="O183" s="12">
        <v>6.6852264565856396</v>
      </c>
      <c r="P183" s="12">
        <v>50.941391941391942</v>
      </c>
      <c r="Q183" s="12">
        <v>75.606227106227109</v>
      </c>
      <c r="R183" s="13">
        <v>81.118437118437114</v>
      </c>
    </row>
    <row r="184" spans="1:18" x14ac:dyDescent="0.2">
      <c r="A184" s="9"/>
      <c r="B184" s="10"/>
      <c r="C184" s="10"/>
      <c r="D184" s="10" t="s">
        <v>275</v>
      </c>
      <c r="E184" s="11">
        <v>32901</v>
      </c>
      <c r="F184" s="11">
        <v>0</v>
      </c>
      <c r="G184" s="11">
        <v>2897390</v>
      </c>
      <c r="H184" s="11">
        <v>2897390</v>
      </c>
      <c r="I184" s="11">
        <v>1496251</v>
      </c>
      <c r="J184" s="11">
        <v>2187761</v>
      </c>
      <c r="K184" s="11">
        <v>242376</v>
      </c>
      <c r="L184" s="11">
        <v>11892</v>
      </c>
      <c r="M184" s="11">
        <v>2442029</v>
      </c>
      <c r="N184" s="11">
        <v>455361</v>
      </c>
      <c r="O184" s="12">
        <v>15.716248071540248</v>
      </c>
      <c r="P184" s="12">
        <v>45.477371508464792</v>
      </c>
      <c r="Q184" s="12">
        <v>66.495273699887548</v>
      </c>
      <c r="R184" s="13">
        <v>80.335612899303968</v>
      </c>
    </row>
    <row r="185" spans="1:18" x14ac:dyDescent="0.2">
      <c r="A185" s="9"/>
      <c r="B185" s="10"/>
      <c r="C185" s="10"/>
      <c r="D185" s="10" t="s">
        <v>276</v>
      </c>
      <c r="E185" s="11">
        <v>11145</v>
      </c>
      <c r="F185" s="11">
        <v>0</v>
      </c>
      <c r="G185" s="11">
        <v>762256</v>
      </c>
      <c r="H185" s="11">
        <v>762256</v>
      </c>
      <c r="I185" s="11">
        <v>452781</v>
      </c>
      <c r="J185" s="11">
        <v>501742</v>
      </c>
      <c r="K185" s="11">
        <v>0</v>
      </c>
      <c r="L185" s="11">
        <v>107233</v>
      </c>
      <c r="M185" s="11">
        <v>608975</v>
      </c>
      <c r="N185" s="11">
        <v>153281</v>
      </c>
      <c r="O185" s="12">
        <v>20.108861065049012</v>
      </c>
      <c r="P185" s="12">
        <v>40.626379542395696</v>
      </c>
      <c r="Q185" s="12">
        <v>45.019470614625391</v>
      </c>
      <c r="R185" s="13">
        <v>58.772812920592195</v>
      </c>
    </row>
    <row r="186" spans="1:18" x14ac:dyDescent="0.2">
      <c r="A186" s="9"/>
      <c r="B186" s="10"/>
      <c r="C186" s="10"/>
      <c r="D186" s="10" t="s">
        <v>277</v>
      </c>
      <c r="E186" s="11">
        <v>5874</v>
      </c>
      <c r="F186" s="11">
        <v>0</v>
      </c>
      <c r="G186" s="11">
        <v>382912</v>
      </c>
      <c r="H186" s="11">
        <v>382912</v>
      </c>
      <c r="I186" s="11">
        <v>264489</v>
      </c>
      <c r="J186" s="11">
        <v>304987</v>
      </c>
      <c r="K186" s="11">
        <v>0</v>
      </c>
      <c r="L186" s="11">
        <v>7168</v>
      </c>
      <c r="M186" s="11">
        <v>312155</v>
      </c>
      <c r="N186" s="11">
        <v>70757</v>
      </c>
      <c r="O186" s="12">
        <v>18.478658281798431</v>
      </c>
      <c r="P186" s="12">
        <v>45.027068437180795</v>
      </c>
      <c r="Q186" s="12">
        <v>51.921518556350016</v>
      </c>
      <c r="R186" s="13">
        <v>63.967313585291116</v>
      </c>
    </row>
    <row r="187" spans="1:18" x14ac:dyDescent="0.2">
      <c r="A187" s="9"/>
      <c r="B187" s="10"/>
      <c r="C187" s="10"/>
      <c r="D187" s="10" t="s">
        <v>278</v>
      </c>
      <c r="E187" s="11">
        <v>21122</v>
      </c>
      <c r="F187" s="11">
        <v>0</v>
      </c>
      <c r="G187" s="11">
        <v>1347815</v>
      </c>
      <c r="H187" s="11">
        <v>1347815</v>
      </c>
      <c r="I187" s="11">
        <v>905259</v>
      </c>
      <c r="J187" s="11">
        <v>977874</v>
      </c>
      <c r="K187" s="11">
        <v>15746</v>
      </c>
      <c r="L187" s="11">
        <v>13574</v>
      </c>
      <c r="M187" s="11">
        <v>1007194</v>
      </c>
      <c r="N187" s="11">
        <v>340621</v>
      </c>
      <c r="O187" s="12">
        <v>25.272088528470153</v>
      </c>
      <c r="P187" s="12">
        <v>42.858583467474674</v>
      </c>
      <c r="Q187" s="12">
        <v>46.296468137486983</v>
      </c>
      <c r="R187" s="13">
        <v>62.422829277530539</v>
      </c>
    </row>
    <row r="188" spans="1:18" x14ac:dyDescent="0.2">
      <c r="A188" s="9"/>
      <c r="B188" s="10"/>
      <c r="C188" s="10"/>
      <c r="D188" s="10" t="s">
        <v>279</v>
      </c>
      <c r="E188" s="11">
        <v>3943</v>
      </c>
      <c r="F188" s="11">
        <v>0</v>
      </c>
      <c r="G188" s="11">
        <v>276372</v>
      </c>
      <c r="H188" s="11">
        <v>276372</v>
      </c>
      <c r="I188" s="11">
        <v>192049</v>
      </c>
      <c r="J188" s="11">
        <v>231623</v>
      </c>
      <c r="K188" s="11">
        <v>0</v>
      </c>
      <c r="L188" s="11">
        <v>2833</v>
      </c>
      <c r="M188" s="11">
        <v>234456</v>
      </c>
      <c r="N188" s="11">
        <v>41916</v>
      </c>
      <c r="O188" s="12">
        <v>15.166514697581521</v>
      </c>
      <c r="P188" s="12">
        <v>48.706314988587373</v>
      </c>
      <c r="Q188" s="12">
        <v>58.742835404514331</v>
      </c>
      <c r="R188" s="13">
        <v>69.373319807253367</v>
      </c>
    </row>
    <row r="189" spans="1:18" x14ac:dyDescent="0.2">
      <c r="A189" s="9"/>
      <c r="B189" s="10"/>
      <c r="C189" s="10"/>
      <c r="D189" s="10" t="s">
        <v>280</v>
      </c>
      <c r="E189" s="11">
        <v>5328</v>
      </c>
      <c r="F189" s="11">
        <v>0</v>
      </c>
      <c r="G189" s="11">
        <v>371000</v>
      </c>
      <c r="H189" s="11">
        <v>371000</v>
      </c>
      <c r="I189" s="11">
        <v>251491</v>
      </c>
      <c r="J189" s="11">
        <v>298778</v>
      </c>
      <c r="K189" s="11">
        <v>27409</v>
      </c>
      <c r="L189" s="11">
        <v>11194</v>
      </c>
      <c r="M189" s="11">
        <v>337381</v>
      </c>
      <c r="N189" s="11">
        <v>33619</v>
      </c>
      <c r="O189" s="12">
        <v>9.0617250673854439</v>
      </c>
      <c r="P189" s="12">
        <v>47.201764264264263</v>
      </c>
      <c r="Q189" s="12">
        <v>56.076951951951955</v>
      </c>
      <c r="R189" s="13">
        <v>62.386824324324323</v>
      </c>
    </row>
    <row r="190" spans="1:18" x14ac:dyDescent="0.2">
      <c r="A190" s="9"/>
      <c r="B190" s="10"/>
      <c r="C190" s="10"/>
      <c r="D190" s="10" t="s">
        <v>281</v>
      </c>
      <c r="E190" s="11">
        <v>2964</v>
      </c>
      <c r="F190" s="11">
        <v>0</v>
      </c>
      <c r="G190" s="11">
        <v>190158</v>
      </c>
      <c r="H190" s="11">
        <v>190158</v>
      </c>
      <c r="I190" s="11">
        <v>153132</v>
      </c>
      <c r="J190" s="11">
        <v>170002</v>
      </c>
      <c r="K190" s="11">
        <v>0</v>
      </c>
      <c r="L190" s="11">
        <v>4443</v>
      </c>
      <c r="M190" s="11">
        <v>174445</v>
      </c>
      <c r="N190" s="11">
        <v>15713</v>
      </c>
      <c r="O190" s="12">
        <v>8.2631285562532213</v>
      </c>
      <c r="P190" s="12">
        <v>51.663967611336034</v>
      </c>
      <c r="Q190" s="12">
        <v>57.355600539811064</v>
      </c>
      <c r="R190" s="13">
        <v>62.656882591093115</v>
      </c>
    </row>
    <row r="191" spans="1:18" x14ac:dyDescent="0.2">
      <c r="A191" s="9"/>
      <c r="B191" s="10"/>
      <c r="C191" s="10"/>
      <c r="D191" s="10" t="s">
        <v>282</v>
      </c>
      <c r="E191" s="11">
        <v>5486</v>
      </c>
      <c r="F191" s="11">
        <v>0</v>
      </c>
      <c r="G191" s="11">
        <v>360545</v>
      </c>
      <c r="H191" s="11">
        <v>360545</v>
      </c>
      <c r="I191" s="11">
        <v>227184</v>
      </c>
      <c r="J191" s="11">
        <v>267474</v>
      </c>
      <c r="K191" s="11">
        <v>6808</v>
      </c>
      <c r="L191" s="11">
        <v>1579</v>
      </c>
      <c r="M191" s="11">
        <v>275861</v>
      </c>
      <c r="N191" s="11">
        <v>84684</v>
      </c>
      <c r="O191" s="12">
        <v>23.487775451053267</v>
      </c>
      <c r="P191" s="12">
        <v>41.411593146190306</v>
      </c>
      <c r="Q191" s="12">
        <v>48.75574188844331</v>
      </c>
      <c r="R191" s="13">
        <v>64.192125410134892</v>
      </c>
    </row>
    <row r="192" spans="1:18" x14ac:dyDescent="0.2">
      <c r="A192" s="9"/>
      <c r="B192" s="10"/>
      <c r="C192" s="10"/>
      <c r="D192" s="10" t="s">
        <v>283</v>
      </c>
      <c r="E192" s="11">
        <v>7309</v>
      </c>
      <c r="F192" s="11">
        <v>0</v>
      </c>
      <c r="G192" s="11">
        <v>653864</v>
      </c>
      <c r="H192" s="11">
        <v>653864</v>
      </c>
      <c r="I192" s="11">
        <v>383530</v>
      </c>
      <c r="J192" s="11">
        <v>433254</v>
      </c>
      <c r="K192" s="11">
        <v>0</v>
      </c>
      <c r="L192" s="11">
        <v>2049</v>
      </c>
      <c r="M192" s="11">
        <v>435303</v>
      </c>
      <c r="N192" s="11">
        <v>218561</v>
      </c>
      <c r="O192" s="12">
        <v>33.426064135661235</v>
      </c>
      <c r="P192" s="12">
        <v>52.473662607743876</v>
      </c>
      <c r="Q192" s="12">
        <v>59.276782049527981</v>
      </c>
      <c r="R192" s="13">
        <v>89.179778355452186</v>
      </c>
    </row>
    <row r="193" spans="1:18" x14ac:dyDescent="0.2">
      <c r="A193" s="9"/>
      <c r="B193" s="10"/>
      <c r="C193" s="10"/>
      <c r="D193" s="10" t="s">
        <v>105</v>
      </c>
      <c r="E193" s="11">
        <v>115604</v>
      </c>
      <c r="F193" s="11">
        <v>0</v>
      </c>
      <c r="G193" s="11">
        <v>8838473</v>
      </c>
      <c r="H193" s="11">
        <v>8838473</v>
      </c>
      <c r="I193" s="11">
        <v>5390311</v>
      </c>
      <c r="J193" s="11">
        <v>6732302</v>
      </c>
      <c r="K193" s="11">
        <v>330795</v>
      </c>
      <c r="L193" s="11">
        <v>188697</v>
      </c>
      <c r="M193" s="11">
        <v>7251794</v>
      </c>
      <c r="N193" s="11">
        <v>1586679</v>
      </c>
      <c r="O193" s="12">
        <v>17.951958443500367</v>
      </c>
      <c r="P193" s="12">
        <v>46.627374485311925</v>
      </c>
      <c r="Q193" s="12">
        <v>58.235891491643891</v>
      </c>
      <c r="R193" s="13">
        <v>71.961013459741878</v>
      </c>
    </row>
    <row r="194" spans="1:18" x14ac:dyDescent="0.2">
      <c r="A194" s="9">
        <v>52</v>
      </c>
      <c r="B194" s="10" t="s">
        <v>284</v>
      </c>
      <c r="C194" s="10">
        <v>7254</v>
      </c>
      <c r="D194" s="10" t="s">
        <v>285</v>
      </c>
      <c r="E194" s="11">
        <v>9202</v>
      </c>
      <c r="F194" s="11">
        <v>0</v>
      </c>
      <c r="G194" s="11">
        <v>1149374</v>
      </c>
      <c r="H194" s="11">
        <v>1149374</v>
      </c>
      <c r="I194" s="11">
        <v>769105</v>
      </c>
      <c r="J194" s="11">
        <v>925512</v>
      </c>
      <c r="K194" s="11">
        <v>0</v>
      </c>
      <c r="L194" s="11">
        <v>0</v>
      </c>
      <c r="M194" s="11">
        <v>925512</v>
      </c>
      <c r="N194" s="11">
        <v>223862</v>
      </c>
      <c r="O194" s="12">
        <v>19.476863057629632</v>
      </c>
      <c r="P194" s="12">
        <v>83.580199956531189</v>
      </c>
      <c r="Q194" s="12">
        <v>100.57726581178005</v>
      </c>
      <c r="R194" s="13">
        <v>124.90480330362965</v>
      </c>
    </row>
    <row r="195" spans="1:18" x14ac:dyDescent="0.2">
      <c r="A195" s="9"/>
      <c r="B195" s="10"/>
      <c r="C195" s="10"/>
      <c r="D195" s="10" t="s">
        <v>105</v>
      </c>
      <c r="E195" s="11">
        <v>9202</v>
      </c>
      <c r="F195" s="11">
        <v>0</v>
      </c>
      <c r="G195" s="11">
        <v>1149374</v>
      </c>
      <c r="H195" s="11">
        <v>1149374</v>
      </c>
      <c r="I195" s="11">
        <v>769105</v>
      </c>
      <c r="J195" s="11">
        <v>925512</v>
      </c>
      <c r="K195" s="11">
        <v>0</v>
      </c>
      <c r="L195" s="11">
        <v>0</v>
      </c>
      <c r="M195" s="11">
        <v>925512</v>
      </c>
      <c r="N195" s="11">
        <v>223862</v>
      </c>
      <c r="O195" s="12">
        <v>19.476863057629632</v>
      </c>
      <c r="P195" s="12">
        <v>83.580199956531189</v>
      </c>
      <c r="Q195" s="12">
        <v>100.57726581178005</v>
      </c>
      <c r="R195" s="13">
        <v>124.90480330362965</v>
      </c>
    </row>
    <row r="196" spans="1:18" x14ac:dyDescent="0.2">
      <c r="A196" s="9">
        <v>53</v>
      </c>
      <c r="B196" s="10" t="s">
        <v>286</v>
      </c>
      <c r="C196" s="10">
        <v>3160</v>
      </c>
      <c r="D196" s="10" t="s">
        <v>287</v>
      </c>
      <c r="E196" s="11">
        <v>39228</v>
      </c>
      <c r="F196" s="11">
        <v>0</v>
      </c>
      <c r="G196" s="11">
        <v>2642891</v>
      </c>
      <c r="H196" s="11">
        <v>2642891</v>
      </c>
      <c r="I196" s="11">
        <v>1951895</v>
      </c>
      <c r="J196" s="11">
        <v>2464624</v>
      </c>
      <c r="K196" s="11">
        <v>0</v>
      </c>
      <c r="L196" s="11">
        <v>0</v>
      </c>
      <c r="M196" s="11">
        <v>2464624</v>
      </c>
      <c r="N196" s="11">
        <v>178267</v>
      </c>
      <c r="O196" s="12">
        <v>6.7451514269790165</v>
      </c>
      <c r="P196" s="12">
        <v>49.757698582645048</v>
      </c>
      <c r="Q196" s="12">
        <v>62.828183950239627</v>
      </c>
      <c r="R196" s="13">
        <v>67.372565514428473</v>
      </c>
    </row>
    <row r="197" spans="1:18" x14ac:dyDescent="0.2">
      <c r="A197" s="9"/>
      <c r="B197" s="10"/>
      <c r="C197" s="10"/>
      <c r="D197" s="10" t="s">
        <v>288</v>
      </c>
      <c r="E197" s="11">
        <v>10089</v>
      </c>
      <c r="F197" s="11">
        <v>0</v>
      </c>
      <c r="G197" s="11">
        <v>587785</v>
      </c>
      <c r="H197" s="11">
        <v>587785</v>
      </c>
      <c r="I197" s="11">
        <v>399813</v>
      </c>
      <c r="J197" s="11">
        <v>525150</v>
      </c>
      <c r="K197" s="11">
        <v>0</v>
      </c>
      <c r="L197" s="11">
        <v>0</v>
      </c>
      <c r="M197" s="11">
        <v>525150</v>
      </c>
      <c r="N197" s="11">
        <v>62635</v>
      </c>
      <c r="O197" s="12">
        <v>10.656107250099952</v>
      </c>
      <c r="P197" s="12">
        <v>39.62860541183467</v>
      </c>
      <c r="Q197" s="12">
        <v>52.051739518287242</v>
      </c>
      <c r="R197" s="13">
        <v>58.259986123500845</v>
      </c>
    </row>
    <row r="198" spans="1:18" x14ac:dyDescent="0.2">
      <c r="A198" s="9"/>
      <c r="B198" s="10"/>
      <c r="C198" s="10"/>
      <c r="D198" s="10" t="s">
        <v>105</v>
      </c>
      <c r="E198" s="11">
        <v>49317</v>
      </c>
      <c r="F198" s="11">
        <v>0</v>
      </c>
      <c r="G198" s="11">
        <v>3230676</v>
      </c>
      <c r="H198" s="11">
        <v>3230676</v>
      </c>
      <c r="I198" s="11">
        <v>2351708</v>
      </c>
      <c r="J198" s="11">
        <v>2989774</v>
      </c>
      <c r="K198" s="11">
        <v>0</v>
      </c>
      <c r="L198" s="11">
        <v>0</v>
      </c>
      <c r="M198" s="11">
        <v>2989774</v>
      </c>
      <c r="N198" s="11">
        <v>240902</v>
      </c>
      <c r="O198" s="12">
        <v>7.4567056554108184</v>
      </c>
      <c r="P198" s="12">
        <v>47.685544538394467</v>
      </c>
      <c r="Q198" s="12">
        <v>60.623598353508932</v>
      </c>
      <c r="R198" s="13">
        <v>65.508364255733312</v>
      </c>
    </row>
    <row r="199" spans="1:18" x14ac:dyDescent="0.2">
      <c r="A199" s="9">
        <v>54</v>
      </c>
      <c r="B199" s="10" t="s">
        <v>289</v>
      </c>
      <c r="C199" s="10">
        <v>8008</v>
      </c>
      <c r="D199" s="10" t="s">
        <v>290</v>
      </c>
      <c r="E199" s="11">
        <v>43847</v>
      </c>
      <c r="F199" s="11">
        <v>0</v>
      </c>
      <c r="G199" s="11">
        <v>5870843</v>
      </c>
      <c r="H199" s="11">
        <v>5870843</v>
      </c>
      <c r="I199" s="11">
        <v>3211115</v>
      </c>
      <c r="J199" s="11">
        <v>4446763</v>
      </c>
      <c r="K199" s="11">
        <v>26256</v>
      </c>
      <c r="L199" s="11">
        <v>1062249</v>
      </c>
      <c r="M199" s="11">
        <v>5535268</v>
      </c>
      <c r="N199" s="11">
        <v>335575</v>
      </c>
      <c r="O199" s="12">
        <v>5.7159593605211381</v>
      </c>
      <c r="P199" s="12">
        <v>73.234542842155676</v>
      </c>
      <c r="Q199" s="12">
        <v>101.41544461422674</v>
      </c>
      <c r="R199" s="13">
        <v>109.06876183091204</v>
      </c>
    </row>
    <row r="200" spans="1:18" x14ac:dyDescent="0.2">
      <c r="A200" s="9"/>
      <c r="B200" s="10"/>
      <c r="C200" s="10"/>
      <c r="D200" s="10" t="s">
        <v>105</v>
      </c>
      <c r="E200" s="11">
        <v>43847</v>
      </c>
      <c r="F200" s="11">
        <v>0</v>
      </c>
      <c r="G200" s="11">
        <v>5870843</v>
      </c>
      <c r="H200" s="11">
        <v>5870843</v>
      </c>
      <c r="I200" s="11">
        <v>3211115</v>
      </c>
      <c r="J200" s="11">
        <v>4446763</v>
      </c>
      <c r="K200" s="11">
        <v>26256</v>
      </c>
      <c r="L200" s="11">
        <v>1062249</v>
      </c>
      <c r="M200" s="11">
        <v>5535268</v>
      </c>
      <c r="N200" s="11">
        <v>335575</v>
      </c>
      <c r="O200" s="12">
        <v>5.7159593605211381</v>
      </c>
      <c r="P200" s="12">
        <v>73.234542842155676</v>
      </c>
      <c r="Q200" s="12">
        <v>101.41544461422674</v>
      </c>
      <c r="R200" s="13">
        <v>109.06876183091204</v>
      </c>
    </row>
    <row r="201" spans="1:18" x14ac:dyDescent="0.2">
      <c r="A201" s="9">
        <v>55</v>
      </c>
      <c r="B201" s="10" t="s">
        <v>291</v>
      </c>
      <c r="C201" s="10">
        <v>6358</v>
      </c>
      <c r="D201" s="10" t="s">
        <v>292</v>
      </c>
      <c r="E201" s="11">
        <v>69034</v>
      </c>
      <c r="F201" s="11">
        <v>0</v>
      </c>
      <c r="G201" s="11">
        <v>4638207</v>
      </c>
      <c r="H201" s="11">
        <v>4638207</v>
      </c>
      <c r="I201" s="11">
        <v>3025336</v>
      </c>
      <c r="J201" s="11">
        <v>3563548</v>
      </c>
      <c r="K201" s="11">
        <v>159497</v>
      </c>
      <c r="L201" s="11">
        <v>201</v>
      </c>
      <c r="M201" s="11">
        <v>3723246</v>
      </c>
      <c r="N201" s="11">
        <v>914961</v>
      </c>
      <c r="O201" s="12">
        <v>19.726609873168663</v>
      </c>
      <c r="P201" s="12">
        <v>43.823854912072314</v>
      </c>
      <c r="Q201" s="12">
        <v>51.620187154155921</v>
      </c>
      <c r="R201" s="13">
        <v>64.873960657067528</v>
      </c>
    </row>
    <row r="202" spans="1:18" x14ac:dyDescent="0.2">
      <c r="A202" s="19"/>
      <c r="B202" s="20"/>
      <c r="C202" s="20"/>
      <c r="D202" s="20" t="s">
        <v>105</v>
      </c>
      <c r="E202" s="21">
        <v>69034</v>
      </c>
      <c r="F202" s="21">
        <v>0</v>
      </c>
      <c r="G202" s="21">
        <v>4638207</v>
      </c>
      <c r="H202" s="21">
        <v>4638207</v>
      </c>
      <c r="I202" s="21">
        <v>3025336</v>
      </c>
      <c r="J202" s="21">
        <v>3563548</v>
      </c>
      <c r="K202" s="21">
        <v>159497</v>
      </c>
      <c r="L202" s="21">
        <v>201</v>
      </c>
      <c r="M202" s="21">
        <v>3723246</v>
      </c>
      <c r="N202" s="21">
        <v>914961</v>
      </c>
      <c r="O202" s="22">
        <v>19.726609873168663</v>
      </c>
      <c r="P202" s="22">
        <v>43.823854912072314</v>
      </c>
      <c r="Q202" s="22">
        <v>51.620187154155921</v>
      </c>
      <c r="R202" s="23">
        <v>64.873960657067528</v>
      </c>
    </row>
    <row r="203" spans="1:18" x14ac:dyDescent="0.2">
      <c r="E203" s="24"/>
    </row>
    <row r="204" spans="1:18" x14ac:dyDescent="0.2">
      <c r="E204" s="24"/>
    </row>
    <row r="205" spans="1:18" x14ac:dyDescent="0.2">
      <c r="A205" s="3"/>
      <c r="B205" s="4" t="str">
        <f>TRIM(D205)</f>
        <v>אור עקיבא</v>
      </c>
      <c r="C205" s="4">
        <v>1600</v>
      </c>
      <c r="D205" s="4" t="s">
        <v>293</v>
      </c>
      <c r="E205" s="5">
        <v>16560</v>
      </c>
      <c r="F205" s="5">
        <v>0</v>
      </c>
      <c r="G205" s="5">
        <v>1673174</v>
      </c>
      <c r="H205" s="5">
        <v>1673174</v>
      </c>
      <c r="I205" s="5">
        <v>958235</v>
      </c>
      <c r="J205" s="5">
        <v>1470924</v>
      </c>
      <c r="K205" s="5">
        <v>37674</v>
      </c>
      <c r="L205" s="5">
        <v>0</v>
      </c>
      <c r="M205" s="5">
        <v>1508598</v>
      </c>
      <c r="N205" s="26">
        <v>164576</v>
      </c>
      <c r="O205" s="6">
        <v>9.8361557136316957</v>
      </c>
      <c r="P205" s="6">
        <v>57.86443236714976</v>
      </c>
      <c r="Q205" s="6">
        <v>88.823913043478257</v>
      </c>
      <c r="R205" s="7">
        <v>98.762077294685994</v>
      </c>
    </row>
    <row r="206" spans="1:18" x14ac:dyDescent="0.2">
      <c r="A206" s="9"/>
      <c r="B206" s="4" t="str">
        <f t="shared" ref="B206:B257" si="0">TRIM(D206)</f>
        <v>אורנית</v>
      </c>
      <c r="C206" s="10">
        <v>9573</v>
      </c>
      <c r="D206" s="10" t="s">
        <v>294</v>
      </c>
      <c r="E206" s="11">
        <v>7626</v>
      </c>
      <c r="F206" s="11">
        <v>0</v>
      </c>
      <c r="G206" s="11">
        <v>670952</v>
      </c>
      <c r="H206" s="11">
        <v>670952</v>
      </c>
      <c r="I206" s="11">
        <v>518653</v>
      </c>
      <c r="J206" s="11">
        <v>586501</v>
      </c>
      <c r="K206" s="11">
        <v>0</v>
      </c>
      <c r="L206" s="11">
        <v>0</v>
      </c>
      <c r="M206" s="11">
        <v>586501</v>
      </c>
      <c r="N206" s="27">
        <v>84451</v>
      </c>
      <c r="O206" s="12">
        <v>12.586742419726002</v>
      </c>
      <c r="P206" s="12">
        <v>68.011146079202732</v>
      </c>
      <c r="Q206" s="12">
        <v>76.908077629163387</v>
      </c>
      <c r="R206" s="13">
        <v>87.982166273275638</v>
      </c>
    </row>
    <row r="207" spans="1:18" x14ac:dyDescent="0.2">
      <c r="A207" s="9"/>
      <c r="B207" s="4" t="str">
        <f t="shared" si="0"/>
        <v>אליכין</v>
      </c>
      <c r="C207" s="10">
        <v>5345</v>
      </c>
      <c r="D207" s="10" t="s">
        <v>295</v>
      </c>
      <c r="E207" s="11">
        <v>3364</v>
      </c>
      <c r="F207" s="11">
        <v>0</v>
      </c>
      <c r="G207" s="11">
        <v>332323</v>
      </c>
      <c r="H207" s="11">
        <v>332323</v>
      </c>
      <c r="I207" s="11">
        <v>228587</v>
      </c>
      <c r="J207" s="11">
        <v>263986</v>
      </c>
      <c r="K207" s="11">
        <v>0</v>
      </c>
      <c r="L207" s="11">
        <v>0</v>
      </c>
      <c r="M207" s="11">
        <v>263986</v>
      </c>
      <c r="N207" s="27">
        <v>68337</v>
      </c>
      <c r="O207" s="12">
        <v>20.563427749508762</v>
      </c>
      <c r="P207" s="12">
        <v>67.950951248513675</v>
      </c>
      <c r="Q207" s="12">
        <v>78.473840665873965</v>
      </c>
      <c r="R207" s="13">
        <v>98.788049940546969</v>
      </c>
    </row>
    <row r="208" spans="1:18" x14ac:dyDescent="0.2">
      <c r="A208" s="9"/>
      <c r="B208" s="4" t="str">
        <f t="shared" si="0"/>
        <v>אלפי מנשה</v>
      </c>
      <c r="C208" s="10">
        <v>9587</v>
      </c>
      <c r="D208" s="10" t="s">
        <v>296</v>
      </c>
      <c r="E208" s="11">
        <v>7583</v>
      </c>
      <c r="F208" s="11">
        <v>0</v>
      </c>
      <c r="G208" s="11">
        <v>765162</v>
      </c>
      <c r="H208" s="11">
        <v>765162</v>
      </c>
      <c r="I208" s="11">
        <v>485981</v>
      </c>
      <c r="J208" s="11">
        <v>599696</v>
      </c>
      <c r="K208" s="11">
        <v>0</v>
      </c>
      <c r="L208" s="11">
        <v>0</v>
      </c>
      <c r="M208" s="11">
        <v>599696</v>
      </c>
      <c r="N208" s="27">
        <v>165466</v>
      </c>
      <c r="O208" s="12">
        <v>21.624963079713837</v>
      </c>
      <c r="P208" s="12">
        <v>64.088223658182784</v>
      </c>
      <c r="Q208" s="12">
        <v>79.084267440327054</v>
      </c>
      <c r="R208" s="13">
        <v>100.90491889753396</v>
      </c>
    </row>
    <row r="209" spans="1:18" x14ac:dyDescent="0.2">
      <c r="A209" s="9"/>
      <c r="B209" s="4" t="str">
        <f t="shared" si="0"/>
        <v>אלקנה</v>
      </c>
      <c r="C209" s="10">
        <v>9504</v>
      </c>
      <c r="D209" s="10" t="s">
        <v>297</v>
      </c>
      <c r="E209" s="11">
        <v>3871</v>
      </c>
      <c r="F209" s="11">
        <v>0</v>
      </c>
      <c r="G209" s="11">
        <v>321163</v>
      </c>
      <c r="H209" s="11">
        <v>321163</v>
      </c>
      <c r="I209" s="11">
        <v>233173</v>
      </c>
      <c r="J209" s="11">
        <v>304059</v>
      </c>
      <c r="K209" s="11">
        <v>0</v>
      </c>
      <c r="L209" s="11">
        <v>0</v>
      </c>
      <c r="M209" s="11">
        <v>304059</v>
      </c>
      <c r="N209" s="27">
        <v>17104</v>
      </c>
      <c r="O209" s="12">
        <v>5.3256446103691895</v>
      </c>
      <c r="P209" s="12">
        <v>60.235856367863605</v>
      </c>
      <c r="Q209" s="12">
        <v>78.547920433996381</v>
      </c>
      <c r="R209" s="13">
        <v>82.966416946525442</v>
      </c>
    </row>
    <row r="210" spans="1:18" x14ac:dyDescent="0.2">
      <c r="A210" s="9"/>
      <c r="B210" s="4" t="str">
        <f t="shared" si="0"/>
        <v>אפרת</v>
      </c>
      <c r="C210" s="10">
        <v>9523</v>
      </c>
      <c r="D210" s="10" t="s">
        <v>298</v>
      </c>
      <c r="E210" s="11">
        <v>7912</v>
      </c>
      <c r="F210" s="11">
        <v>0</v>
      </c>
      <c r="G210" s="11">
        <v>623565</v>
      </c>
      <c r="H210" s="11">
        <v>623565</v>
      </c>
      <c r="I210" s="11">
        <v>466783</v>
      </c>
      <c r="J210" s="11">
        <v>578787</v>
      </c>
      <c r="K210" s="11">
        <v>0</v>
      </c>
      <c r="L210" s="11">
        <v>0</v>
      </c>
      <c r="M210" s="11">
        <v>578787</v>
      </c>
      <c r="N210" s="27">
        <v>44778</v>
      </c>
      <c r="O210" s="12">
        <v>7.1809675013831757</v>
      </c>
      <c r="P210" s="12">
        <v>58.996840242669364</v>
      </c>
      <c r="Q210" s="12">
        <v>73.153058645096053</v>
      </c>
      <c r="R210" s="13">
        <v>78.812563195146609</v>
      </c>
    </row>
    <row r="211" spans="1:18" x14ac:dyDescent="0.2">
      <c r="A211" s="9"/>
      <c r="B211" s="4" t="str">
        <f t="shared" si="0"/>
        <v>באר יעקב</v>
      </c>
      <c r="C211" s="10">
        <v>3236</v>
      </c>
      <c r="D211" s="10" t="s">
        <v>299</v>
      </c>
      <c r="E211" s="11">
        <v>17521</v>
      </c>
      <c r="F211" s="11">
        <v>0</v>
      </c>
      <c r="G211" s="11">
        <v>1521693</v>
      </c>
      <c r="H211" s="11">
        <v>1521693</v>
      </c>
      <c r="I211" s="11">
        <v>776729</v>
      </c>
      <c r="J211" s="11">
        <v>1373224</v>
      </c>
      <c r="K211" s="11">
        <v>0</v>
      </c>
      <c r="L211" s="11">
        <v>12599</v>
      </c>
      <c r="M211" s="11">
        <v>1385823</v>
      </c>
      <c r="N211" s="27">
        <v>135870</v>
      </c>
      <c r="O211" s="12">
        <v>8.9288706723366662</v>
      </c>
      <c r="P211" s="12">
        <v>44.331316705667483</v>
      </c>
      <c r="Q211" s="12">
        <v>78.375891786998466</v>
      </c>
      <c r="R211" s="13">
        <v>86.130586153758344</v>
      </c>
    </row>
    <row r="212" spans="1:18" x14ac:dyDescent="0.2">
      <c r="A212" s="9"/>
      <c r="B212" s="4" t="str">
        <f t="shared" si="0"/>
        <v>בוקעאתא</v>
      </c>
      <c r="C212" s="10">
        <v>9294</v>
      </c>
      <c r="D212" s="10" t="s">
        <v>300</v>
      </c>
      <c r="E212" s="11">
        <v>6170</v>
      </c>
      <c r="F212" s="11">
        <v>0</v>
      </c>
      <c r="G212" s="11">
        <v>475713</v>
      </c>
      <c r="H212" s="11">
        <v>475713</v>
      </c>
      <c r="I212" s="11">
        <v>242111</v>
      </c>
      <c r="J212" s="11">
        <v>409292</v>
      </c>
      <c r="K212" s="11">
        <v>0</v>
      </c>
      <c r="L212" s="11">
        <v>13787</v>
      </c>
      <c r="M212" s="11">
        <v>423079</v>
      </c>
      <c r="N212" s="27">
        <v>52634</v>
      </c>
      <c r="O212" s="12">
        <v>11.064234107539631</v>
      </c>
      <c r="P212" s="12">
        <v>39.240032414910857</v>
      </c>
      <c r="Q212" s="12">
        <v>66.335818476499185</v>
      </c>
      <c r="R212" s="13">
        <v>74.866450567260941</v>
      </c>
    </row>
    <row r="213" spans="1:18" x14ac:dyDescent="0.2">
      <c r="A213" s="9"/>
      <c r="B213" s="4" t="str">
        <f t="shared" si="0"/>
        <v>בית אל</v>
      </c>
      <c r="C213" s="10">
        <v>9532</v>
      </c>
      <c r="D213" s="10" t="s">
        <v>301</v>
      </c>
      <c r="E213" s="11">
        <v>5899</v>
      </c>
      <c r="F213" s="11">
        <v>0</v>
      </c>
      <c r="G213" s="11">
        <v>388167</v>
      </c>
      <c r="H213" s="11">
        <v>388167</v>
      </c>
      <c r="I213" s="11">
        <v>248081</v>
      </c>
      <c r="J213" s="11">
        <v>354991</v>
      </c>
      <c r="K213" s="11">
        <v>0</v>
      </c>
      <c r="L213" s="11">
        <v>0</v>
      </c>
      <c r="M213" s="11">
        <v>354991</v>
      </c>
      <c r="N213" s="27">
        <v>33176</v>
      </c>
      <c r="O213" s="12">
        <v>8.5468367996249039</v>
      </c>
      <c r="P213" s="12">
        <v>42.054755043227665</v>
      </c>
      <c r="Q213" s="12">
        <v>60.178165790812002</v>
      </c>
      <c r="R213" s="13">
        <v>65.802169859298189</v>
      </c>
    </row>
    <row r="214" spans="1:18" x14ac:dyDescent="0.2">
      <c r="A214" s="9"/>
      <c r="B214" s="4" t="str">
        <f t="shared" si="0"/>
        <v>בית אריה - עופרים</v>
      </c>
      <c r="C214" s="10">
        <v>9514</v>
      </c>
      <c r="D214" s="10" t="s">
        <v>302</v>
      </c>
      <c r="E214" s="11">
        <v>4322</v>
      </c>
      <c r="F214" s="11">
        <v>0</v>
      </c>
      <c r="G214" s="11">
        <v>420464</v>
      </c>
      <c r="H214" s="11">
        <v>420464</v>
      </c>
      <c r="I214" s="11">
        <v>298199</v>
      </c>
      <c r="J214" s="11">
        <v>356505</v>
      </c>
      <c r="K214" s="11">
        <v>0</v>
      </c>
      <c r="L214" s="11">
        <v>0</v>
      </c>
      <c r="M214" s="11">
        <v>356505</v>
      </c>
      <c r="N214" s="27">
        <v>63959</v>
      </c>
      <c r="O214" s="12">
        <v>15.211528216446593</v>
      </c>
      <c r="P214" s="12">
        <v>68.995603887089317</v>
      </c>
      <c r="Q214" s="12">
        <v>82.486117538176771</v>
      </c>
      <c r="R214" s="13">
        <v>97.284590467376219</v>
      </c>
    </row>
    <row r="215" spans="1:18" x14ac:dyDescent="0.2">
      <c r="A215" s="9"/>
      <c r="B215" s="4" t="str">
        <f t="shared" si="0"/>
        <v>בית שאן</v>
      </c>
      <c r="C215" s="10">
        <v>104</v>
      </c>
      <c r="D215" s="10" t="s">
        <v>37</v>
      </c>
      <c r="E215" s="11">
        <v>17263</v>
      </c>
      <c r="F215" s="11">
        <v>0</v>
      </c>
      <c r="G215" s="11">
        <v>1694107</v>
      </c>
      <c r="H215" s="11">
        <v>1694107</v>
      </c>
      <c r="I215" s="11">
        <v>957086</v>
      </c>
      <c r="J215" s="11">
        <v>1302059</v>
      </c>
      <c r="K215" s="11">
        <v>75834</v>
      </c>
      <c r="L215" s="11">
        <v>0</v>
      </c>
      <c r="M215" s="11">
        <v>1377893</v>
      </c>
      <c r="N215" s="27">
        <v>316214</v>
      </c>
      <c r="O215" s="12">
        <v>18.665527029874738</v>
      </c>
      <c r="P215" s="12">
        <v>55.441464403637838</v>
      </c>
      <c r="Q215" s="12">
        <v>75.424839251578518</v>
      </c>
      <c r="R215" s="13">
        <v>93.742281179401033</v>
      </c>
    </row>
    <row r="216" spans="1:18" x14ac:dyDescent="0.2">
      <c r="A216" s="9"/>
      <c r="B216" s="4" t="str">
        <f t="shared" si="0"/>
        <v>ביתר עילית</v>
      </c>
      <c r="C216" s="10">
        <v>8505</v>
      </c>
      <c r="D216" s="10" t="s">
        <v>303</v>
      </c>
      <c r="E216" s="11">
        <v>44927</v>
      </c>
      <c r="F216" s="11">
        <v>0</v>
      </c>
      <c r="G216" s="11">
        <v>2198241</v>
      </c>
      <c r="H216" s="11">
        <v>2198241</v>
      </c>
      <c r="I216" s="11">
        <v>1612581</v>
      </c>
      <c r="J216" s="11">
        <v>1976253</v>
      </c>
      <c r="K216" s="11">
        <v>0</v>
      </c>
      <c r="L216" s="11">
        <v>0</v>
      </c>
      <c r="M216" s="11">
        <v>1976253</v>
      </c>
      <c r="N216" s="27">
        <v>221988</v>
      </c>
      <c r="O216" s="12">
        <v>10.098437796401759</v>
      </c>
      <c r="P216" s="12">
        <v>35.893360340107286</v>
      </c>
      <c r="Q216" s="12">
        <v>43.988091793353661</v>
      </c>
      <c r="R216" s="13">
        <v>48.929173993367016</v>
      </c>
    </row>
    <row r="217" spans="1:18" x14ac:dyDescent="0.2">
      <c r="A217" s="9"/>
      <c r="B217" s="4" t="str">
        <f t="shared" si="0"/>
        <v>בני עי"ש</v>
      </c>
      <c r="C217" s="10">
        <v>4263</v>
      </c>
      <c r="D217" s="10" t="s">
        <v>304</v>
      </c>
      <c r="E217" s="11">
        <v>6932</v>
      </c>
      <c r="F217" s="11">
        <v>0</v>
      </c>
      <c r="G217" s="11">
        <v>388411</v>
      </c>
      <c r="H217" s="11">
        <v>388411</v>
      </c>
      <c r="I217" s="11">
        <v>323389</v>
      </c>
      <c r="J217" s="11">
        <v>351687</v>
      </c>
      <c r="K217" s="11">
        <v>0</v>
      </c>
      <c r="L217" s="11">
        <v>0</v>
      </c>
      <c r="M217" s="11">
        <v>351687</v>
      </c>
      <c r="N217" s="27">
        <v>36724</v>
      </c>
      <c r="O217" s="12">
        <v>9.454933047725218</v>
      </c>
      <c r="P217" s="12">
        <v>46.651615695326022</v>
      </c>
      <c r="Q217" s="12">
        <v>50.733843046739757</v>
      </c>
      <c r="R217" s="13">
        <v>56.031592613964222</v>
      </c>
    </row>
    <row r="218" spans="1:18" x14ac:dyDescent="0.2">
      <c r="A218" s="9"/>
      <c r="B218" s="4" t="str">
        <f t="shared" si="0"/>
        <v>בנימינה - גבעת עדה</v>
      </c>
      <c r="C218" s="10">
        <v>1699</v>
      </c>
      <c r="D218" s="10" t="s">
        <v>305</v>
      </c>
      <c r="E218" s="11">
        <v>14267</v>
      </c>
      <c r="F218" s="11">
        <v>804100</v>
      </c>
      <c r="G218" s="11">
        <v>1313420</v>
      </c>
      <c r="H218" s="11">
        <v>2117520</v>
      </c>
      <c r="I218" s="11">
        <v>971489</v>
      </c>
      <c r="J218" s="11">
        <v>1185518</v>
      </c>
      <c r="K218" s="11">
        <v>38636</v>
      </c>
      <c r="L218" s="11">
        <v>606914</v>
      </c>
      <c r="M218" s="11">
        <v>1831068</v>
      </c>
      <c r="N218" s="27">
        <v>286452</v>
      </c>
      <c r="O218" s="12">
        <v>13.527711662699762</v>
      </c>
      <c r="P218" s="12">
        <v>68.09343239643934</v>
      </c>
      <c r="Q218" s="12">
        <v>83.095114600126166</v>
      </c>
      <c r="R218" s="13">
        <v>103.17305670428262</v>
      </c>
    </row>
    <row r="219" spans="1:18" x14ac:dyDescent="0.2">
      <c r="A219" s="9"/>
      <c r="B219" s="4" t="str">
        <f t="shared" si="0"/>
        <v>גבעת זאב</v>
      </c>
      <c r="C219" s="10">
        <v>9582</v>
      </c>
      <c r="D219" s="10" t="s">
        <v>306</v>
      </c>
      <c r="E219" s="11">
        <v>14349</v>
      </c>
      <c r="F219" s="11">
        <v>0</v>
      </c>
      <c r="G219" s="11">
        <v>1089094</v>
      </c>
      <c r="H219" s="11">
        <v>1089094</v>
      </c>
      <c r="I219" s="11">
        <v>722208</v>
      </c>
      <c r="J219" s="11">
        <v>835426</v>
      </c>
      <c r="K219" s="11">
        <v>0</v>
      </c>
      <c r="L219" s="11">
        <v>0</v>
      </c>
      <c r="M219" s="11">
        <v>835426</v>
      </c>
      <c r="N219" s="27">
        <v>253668</v>
      </c>
      <c r="O219" s="12">
        <v>23.291653429364224</v>
      </c>
      <c r="P219" s="12">
        <v>50.331591051641226</v>
      </c>
      <c r="Q219" s="12">
        <v>58.221896996306363</v>
      </c>
      <c r="R219" s="13">
        <v>75.900341487211648</v>
      </c>
    </row>
    <row r="220" spans="1:18" x14ac:dyDescent="0.2">
      <c r="A220" s="9"/>
      <c r="B220" s="4" t="str">
        <f t="shared" si="0"/>
        <v>גבעת שמואל</v>
      </c>
      <c r="C220" s="10">
        <v>3504</v>
      </c>
      <c r="D220" s="10" t="s">
        <v>307</v>
      </c>
      <c r="E220" s="11">
        <v>24084</v>
      </c>
      <c r="F220" s="11">
        <v>0</v>
      </c>
      <c r="G220" s="11">
        <v>1660781</v>
      </c>
      <c r="H220" s="11">
        <v>1660781</v>
      </c>
      <c r="I220" s="11">
        <v>1333178</v>
      </c>
      <c r="J220" s="11">
        <v>1605747</v>
      </c>
      <c r="K220" s="11">
        <v>0</v>
      </c>
      <c r="L220" s="11">
        <v>0</v>
      </c>
      <c r="M220" s="11">
        <v>1605747</v>
      </c>
      <c r="N220" s="27">
        <v>55034</v>
      </c>
      <c r="O220" s="12">
        <v>3.3137421490250674</v>
      </c>
      <c r="P220" s="12">
        <v>55.355339644577313</v>
      </c>
      <c r="Q220" s="12">
        <v>66.672770303936218</v>
      </c>
      <c r="R220" s="13">
        <v>68.957855837900681</v>
      </c>
    </row>
    <row r="221" spans="1:18" x14ac:dyDescent="0.2">
      <c r="A221" s="9"/>
      <c r="B221" s="4" t="str">
        <f t="shared" si="0"/>
        <v>גדרה</v>
      </c>
      <c r="C221" s="10">
        <v>3561</v>
      </c>
      <c r="D221" s="10" t="s">
        <v>308</v>
      </c>
      <c r="E221" s="11">
        <v>25225</v>
      </c>
      <c r="F221" s="11">
        <v>0</v>
      </c>
      <c r="G221" s="11">
        <v>1684260</v>
      </c>
      <c r="H221" s="11">
        <v>1684260</v>
      </c>
      <c r="I221" s="11">
        <v>1148143</v>
      </c>
      <c r="J221" s="11">
        <v>1539021</v>
      </c>
      <c r="K221" s="11">
        <v>0</v>
      </c>
      <c r="L221" s="11">
        <v>0</v>
      </c>
      <c r="M221" s="11">
        <v>1539021</v>
      </c>
      <c r="N221" s="27">
        <v>145239</v>
      </c>
      <c r="O221" s="12">
        <v>8.6233123152007423</v>
      </c>
      <c r="P221" s="12">
        <v>45.516075322101088</v>
      </c>
      <c r="Q221" s="12">
        <v>61.011734390485628</v>
      </c>
      <c r="R221" s="13">
        <v>66.769474727452931</v>
      </c>
    </row>
    <row r="222" spans="1:18" x14ac:dyDescent="0.2">
      <c r="A222" s="9"/>
      <c r="B222" s="4" t="str">
        <f t="shared" si="0"/>
        <v>גיסר אל זרקא</v>
      </c>
      <c r="C222" s="10">
        <v>1815</v>
      </c>
      <c r="D222" s="10" t="s">
        <v>309</v>
      </c>
      <c r="E222" s="11">
        <v>13429</v>
      </c>
      <c r="F222" s="11">
        <v>0</v>
      </c>
      <c r="G222" s="11">
        <v>969741</v>
      </c>
      <c r="H222" s="11">
        <v>969741</v>
      </c>
      <c r="I222" s="11">
        <v>725359</v>
      </c>
      <c r="J222" s="11">
        <v>816725</v>
      </c>
      <c r="K222" s="11">
        <v>0</v>
      </c>
      <c r="L222" s="11">
        <v>0</v>
      </c>
      <c r="M222" s="11">
        <v>816725</v>
      </c>
      <c r="N222" s="27">
        <v>153016</v>
      </c>
      <c r="O222" s="12">
        <v>15.779058532123525</v>
      </c>
      <c r="P222" s="12">
        <v>54.014371881748453</v>
      </c>
      <c r="Q222" s="12">
        <v>60.818005808325267</v>
      </c>
      <c r="R222" s="13">
        <v>72.212450666468087</v>
      </c>
    </row>
    <row r="223" spans="1:18" x14ac:dyDescent="0.2">
      <c r="A223" s="9"/>
      <c r="B223" s="4" t="str">
        <f t="shared" si="0"/>
        <v>דלית אל כרמל</v>
      </c>
      <c r="C223" s="10">
        <v>1880</v>
      </c>
      <c r="D223" s="10" t="s">
        <v>310</v>
      </c>
      <c r="E223" s="11">
        <v>16248</v>
      </c>
      <c r="F223" s="11">
        <v>0</v>
      </c>
      <c r="G223" s="11">
        <v>2024981</v>
      </c>
      <c r="H223" s="11">
        <v>2024981</v>
      </c>
      <c r="I223" s="11">
        <v>870811</v>
      </c>
      <c r="J223" s="11">
        <v>1044197</v>
      </c>
      <c r="K223" s="11">
        <v>5273</v>
      </c>
      <c r="L223" s="11">
        <v>13581</v>
      </c>
      <c r="M223" s="11">
        <v>1063051</v>
      </c>
      <c r="N223" s="27">
        <v>961930</v>
      </c>
      <c r="O223" s="12">
        <v>47.503161758060941</v>
      </c>
      <c r="P223" s="12">
        <v>53.594965534219597</v>
      </c>
      <c r="Q223" s="12">
        <v>64.266186607582469</v>
      </c>
      <c r="R223" s="13">
        <v>123.46916543574594</v>
      </c>
    </row>
    <row r="224" spans="1:18" x14ac:dyDescent="0.2">
      <c r="A224" s="9"/>
      <c r="B224" s="4" t="str">
        <f t="shared" si="0"/>
        <v>הר אדר</v>
      </c>
      <c r="C224" s="10">
        <v>9575</v>
      </c>
      <c r="D224" s="10" t="s">
        <v>311</v>
      </c>
      <c r="E224" s="11">
        <v>3757</v>
      </c>
      <c r="F224" s="11">
        <v>0</v>
      </c>
      <c r="G224" s="11">
        <v>361333</v>
      </c>
      <c r="H224" s="11">
        <v>361333</v>
      </c>
      <c r="I224" s="11">
        <v>304220</v>
      </c>
      <c r="J224" s="11">
        <v>338932</v>
      </c>
      <c r="K224" s="11">
        <v>0</v>
      </c>
      <c r="L224" s="11">
        <v>0</v>
      </c>
      <c r="M224" s="11">
        <v>338932</v>
      </c>
      <c r="N224" s="27">
        <v>22401</v>
      </c>
      <c r="O224" s="12">
        <v>6.199544464524414</v>
      </c>
      <c r="P224" s="12">
        <v>80.97418152781475</v>
      </c>
      <c r="Q224" s="12">
        <v>90.213468192706941</v>
      </c>
      <c r="R224" s="13">
        <v>96.175938248602606</v>
      </c>
    </row>
    <row r="225" spans="1:18" x14ac:dyDescent="0.2">
      <c r="A225" s="9"/>
      <c r="B225" s="4" t="str">
        <f t="shared" si="0"/>
        <v>זכרון יעקב</v>
      </c>
      <c r="C225" s="10">
        <v>1980</v>
      </c>
      <c r="D225" s="10" t="s">
        <v>53</v>
      </c>
      <c r="E225" s="11">
        <v>21432</v>
      </c>
      <c r="F225" s="11">
        <v>0</v>
      </c>
      <c r="G225" s="11">
        <v>2211799</v>
      </c>
      <c r="H225" s="11">
        <v>2211799</v>
      </c>
      <c r="I225" s="11">
        <v>1406992</v>
      </c>
      <c r="J225" s="11">
        <v>1880469</v>
      </c>
      <c r="K225" s="11">
        <v>70253</v>
      </c>
      <c r="L225" s="11">
        <v>11048</v>
      </c>
      <c r="M225" s="11">
        <v>1961770</v>
      </c>
      <c r="N225" s="27">
        <v>250029</v>
      </c>
      <c r="O225" s="12">
        <v>11.304327382370641</v>
      </c>
      <c r="P225" s="12">
        <v>65.649122807017548</v>
      </c>
      <c r="Q225" s="12">
        <v>87.741181410974249</v>
      </c>
      <c r="R225" s="13">
        <v>99.407334826427771</v>
      </c>
    </row>
    <row r="226" spans="1:18" x14ac:dyDescent="0.2">
      <c r="A226" s="9"/>
      <c r="B226" s="4" t="str">
        <f t="shared" si="0"/>
        <v>זמר</v>
      </c>
      <c r="C226" s="10">
        <v>5402</v>
      </c>
      <c r="D226" s="10" t="s">
        <v>312</v>
      </c>
      <c r="E226" s="11">
        <v>6287</v>
      </c>
      <c r="F226" s="11">
        <v>0</v>
      </c>
      <c r="G226" s="11">
        <v>313686</v>
      </c>
      <c r="H226" s="11">
        <v>313686</v>
      </c>
      <c r="I226" s="11">
        <v>225967</v>
      </c>
      <c r="J226" s="11">
        <v>271503</v>
      </c>
      <c r="K226" s="11">
        <v>0</v>
      </c>
      <c r="L226" s="11">
        <v>95</v>
      </c>
      <c r="M226" s="11">
        <v>271598</v>
      </c>
      <c r="N226" s="27">
        <v>42088</v>
      </c>
      <c r="O226" s="12">
        <v>13.417238894945902</v>
      </c>
      <c r="P226" s="12">
        <v>35.941943693335453</v>
      </c>
      <c r="Q226" s="12">
        <v>43.184825831080005</v>
      </c>
      <c r="R226" s="13">
        <v>49.879274693812626</v>
      </c>
    </row>
    <row r="227" spans="1:18" x14ac:dyDescent="0.2">
      <c r="A227" s="9"/>
      <c r="B227" s="4" t="str">
        <f t="shared" si="0"/>
        <v>חריש</v>
      </c>
      <c r="C227" s="10">
        <v>2024</v>
      </c>
      <c r="D227" s="10" t="s">
        <v>313</v>
      </c>
      <c r="E227" s="11">
        <v>1001</v>
      </c>
      <c r="F227" s="11">
        <v>0</v>
      </c>
      <c r="G227" s="11">
        <v>138024</v>
      </c>
      <c r="H227" s="11">
        <v>138024</v>
      </c>
      <c r="I227" s="11">
        <v>39387</v>
      </c>
      <c r="J227" s="11">
        <v>62478</v>
      </c>
      <c r="K227" s="11">
        <v>0</v>
      </c>
      <c r="L227" s="11">
        <v>1519</v>
      </c>
      <c r="M227" s="11">
        <v>63997</v>
      </c>
      <c r="N227" s="27">
        <v>74027</v>
      </c>
      <c r="O227" s="12">
        <v>53.633426070828264</v>
      </c>
      <c r="P227" s="12">
        <v>39.34765234765235</v>
      </c>
      <c r="Q227" s="12">
        <v>62.415584415584412</v>
      </c>
      <c r="R227" s="13">
        <v>136.36863136863136</v>
      </c>
    </row>
    <row r="228" spans="1:18" x14ac:dyDescent="0.2">
      <c r="A228" s="9"/>
      <c r="B228" s="4" t="str">
        <f t="shared" si="0"/>
        <v>טייבה</v>
      </c>
      <c r="C228" s="10">
        <v>4425</v>
      </c>
      <c r="D228" s="10" t="s">
        <v>14</v>
      </c>
      <c r="E228" s="11">
        <v>39559</v>
      </c>
      <c r="F228" s="11">
        <v>3575800</v>
      </c>
      <c r="G228" s="11">
        <v>0</v>
      </c>
      <c r="H228" s="11">
        <v>3575800</v>
      </c>
      <c r="I228" s="11">
        <v>1579787</v>
      </c>
      <c r="J228" s="11">
        <v>1842739</v>
      </c>
      <c r="K228" s="11">
        <v>5097</v>
      </c>
      <c r="L228" s="11">
        <v>2206</v>
      </c>
      <c r="M228" s="11">
        <v>1850042</v>
      </c>
      <c r="N228" s="27">
        <v>1725758</v>
      </c>
      <c r="O228" s="12">
        <v>48.262151127020523</v>
      </c>
      <c r="P228" s="12">
        <v>39.934957910968429</v>
      </c>
      <c r="Q228" s="12">
        <v>46.582042013195483</v>
      </c>
      <c r="R228" s="13">
        <v>90.20695669759094</v>
      </c>
    </row>
    <row r="229" spans="1:18" x14ac:dyDescent="0.2">
      <c r="A229" s="9"/>
      <c r="B229" s="4" t="str">
        <f t="shared" si="0"/>
        <v>טירת הכרמל</v>
      </c>
      <c r="C229" s="10">
        <v>2540</v>
      </c>
      <c r="D229" s="10" t="s">
        <v>314</v>
      </c>
      <c r="E229" s="11">
        <v>18747</v>
      </c>
      <c r="F229" s="11">
        <v>0</v>
      </c>
      <c r="G229" s="11">
        <v>1792313</v>
      </c>
      <c r="H229" s="11">
        <v>1792313</v>
      </c>
      <c r="I229" s="11">
        <v>926930</v>
      </c>
      <c r="J229" s="11">
        <v>1366625</v>
      </c>
      <c r="K229" s="11">
        <v>118308</v>
      </c>
      <c r="L229" s="11">
        <v>0</v>
      </c>
      <c r="M229" s="11">
        <v>1484933</v>
      </c>
      <c r="N229" s="27">
        <v>307380</v>
      </c>
      <c r="O229" s="12">
        <v>17.149906294268913</v>
      </c>
      <c r="P229" s="12">
        <v>49.444177735104283</v>
      </c>
      <c r="Q229" s="12">
        <v>72.898330399530593</v>
      </c>
      <c r="R229" s="13">
        <v>89.294553795273913</v>
      </c>
    </row>
    <row r="230" spans="1:18" x14ac:dyDescent="0.2">
      <c r="A230" s="9"/>
      <c r="B230" s="4" t="str">
        <f t="shared" si="0"/>
        <v>יהוד</v>
      </c>
      <c r="C230" s="10">
        <v>4485</v>
      </c>
      <c r="D230" s="10" t="s">
        <v>315</v>
      </c>
      <c r="E230" s="11">
        <v>28200</v>
      </c>
      <c r="F230" s="11">
        <v>0</v>
      </c>
      <c r="G230" s="11">
        <v>2510808</v>
      </c>
      <c r="H230" s="11">
        <v>2510808</v>
      </c>
      <c r="I230" s="11">
        <v>1586903</v>
      </c>
      <c r="J230" s="11">
        <v>2041311</v>
      </c>
      <c r="K230" s="11">
        <v>58483</v>
      </c>
      <c r="L230" s="11">
        <v>42239</v>
      </c>
      <c r="M230" s="11">
        <v>2142033</v>
      </c>
      <c r="N230" s="27">
        <v>368775</v>
      </c>
      <c r="O230" s="12">
        <v>14.687502987086228</v>
      </c>
      <c r="P230" s="12">
        <v>56.273156028368795</v>
      </c>
      <c r="Q230" s="12">
        <v>72.386914893617018</v>
      </c>
      <c r="R230" s="13">
        <v>85.46404255319149</v>
      </c>
    </row>
    <row r="231" spans="1:18" x14ac:dyDescent="0.2">
      <c r="A231" s="9"/>
      <c r="B231" s="4" t="str">
        <f t="shared" si="0"/>
        <v>כפר סבא</v>
      </c>
      <c r="C231" s="10">
        <v>4667</v>
      </c>
      <c r="D231" s="10" t="s">
        <v>316</v>
      </c>
      <c r="E231" s="11">
        <v>91664</v>
      </c>
      <c r="F231" s="11">
        <v>7781970</v>
      </c>
      <c r="G231" s="11">
        <v>309957</v>
      </c>
      <c r="H231" s="11">
        <v>8091927</v>
      </c>
      <c r="I231" s="11">
        <v>4941863</v>
      </c>
      <c r="J231" s="11">
        <v>7131037</v>
      </c>
      <c r="K231" s="11">
        <v>194038</v>
      </c>
      <c r="L231" s="11">
        <v>465434</v>
      </c>
      <c r="M231" s="11">
        <v>7790509</v>
      </c>
      <c r="N231" s="27">
        <v>301418</v>
      </c>
      <c r="O231" s="12">
        <v>3.7249223825177862</v>
      </c>
      <c r="P231" s="12">
        <v>53.912801099668357</v>
      </c>
      <c r="Q231" s="12">
        <v>77.795394047826846</v>
      </c>
      <c r="R231" s="13">
        <v>81.083686070867515</v>
      </c>
    </row>
    <row r="232" spans="1:18" x14ac:dyDescent="0.2">
      <c r="A232" s="9"/>
      <c r="B232" s="4" t="str">
        <f t="shared" si="0"/>
        <v>כפר שמריהו</v>
      </c>
      <c r="C232" s="10">
        <v>7886</v>
      </c>
      <c r="D232" s="10" t="s">
        <v>317</v>
      </c>
      <c r="E232" s="11">
        <v>1799</v>
      </c>
      <c r="F232" s="11">
        <v>763350</v>
      </c>
      <c r="G232" s="11">
        <v>0</v>
      </c>
      <c r="H232" s="11">
        <v>763350</v>
      </c>
      <c r="I232" s="11">
        <v>554085</v>
      </c>
      <c r="J232" s="11">
        <v>640907</v>
      </c>
      <c r="K232" s="11">
        <v>0</v>
      </c>
      <c r="L232" s="11">
        <v>86674</v>
      </c>
      <c r="M232" s="11">
        <v>727581</v>
      </c>
      <c r="N232" s="27">
        <v>35769</v>
      </c>
      <c r="O232" s="12">
        <v>4.6857928866181959</v>
      </c>
      <c r="P232" s="12">
        <v>307.99610894941634</v>
      </c>
      <c r="Q232" s="12">
        <v>356.25736520289047</v>
      </c>
      <c r="R232" s="13">
        <v>376.14007782101169</v>
      </c>
    </row>
    <row r="233" spans="1:18" x14ac:dyDescent="0.2">
      <c r="A233" s="9"/>
      <c r="B233" s="4" t="str">
        <f t="shared" si="0"/>
        <v>כפר תבור</v>
      </c>
      <c r="C233" s="10">
        <v>615</v>
      </c>
      <c r="D233" s="10" t="s">
        <v>318</v>
      </c>
      <c r="E233" s="11">
        <v>3400</v>
      </c>
      <c r="F233" s="11">
        <v>0</v>
      </c>
      <c r="G233" s="11">
        <v>404654</v>
      </c>
      <c r="H233" s="11">
        <v>404654</v>
      </c>
      <c r="I233" s="11">
        <v>247384</v>
      </c>
      <c r="J233" s="11">
        <v>317768</v>
      </c>
      <c r="K233" s="11">
        <v>42834</v>
      </c>
      <c r="L233" s="11">
        <v>9258</v>
      </c>
      <c r="M233" s="11">
        <v>369860</v>
      </c>
      <c r="N233" s="27">
        <v>34794</v>
      </c>
      <c r="O233" s="12">
        <v>8.5984569533477977</v>
      </c>
      <c r="P233" s="12">
        <v>72.760000000000005</v>
      </c>
      <c r="Q233" s="12">
        <v>93.461176470588242</v>
      </c>
      <c r="R233" s="13">
        <v>103.69470588235293</v>
      </c>
    </row>
    <row r="234" spans="1:18" x14ac:dyDescent="0.2">
      <c r="A234" s="9"/>
      <c r="B234" s="4" t="str">
        <f t="shared" si="0"/>
        <v>להבים</v>
      </c>
      <c r="C234" s="10">
        <v>6885</v>
      </c>
      <c r="D234" s="10" t="s">
        <v>57</v>
      </c>
      <c r="E234" s="11">
        <v>6282</v>
      </c>
      <c r="F234" s="11">
        <v>0</v>
      </c>
      <c r="G234" s="11">
        <v>648285</v>
      </c>
      <c r="H234" s="11">
        <v>648285</v>
      </c>
      <c r="I234" s="11">
        <v>543522</v>
      </c>
      <c r="J234" s="11">
        <v>590782</v>
      </c>
      <c r="K234" s="11">
        <v>0</v>
      </c>
      <c r="L234" s="11">
        <v>0</v>
      </c>
      <c r="M234" s="11">
        <v>590782</v>
      </c>
      <c r="N234" s="27">
        <v>57503</v>
      </c>
      <c r="O234" s="12">
        <v>8.870018587503953</v>
      </c>
      <c r="P234" s="12">
        <v>86.520534861509077</v>
      </c>
      <c r="Q234" s="12">
        <v>94.043616682585167</v>
      </c>
      <c r="R234" s="13">
        <v>103.19723018147087</v>
      </c>
    </row>
    <row r="235" spans="1:18" x14ac:dyDescent="0.2">
      <c r="A235" s="9"/>
      <c r="B235" s="4" t="str">
        <f t="shared" si="0"/>
        <v>מודיעין עלית</v>
      </c>
      <c r="C235" s="10">
        <v>9427</v>
      </c>
      <c r="D235" s="10" t="s">
        <v>319</v>
      </c>
      <c r="E235" s="11">
        <v>60046</v>
      </c>
      <c r="F235" s="11">
        <v>0</v>
      </c>
      <c r="G235" s="11">
        <v>2789925</v>
      </c>
      <c r="H235" s="11">
        <v>2789925</v>
      </c>
      <c r="I235" s="11">
        <v>2023592</v>
      </c>
      <c r="J235" s="11">
        <v>2532589</v>
      </c>
      <c r="K235" s="11">
        <v>23512</v>
      </c>
      <c r="L235" s="11">
        <v>0</v>
      </c>
      <c r="M235" s="11">
        <v>2556101</v>
      </c>
      <c r="N235" s="27">
        <v>233824</v>
      </c>
      <c r="O235" s="12">
        <v>8.3810138265365559</v>
      </c>
      <c r="P235" s="12">
        <v>33.70069613296473</v>
      </c>
      <c r="Q235" s="12">
        <v>42.177480598208042</v>
      </c>
      <c r="R235" s="13">
        <v>46.071561802617992</v>
      </c>
    </row>
    <row r="236" spans="1:18" x14ac:dyDescent="0.2">
      <c r="A236" s="9"/>
      <c r="B236" s="4" t="str">
        <f t="shared" si="0"/>
        <v>מיתר</v>
      </c>
      <c r="C236" s="10">
        <v>6876</v>
      </c>
      <c r="D236" s="10" t="s">
        <v>320</v>
      </c>
      <c r="E236" s="11">
        <v>6948</v>
      </c>
      <c r="F236" s="11">
        <v>0</v>
      </c>
      <c r="G236" s="11">
        <v>946960</v>
      </c>
      <c r="H236" s="11">
        <v>946960</v>
      </c>
      <c r="I236" s="11">
        <v>621123</v>
      </c>
      <c r="J236" s="11">
        <v>778038</v>
      </c>
      <c r="K236" s="11">
        <v>0</v>
      </c>
      <c r="L236" s="11">
        <v>0</v>
      </c>
      <c r="M236" s="11">
        <v>778038</v>
      </c>
      <c r="N236" s="27">
        <v>168922</v>
      </c>
      <c r="O236" s="12">
        <v>17.838345864661655</v>
      </c>
      <c r="P236" s="12">
        <v>89.395941278065635</v>
      </c>
      <c r="Q236" s="12">
        <v>111.98013816925734</v>
      </c>
      <c r="R236" s="13">
        <v>136.29245826137017</v>
      </c>
    </row>
    <row r="237" spans="1:18" x14ac:dyDescent="0.2">
      <c r="A237" s="9"/>
      <c r="B237" s="4" t="str">
        <f t="shared" si="0"/>
        <v>מעלה אדומים</v>
      </c>
      <c r="C237" s="10">
        <v>9548</v>
      </c>
      <c r="D237" s="10" t="s">
        <v>321</v>
      </c>
      <c r="E237" s="11">
        <v>37138</v>
      </c>
      <c r="F237" s="11">
        <v>0</v>
      </c>
      <c r="G237" s="11">
        <v>3354363</v>
      </c>
      <c r="H237" s="11">
        <v>3354363</v>
      </c>
      <c r="I237" s="11">
        <v>1852748</v>
      </c>
      <c r="J237" s="11">
        <v>2632076</v>
      </c>
      <c r="K237" s="11">
        <v>302693</v>
      </c>
      <c r="L237" s="11">
        <v>9864</v>
      </c>
      <c r="M237" s="11">
        <v>2944633</v>
      </c>
      <c r="N237" s="27">
        <v>409730</v>
      </c>
      <c r="O237" s="12">
        <v>12.214837809742118</v>
      </c>
      <c r="P237" s="12">
        <v>49.888200764715386</v>
      </c>
      <c r="Q237" s="12">
        <v>70.872852603802031</v>
      </c>
      <c r="R237" s="13">
        <v>81.905487640691476</v>
      </c>
    </row>
    <row r="238" spans="1:18" x14ac:dyDescent="0.2">
      <c r="A238" s="9"/>
      <c r="B238" s="4" t="str">
        <f t="shared" si="0"/>
        <v>מעלה אפרים</v>
      </c>
      <c r="C238" s="10">
        <v>9147</v>
      </c>
      <c r="D238" s="10" t="s">
        <v>322</v>
      </c>
      <c r="E238" s="11">
        <v>1098</v>
      </c>
      <c r="F238" s="11">
        <v>0</v>
      </c>
      <c r="G238" s="11">
        <v>153135</v>
      </c>
      <c r="H238" s="11">
        <v>153135</v>
      </c>
      <c r="I238" s="11">
        <v>56821</v>
      </c>
      <c r="J238" s="11">
        <v>105154</v>
      </c>
      <c r="K238" s="11">
        <v>6266</v>
      </c>
      <c r="L238" s="11">
        <v>0</v>
      </c>
      <c r="M238" s="11">
        <v>111420</v>
      </c>
      <c r="N238" s="27">
        <v>41715</v>
      </c>
      <c r="O238" s="12">
        <v>27.240669997061417</v>
      </c>
      <c r="P238" s="12">
        <v>51.74954462659381</v>
      </c>
      <c r="Q238" s="12">
        <v>95.768670309653913</v>
      </c>
      <c r="R238" s="13">
        <v>133.76047358834245</v>
      </c>
    </row>
    <row r="239" spans="1:18" x14ac:dyDescent="0.2">
      <c r="A239" s="9"/>
      <c r="B239" s="4" t="s">
        <v>17</v>
      </c>
      <c r="C239" s="10">
        <v>878</v>
      </c>
      <c r="D239" s="28" t="s">
        <v>323</v>
      </c>
      <c r="E239" s="11">
        <v>53370</v>
      </c>
      <c r="F239" s="11">
        <v>1784340</v>
      </c>
      <c r="G239" s="11">
        <v>3437524</v>
      </c>
      <c r="H239" s="11">
        <v>5221864</v>
      </c>
      <c r="I239" s="11">
        <v>2969000</v>
      </c>
      <c r="J239" s="11">
        <v>4099000</v>
      </c>
      <c r="K239" s="11">
        <v>356759</v>
      </c>
      <c r="L239" s="11">
        <v>149334</v>
      </c>
      <c r="M239" s="11">
        <v>4605093</v>
      </c>
      <c r="N239" s="27">
        <v>616771</v>
      </c>
      <c r="O239" s="12">
        <v>11.811318716841344</v>
      </c>
      <c r="P239" s="12">
        <v>55.630504028480416</v>
      </c>
      <c r="Q239" s="12">
        <v>76.803447629754544</v>
      </c>
      <c r="R239" s="13">
        <v>88.359958778339887</v>
      </c>
    </row>
    <row r="240" spans="1:18" x14ac:dyDescent="0.2">
      <c r="A240" s="9"/>
      <c r="B240" s="4" t="str">
        <f t="shared" si="0"/>
        <v>נשר</v>
      </c>
      <c r="C240" s="10">
        <v>2779</v>
      </c>
      <c r="D240" s="10" t="s">
        <v>18</v>
      </c>
      <c r="E240" s="11">
        <v>23319</v>
      </c>
      <c r="F240" s="11">
        <v>0</v>
      </c>
      <c r="G240" s="11">
        <v>1658289</v>
      </c>
      <c r="H240" s="11">
        <v>1658289</v>
      </c>
      <c r="I240" s="11">
        <v>1099788</v>
      </c>
      <c r="J240" s="11">
        <v>1491498</v>
      </c>
      <c r="K240" s="11">
        <v>83754</v>
      </c>
      <c r="L240" s="11">
        <v>829</v>
      </c>
      <c r="M240" s="11">
        <v>1576081</v>
      </c>
      <c r="N240" s="27">
        <v>82208</v>
      </c>
      <c r="O240" s="12">
        <v>4.9573988611152826</v>
      </c>
      <c r="P240" s="12">
        <v>47.162742827737041</v>
      </c>
      <c r="Q240" s="12">
        <v>63.960632960247011</v>
      </c>
      <c r="R240" s="13">
        <v>67.485998541961493</v>
      </c>
    </row>
    <row r="241" spans="1:18" x14ac:dyDescent="0.2">
      <c r="A241" s="9"/>
      <c r="B241" s="4" t="str">
        <f t="shared" si="0"/>
        <v>סביון</v>
      </c>
      <c r="C241" s="10">
        <v>5049</v>
      </c>
      <c r="D241" s="10" t="s">
        <v>324</v>
      </c>
      <c r="E241" s="11">
        <v>3469</v>
      </c>
      <c r="F241" s="11">
        <v>0</v>
      </c>
      <c r="G241" s="11">
        <v>1219164</v>
      </c>
      <c r="H241" s="11">
        <v>1219164</v>
      </c>
      <c r="I241" s="11">
        <v>1043014</v>
      </c>
      <c r="J241" s="11">
        <v>1200259</v>
      </c>
      <c r="K241" s="11">
        <v>0</v>
      </c>
      <c r="L241" s="11">
        <v>0</v>
      </c>
      <c r="M241" s="11">
        <v>1200259</v>
      </c>
      <c r="N241" s="27">
        <v>18905</v>
      </c>
      <c r="O241" s="12">
        <v>1.5506527423710017</v>
      </c>
      <c r="P241" s="12">
        <v>300.66705102334964</v>
      </c>
      <c r="Q241" s="12">
        <v>345.99567598731625</v>
      </c>
      <c r="R241" s="13">
        <v>351.44537330642839</v>
      </c>
    </row>
    <row r="242" spans="1:18" x14ac:dyDescent="0.2">
      <c r="A242" s="9"/>
      <c r="B242" s="4" t="str">
        <f t="shared" si="0"/>
        <v>עג'ר</v>
      </c>
      <c r="C242" s="10">
        <v>9275</v>
      </c>
      <c r="D242" s="10" t="s">
        <v>325</v>
      </c>
      <c r="E242" s="11">
        <v>2361</v>
      </c>
      <c r="F242" s="11">
        <v>171722</v>
      </c>
      <c r="G242" s="11">
        <v>5394</v>
      </c>
      <c r="H242" s="11">
        <v>177116</v>
      </c>
      <c r="I242" s="11">
        <v>152230</v>
      </c>
      <c r="J242" s="11">
        <v>176788</v>
      </c>
      <c r="K242" s="11">
        <v>0</v>
      </c>
      <c r="L242" s="11">
        <v>0</v>
      </c>
      <c r="M242" s="11">
        <v>176788</v>
      </c>
      <c r="N242" s="27">
        <v>328</v>
      </c>
      <c r="O242" s="12">
        <v>0.18518936742022177</v>
      </c>
      <c r="P242" s="12">
        <v>64.47691656077933</v>
      </c>
      <c r="Q242" s="12">
        <v>74.878441338415925</v>
      </c>
      <c r="R242" s="13">
        <v>75.017365523083441</v>
      </c>
    </row>
    <row r="243" spans="1:18" x14ac:dyDescent="0.2">
      <c r="A243" s="9"/>
      <c r="B243" s="4" t="str">
        <f t="shared" si="0"/>
        <v>עומר</v>
      </c>
      <c r="C243" s="10">
        <v>7298</v>
      </c>
      <c r="D243" s="10" t="s">
        <v>67</v>
      </c>
      <c r="E243" s="11">
        <v>7273</v>
      </c>
      <c r="F243" s="11">
        <v>0</v>
      </c>
      <c r="G243" s="11">
        <v>1039237</v>
      </c>
      <c r="H243" s="11">
        <v>1039237</v>
      </c>
      <c r="I243" s="11">
        <v>708878</v>
      </c>
      <c r="J243" s="11">
        <v>827459</v>
      </c>
      <c r="K243" s="11">
        <v>7231</v>
      </c>
      <c r="L243" s="11">
        <v>119640</v>
      </c>
      <c r="M243" s="11">
        <v>954330</v>
      </c>
      <c r="N243" s="27">
        <v>84907</v>
      </c>
      <c r="O243" s="12">
        <v>8.1701286617008435</v>
      </c>
      <c r="P243" s="12">
        <v>97.467069984875565</v>
      </c>
      <c r="Q243" s="12">
        <v>113.7713460745222</v>
      </c>
      <c r="R243" s="13">
        <v>125.4456207892204</v>
      </c>
    </row>
    <row r="244" spans="1:18" x14ac:dyDescent="0.2">
      <c r="A244" s="9"/>
      <c r="B244" s="4" t="str">
        <f t="shared" si="0"/>
        <v>עוספיה</v>
      </c>
      <c r="C244" s="10">
        <v>2827</v>
      </c>
      <c r="D244" s="10" t="s">
        <v>326</v>
      </c>
      <c r="E244" s="11">
        <v>11553</v>
      </c>
      <c r="F244" s="11">
        <v>0</v>
      </c>
      <c r="G244" s="11">
        <v>1257577</v>
      </c>
      <c r="H244" s="11">
        <v>1257577</v>
      </c>
      <c r="I244" s="11">
        <v>631363</v>
      </c>
      <c r="J244" s="11">
        <v>693894</v>
      </c>
      <c r="K244" s="11">
        <v>0</v>
      </c>
      <c r="L244" s="11">
        <v>57838</v>
      </c>
      <c r="M244" s="11">
        <v>751732</v>
      </c>
      <c r="N244" s="27">
        <v>505845</v>
      </c>
      <c r="O244" s="12">
        <v>40.223779537952744</v>
      </c>
      <c r="P244" s="12">
        <v>54.649268588245477</v>
      </c>
      <c r="Q244" s="12">
        <v>60.061802129317059</v>
      </c>
      <c r="R244" s="13">
        <v>103.84653336795637</v>
      </c>
    </row>
    <row r="245" spans="1:18" x14ac:dyDescent="0.2">
      <c r="A245" s="9"/>
      <c r="B245" s="4" t="str">
        <f t="shared" si="0"/>
        <v>עין קניה</v>
      </c>
      <c r="C245" s="10">
        <v>9284</v>
      </c>
      <c r="D245" s="10" t="s">
        <v>327</v>
      </c>
      <c r="E245" s="11">
        <v>1892</v>
      </c>
      <c r="F245" s="11">
        <v>0</v>
      </c>
      <c r="G245" s="11">
        <v>133967</v>
      </c>
      <c r="H245" s="11">
        <v>133967</v>
      </c>
      <c r="I245" s="11">
        <v>110810</v>
      </c>
      <c r="J245" s="11">
        <v>111430</v>
      </c>
      <c r="K245" s="11">
        <v>0</v>
      </c>
      <c r="L245" s="11">
        <v>0</v>
      </c>
      <c r="M245" s="11">
        <v>111430</v>
      </c>
      <c r="N245" s="27">
        <v>22537</v>
      </c>
      <c r="O245" s="12">
        <v>16.822799644688619</v>
      </c>
      <c r="P245" s="12">
        <v>58.567653276955603</v>
      </c>
      <c r="Q245" s="12">
        <v>58.895348837209305</v>
      </c>
      <c r="R245" s="13">
        <v>70.807082452431288</v>
      </c>
    </row>
    <row r="246" spans="1:18" x14ac:dyDescent="0.2">
      <c r="A246" s="9"/>
      <c r="B246" s="4" t="str">
        <f t="shared" si="0"/>
        <v>עמנואל</v>
      </c>
      <c r="C246" s="10">
        <v>9539</v>
      </c>
      <c r="D246" s="10" t="s">
        <v>328</v>
      </c>
      <c r="E246" s="11">
        <v>3115</v>
      </c>
      <c r="F246" s="11">
        <v>0</v>
      </c>
      <c r="G246" s="11">
        <v>325383</v>
      </c>
      <c r="H246" s="11">
        <v>325383</v>
      </c>
      <c r="I246" s="11">
        <v>142458</v>
      </c>
      <c r="J246" s="11">
        <v>290258</v>
      </c>
      <c r="K246" s="11">
        <v>0</v>
      </c>
      <c r="L246" s="11">
        <v>0</v>
      </c>
      <c r="M246" s="11">
        <v>290258</v>
      </c>
      <c r="N246" s="27">
        <v>35125</v>
      </c>
      <c r="O246" s="12">
        <v>10.794970849737078</v>
      </c>
      <c r="P246" s="12">
        <v>45.732905296950243</v>
      </c>
      <c r="Q246" s="12">
        <v>93.180738362760835</v>
      </c>
      <c r="R246" s="13">
        <v>104.45682182985554</v>
      </c>
    </row>
    <row r="247" spans="1:18" x14ac:dyDescent="0.2">
      <c r="A247" s="9"/>
      <c r="B247" s="4" t="str">
        <f t="shared" si="0"/>
        <v>פרדיס</v>
      </c>
      <c r="C247" s="10">
        <v>2895</v>
      </c>
      <c r="D247" s="10" t="s">
        <v>329</v>
      </c>
      <c r="E247" s="11">
        <v>11868</v>
      </c>
      <c r="F247" s="11">
        <v>0</v>
      </c>
      <c r="G247" s="11">
        <v>705909</v>
      </c>
      <c r="H247" s="11">
        <v>705909</v>
      </c>
      <c r="I247" s="11">
        <v>549565</v>
      </c>
      <c r="J247" s="11">
        <v>595205</v>
      </c>
      <c r="K247" s="11">
        <v>0</v>
      </c>
      <c r="L247" s="11">
        <v>36</v>
      </c>
      <c r="M247" s="11">
        <v>595241</v>
      </c>
      <c r="N247" s="27">
        <v>110668</v>
      </c>
      <c r="O247" s="12">
        <v>15.67737484576624</v>
      </c>
      <c r="P247" s="12">
        <v>46.306454330974049</v>
      </c>
      <c r="Q247" s="12">
        <v>50.152089652847998</v>
      </c>
      <c r="R247" s="13">
        <v>59.47699696663296</v>
      </c>
    </row>
    <row r="248" spans="1:18" x14ac:dyDescent="0.2">
      <c r="A248" s="9"/>
      <c r="B248" s="4" t="str">
        <f t="shared" si="0"/>
        <v>פרדס חנה-כרכור</v>
      </c>
      <c r="C248" s="10">
        <v>2995</v>
      </c>
      <c r="D248" s="10" t="s">
        <v>330</v>
      </c>
      <c r="E248" s="11">
        <v>35774</v>
      </c>
      <c r="F248" s="11">
        <v>792350</v>
      </c>
      <c r="G248" s="11">
        <v>2784983</v>
      </c>
      <c r="H248" s="11">
        <v>3577333</v>
      </c>
      <c r="I248" s="11">
        <v>1937194</v>
      </c>
      <c r="J248" s="11">
        <v>2469398</v>
      </c>
      <c r="K248" s="11">
        <v>18730</v>
      </c>
      <c r="L248" s="11">
        <v>177629</v>
      </c>
      <c r="M248" s="11">
        <v>2665757</v>
      </c>
      <c r="N248" s="27">
        <v>911576</v>
      </c>
      <c r="O248" s="12">
        <v>25.482000138091703</v>
      </c>
      <c r="P248" s="12">
        <v>54.150891709062449</v>
      </c>
      <c r="Q248" s="12">
        <v>69.027729636048534</v>
      </c>
      <c r="R248" s="13">
        <v>94.509252529770222</v>
      </c>
    </row>
    <row r="249" spans="1:18" x14ac:dyDescent="0.2">
      <c r="A249" s="9"/>
      <c r="B249" s="4" t="str">
        <f t="shared" si="0"/>
        <v>*קדומים</v>
      </c>
      <c r="C249" s="10">
        <v>9549</v>
      </c>
      <c r="D249" s="28" t="s">
        <v>331</v>
      </c>
      <c r="E249" s="11">
        <v>4174</v>
      </c>
      <c r="F249" s="11">
        <v>0</v>
      </c>
      <c r="G249" s="11">
        <v>345000</v>
      </c>
      <c r="H249" s="11">
        <v>345000</v>
      </c>
      <c r="I249" s="11">
        <v>191075</v>
      </c>
      <c r="J249" s="11">
        <v>260260</v>
      </c>
      <c r="K249" s="11">
        <v>0</v>
      </c>
      <c r="L249" s="11">
        <v>19467</v>
      </c>
      <c r="M249" s="11">
        <v>279727</v>
      </c>
      <c r="N249" s="27">
        <v>65273</v>
      </c>
      <c r="O249" s="12">
        <v>18.919710144927539</v>
      </c>
      <c r="P249" s="12">
        <v>45.777431720172494</v>
      </c>
      <c r="Q249" s="12">
        <v>62.352659319597507</v>
      </c>
      <c r="R249" s="13">
        <v>77.990656444657404</v>
      </c>
    </row>
    <row r="250" spans="1:18" x14ac:dyDescent="0.2">
      <c r="A250" s="9"/>
      <c r="B250" s="4" t="str">
        <f t="shared" si="0"/>
        <v>קלנסואה</v>
      </c>
      <c r="C250" s="10">
        <v>5848</v>
      </c>
      <c r="D250" s="10" t="s">
        <v>332</v>
      </c>
      <c r="E250" s="11">
        <v>20645</v>
      </c>
      <c r="F250" s="11">
        <v>1744700</v>
      </c>
      <c r="G250" s="11">
        <v>12355</v>
      </c>
      <c r="H250" s="11">
        <v>1757055</v>
      </c>
      <c r="I250" s="11">
        <v>880834</v>
      </c>
      <c r="J250" s="11">
        <v>1012062</v>
      </c>
      <c r="K250" s="11">
        <v>0</v>
      </c>
      <c r="L250" s="11">
        <v>235222</v>
      </c>
      <c r="M250" s="11">
        <v>1247284</v>
      </c>
      <c r="N250" s="27">
        <v>509771</v>
      </c>
      <c r="O250" s="12">
        <v>29.012808363995436</v>
      </c>
      <c r="P250" s="12">
        <v>42.665730201017197</v>
      </c>
      <c r="Q250" s="12">
        <v>49.02213611043836</v>
      </c>
      <c r="R250" s="13">
        <v>73.714361830951802</v>
      </c>
    </row>
    <row r="251" spans="1:18" x14ac:dyDescent="0.2">
      <c r="A251" s="9"/>
      <c r="B251" s="4" t="str">
        <f t="shared" si="0"/>
        <v>קרית ארבע חברון</v>
      </c>
      <c r="C251" s="10">
        <v>9577</v>
      </c>
      <c r="D251" s="10" t="s">
        <v>333</v>
      </c>
      <c r="E251" s="11">
        <v>7166</v>
      </c>
      <c r="F251" s="11">
        <v>0</v>
      </c>
      <c r="G251" s="11">
        <v>548130</v>
      </c>
      <c r="H251" s="11">
        <v>548130</v>
      </c>
      <c r="I251" s="11">
        <v>250608</v>
      </c>
      <c r="J251" s="11">
        <v>504352</v>
      </c>
      <c r="K251" s="11">
        <v>3305</v>
      </c>
      <c r="L251" s="11">
        <v>0</v>
      </c>
      <c r="M251" s="11">
        <v>507657</v>
      </c>
      <c r="N251" s="27">
        <v>40473</v>
      </c>
      <c r="O251" s="12">
        <v>7.3838323025559633</v>
      </c>
      <c r="P251" s="12">
        <v>34.971811331286631</v>
      </c>
      <c r="Q251" s="12">
        <v>70.381244766955064</v>
      </c>
      <c r="R251" s="13">
        <v>76.029165503767786</v>
      </c>
    </row>
    <row r="252" spans="1:18" x14ac:dyDescent="0.2">
      <c r="A252" s="9"/>
      <c r="B252" s="4" t="str">
        <f t="shared" si="0"/>
        <v>קרית יערים</v>
      </c>
      <c r="C252" s="10">
        <v>8604</v>
      </c>
      <c r="D252" s="10" t="s">
        <v>334</v>
      </c>
      <c r="E252" s="11">
        <v>3702</v>
      </c>
      <c r="F252" s="11">
        <v>0</v>
      </c>
      <c r="G252" s="11">
        <v>255605</v>
      </c>
      <c r="H252" s="11">
        <v>255605</v>
      </c>
      <c r="I252" s="11">
        <v>183720</v>
      </c>
      <c r="J252" s="11">
        <v>243142</v>
      </c>
      <c r="K252" s="11">
        <v>0</v>
      </c>
      <c r="L252" s="11">
        <v>0</v>
      </c>
      <c r="M252" s="11">
        <v>243142</v>
      </c>
      <c r="N252" s="27">
        <v>12463</v>
      </c>
      <c r="O252" s="12">
        <v>4.8758827096496544</v>
      </c>
      <c r="P252" s="12">
        <v>49.627228525121559</v>
      </c>
      <c r="Q252" s="12">
        <v>65.678552133981626</v>
      </c>
      <c r="R252" s="13">
        <v>69.04511075094544</v>
      </c>
    </row>
    <row r="253" spans="1:18" x14ac:dyDescent="0.2">
      <c r="A253" s="9"/>
      <c r="B253" s="4" t="str">
        <f t="shared" si="0"/>
        <v>קרית מלאכי</v>
      </c>
      <c r="C253" s="10">
        <v>7325</v>
      </c>
      <c r="D253" s="10" t="s">
        <v>335</v>
      </c>
      <c r="E253" s="11">
        <v>21336</v>
      </c>
      <c r="F253" s="11">
        <v>0</v>
      </c>
      <c r="G253" s="11">
        <v>1826424</v>
      </c>
      <c r="H253" s="11">
        <v>1826424</v>
      </c>
      <c r="I253" s="11">
        <v>1003461</v>
      </c>
      <c r="J253" s="11">
        <v>1303729</v>
      </c>
      <c r="K253" s="11">
        <v>379747</v>
      </c>
      <c r="L253" s="11">
        <v>0</v>
      </c>
      <c r="M253" s="11">
        <v>1683476</v>
      </c>
      <c r="N253" s="27">
        <v>142948</v>
      </c>
      <c r="O253" s="12">
        <v>7.8266601840536483</v>
      </c>
      <c r="P253" s="12">
        <v>47.031355455568054</v>
      </c>
      <c r="Q253" s="12">
        <v>61.104658792650916</v>
      </c>
      <c r="R253" s="13">
        <v>67.804508811398577</v>
      </c>
    </row>
    <row r="254" spans="1:18" x14ac:dyDescent="0.2">
      <c r="A254" s="9"/>
      <c r="B254" s="4" t="str">
        <f t="shared" si="0"/>
        <v>ראש פינה</v>
      </c>
      <c r="C254" s="10">
        <v>1453</v>
      </c>
      <c r="D254" s="10" t="s">
        <v>511</v>
      </c>
      <c r="E254" s="11">
        <v>2845</v>
      </c>
      <c r="F254" s="11">
        <v>187960</v>
      </c>
      <c r="G254" s="11">
        <v>407150</v>
      </c>
      <c r="H254" s="11">
        <v>595110</v>
      </c>
      <c r="I254" s="11">
        <v>263943</v>
      </c>
      <c r="J254" s="11">
        <v>472973</v>
      </c>
      <c r="K254" s="11">
        <v>80088</v>
      </c>
      <c r="L254" s="11">
        <v>0</v>
      </c>
      <c r="M254" s="11">
        <v>553061</v>
      </c>
      <c r="N254" s="27">
        <v>42049</v>
      </c>
      <c r="O254" s="12">
        <v>7.0657525499487495</v>
      </c>
      <c r="P254" s="12">
        <v>92.774340949033387</v>
      </c>
      <c r="Q254" s="12">
        <v>166.24710017574694</v>
      </c>
      <c r="R254" s="13">
        <v>181.02706502636204</v>
      </c>
    </row>
    <row r="255" spans="1:18" x14ac:dyDescent="0.2">
      <c r="A255" s="9"/>
      <c r="B255" s="4" t="str">
        <f t="shared" si="0"/>
        <v>רחובות</v>
      </c>
      <c r="C255" s="10">
        <v>6223</v>
      </c>
      <c r="D255" s="10" t="s">
        <v>336</v>
      </c>
      <c r="E255" s="11">
        <v>124988</v>
      </c>
      <c r="F255" s="11">
        <v>3523500</v>
      </c>
      <c r="G255" s="11">
        <v>6707356</v>
      </c>
      <c r="H255" s="11">
        <v>10230856</v>
      </c>
      <c r="I255" s="11">
        <v>6553408</v>
      </c>
      <c r="J255" s="11">
        <v>9328927</v>
      </c>
      <c r="K255" s="11">
        <v>110244</v>
      </c>
      <c r="L255" s="11">
        <v>258593</v>
      </c>
      <c r="M255" s="11">
        <v>9697764</v>
      </c>
      <c r="N255" s="27">
        <v>533092</v>
      </c>
      <c r="O255" s="12">
        <v>5.210629491804009</v>
      </c>
      <c r="P255" s="12">
        <v>52.432297500560054</v>
      </c>
      <c r="Q255" s="12">
        <v>74.638581303805168</v>
      </c>
      <c r="R255" s="13">
        <v>78.903726757768752</v>
      </c>
    </row>
    <row r="256" spans="1:18" x14ac:dyDescent="0.2">
      <c r="A256" s="9"/>
      <c r="B256" s="4" t="str">
        <f t="shared" si="0"/>
        <v>שדרות</v>
      </c>
      <c r="C256" s="10">
        <v>7380</v>
      </c>
      <c r="D256" s="10" t="s">
        <v>68</v>
      </c>
      <c r="E256" s="11">
        <v>21881</v>
      </c>
      <c r="F256" s="11">
        <v>0</v>
      </c>
      <c r="G256" s="11">
        <v>2197377</v>
      </c>
      <c r="H256" s="11">
        <v>2197377</v>
      </c>
      <c r="I256" s="11">
        <v>1031692</v>
      </c>
      <c r="J256" s="11">
        <v>1672085</v>
      </c>
      <c r="K256" s="11">
        <v>186668</v>
      </c>
      <c r="L256" s="11">
        <v>0</v>
      </c>
      <c r="M256" s="11">
        <v>1858753</v>
      </c>
      <c r="N256" s="27">
        <v>338624</v>
      </c>
      <c r="O256" s="12">
        <v>15.410373367883617</v>
      </c>
      <c r="P256" s="12">
        <v>47.150130249988571</v>
      </c>
      <c r="Q256" s="12">
        <v>76.417211279191989</v>
      </c>
      <c r="R256" s="13">
        <v>91.892920798866598</v>
      </c>
    </row>
    <row r="257" spans="1:18" x14ac:dyDescent="0.2">
      <c r="A257" s="19"/>
      <c r="B257" s="4" t="str">
        <f t="shared" si="0"/>
        <v>שהם</v>
      </c>
      <c r="C257" s="20">
        <v>4861</v>
      </c>
      <c r="D257" s="20" t="s">
        <v>337</v>
      </c>
      <c r="E257" s="21">
        <v>19631</v>
      </c>
      <c r="F257" s="21">
        <v>0</v>
      </c>
      <c r="G257" s="21">
        <v>1625594</v>
      </c>
      <c r="H257" s="21">
        <v>1625594</v>
      </c>
      <c r="I257" s="21">
        <v>1179172</v>
      </c>
      <c r="J257" s="21">
        <v>1510775</v>
      </c>
      <c r="K257" s="21">
        <v>0</v>
      </c>
      <c r="L257" s="21">
        <v>0</v>
      </c>
      <c r="M257" s="21">
        <v>1510775</v>
      </c>
      <c r="N257" s="29">
        <v>114819</v>
      </c>
      <c r="O257" s="22">
        <v>7.0632027431203612</v>
      </c>
      <c r="P257" s="22">
        <v>60.066833070144163</v>
      </c>
      <c r="Q257" s="22">
        <v>76.958636849880293</v>
      </c>
      <c r="R257" s="23">
        <v>82.807498344455198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129"/>
  <sheetViews>
    <sheetView rightToLeft="1" workbookViewId="0">
      <pane ySplit="7" topLeftCell="A8" activePane="bottomLeft" state="frozen"/>
      <selection activeCell="I11" sqref="I11"/>
      <selection pane="bottomLeft" activeCell="F8" sqref="F8"/>
    </sheetView>
  </sheetViews>
  <sheetFormatPr defaultRowHeight="15.75" x14ac:dyDescent="0.25"/>
  <cols>
    <col min="1" max="1" width="9.140625" style="58"/>
    <col min="2" max="2" width="3.28515625" style="58" bestFit="1" customWidth="1"/>
    <col min="3" max="3" width="18.42578125" style="58" bestFit="1" customWidth="1"/>
    <col min="4" max="4" width="22.5703125" style="64" bestFit="1" customWidth="1"/>
    <col min="5" max="5" width="20.85546875" style="58" customWidth="1"/>
    <col min="6" max="6" width="11.42578125" style="60" bestFit="1" customWidth="1"/>
    <col min="7" max="7" width="26.5703125" style="58" bestFit="1" customWidth="1"/>
    <col min="8" max="8" width="17.85546875" style="61" bestFit="1" customWidth="1"/>
    <col min="9" max="9" width="13" style="58" bestFit="1" customWidth="1"/>
    <col min="10" max="10" width="11.28515625" style="58" bestFit="1" customWidth="1"/>
    <col min="11" max="12" width="9.140625" style="58"/>
    <col min="13" max="14" width="9.140625" style="62"/>
    <col min="15" max="16384" width="9.140625" style="58"/>
  </cols>
  <sheetData>
    <row r="1" spans="1:20" x14ac:dyDescent="0.25">
      <c r="C1" s="58" t="s">
        <v>385</v>
      </c>
      <c r="D1" s="59">
        <f>מדדים!G69</f>
        <v>34010140.39048861</v>
      </c>
    </row>
    <row r="3" spans="1:20" ht="18" x14ac:dyDescent="0.25">
      <c r="C3" s="63" t="s">
        <v>386</v>
      </c>
    </row>
    <row r="4" spans="1:20" x14ac:dyDescent="0.25">
      <c r="J4" s="65"/>
    </row>
    <row r="5" spans="1:20" ht="16.5" thickBot="1" x14ac:dyDescent="0.3"/>
    <row r="6" spans="1:20" x14ac:dyDescent="0.25">
      <c r="B6" s="66"/>
      <c r="C6" s="67"/>
      <c r="D6" s="68"/>
      <c r="E6" s="67"/>
      <c r="F6" s="69"/>
      <c r="G6" s="67"/>
      <c r="H6" s="70"/>
      <c r="I6" s="67"/>
      <c r="J6" s="319" t="s">
        <v>387</v>
      </c>
      <c r="K6" s="319"/>
      <c r="L6" s="319"/>
      <c r="M6" s="319"/>
      <c r="N6" s="320"/>
    </row>
    <row r="7" spans="1:20" s="77" customFormat="1" ht="111" thickBot="1" x14ac:dyDescent="0.25">
      <c r="B7" s="71"/>
      <c r="C7" s="72" t="s">
        <v>388</v>
      </c>
      <c r="D7" s="72" t="s">
        <v>389</v>
      </c>
      <c r="E7" s="72" t="s">
        <v>390</v>
      </c>
      <c r="F7" s="73" t="s">
        <v>391</v>
      </c>
      <c r="G7" s="72" t="s">
        <v>392</v>
      </c>
      <c r="H7" s="72" t="s">
        <v>393</v>
      </c>
      <c r="I7" s="72" t="s">
        <v>394</v>
      </c>
      <c r="J7" s="74" t="s">
        <v>395</v>
      </c>
      <c r="K7" s="74" t="s">
        <v>396</v>
      </c>
      <c r="L7" s="74" t="s">
        <v>397</v>
      </c>
      <c r="M7" s="75" t="s">
        <v>398</v>
      </c>
      <c r="N7" s="76" t="s">
        <v>399</v>
      </c>
    </row>
    <row r="8" spans="1:20" ht="14.25" customHeight="1" thickBot="1" x14ac:dyDescent="0.3">
      <c r="A8" s="58" t="str">
        <f>C8&amp;"-"&amp;E8</f>
        <v>בוקעאתא-אגרה</v>
      </c>
      <c r="B8" s="78">
        <v>27</v>
      </c>
      <c r="C8" s="79" t="s">
        <v>300</v>
      </c>
      <c r="D8" s="80" t="s">
        <v>400</v>
      </c>
      <c r="E8" s="79" t="s">
        <v>401</v>
      </c>
      <c r="F8" s="79">
        <v>0.9</v>
      </c>
      <c r="G8" s="81">
        <v>35841</v>
      </c>
      <c r="H8" s="82"/>
      <c r="I8" s="83"/>
      <c r="J8" s="84">
        <f>F8*$D$1/$I$11</f>
        <v>1.308738804826685</v>
      </c>
      <c r="K8" s="84"/>
      <c r="L8" s="84"/>
      <c r="M8" s="85"/>
      <c r="N8" s="86"/>
      <c r="O8" s="87"/>
      <c r="P8" s="87"/>
      <c r="Q8" s="87"/>
      <c r="R8" s="87"/>
      <c r="S8" s="87"/>
      <c r="T8" s="87"/>
    </row>
    <row r="9" spans="1:20" ht="14.25" customHeight="1" thickBot="1" x14ac:dyDescent="0.3">
      <c r="A9" s="58" t="str">
        <f t="shared" ref="A9:A72" si="0">C9&amp;"-"&amp;E9</f>
        <v>בוקעאתא-מט"ש</v>
      </c>
      <c r="B9" s="88">
        <v>27</v>
      </c>
      <c r="C9" s="89" t="str">
        <f>C8</f>
        <v>בוקעאתא</v>
      </c>
      <c r="D9" s="90"/>
      <c r="E9" s="89" t="s">
        <v>36</v>
      </c>
      <c r="F9" s="89">
        <v>0.87</v>
      </c>
      <c r="G9" s="91">
        <v>35841</v>
      </c>
      <c r="H9" s="92"/>
      <c r="I9" s="93"/>
      <c r="J9" s="84">
        <f t="shared" ref="J9:J10" si="1">F9*$D$1/$I$11</f>
        <v>1.2651141779991288</v>
      </c>
      <c r="K9" s="94"/>
      <c r="L9" s="94"/>
      <c r="M9" s="95"/>
      <c r="N9" s="96"/>
      <c r="O9" s="87"/>
      <c r="P9" s="87"/>
      <c r="Q9" s="87"/>
      <c r="R9" s="87"/>
      <c r="S9" s="87"/>
      <c r="T9" s="87"/>
    </row>
    <row r="10" spans="1:20" x14ac:dyDescent="0.25">
      <c r="A10" s="58" t="str">
        <f t="shared" si="0"/>
        <v>בוקעאתא-החזר הון</v>
      </c>
      <c r="B10" s="88">
        <v>27</v>
      </c>
      <c r="C10" s="89" t="str">
        <f>C9</f>
        <v>בוקעאתא</v>
      </c>
      <c r="D10" s="90"/>
      <c r="E10" s="89" t="s">
        <v>402</v>
      </c>
      <c r="F10" s="89">
        <v>1.82</v>
      </c>
      <c r="G10" s="91">
        <v>35841</v>
      </c>
      <c r="H10" s="92"/>
      <c r="I10" s="93"/>
      <c r="J10" s="84">
        <f t="shared" si="1"/>
        <v>2.6465606942050743</v>
      </c>
      <c r="K10" s="94"/>
      <c r="L10" s="94"/>
      <c r="M10" s="95"/>
      <c r="N10" s="96"/>
      <c r="O10" s="87"/>
      <c r="P10" s="87"/>
      <c r="Q10" s="87"/>
      <c r="R10" s="87"/>
      <c r="S10" s="87"/>
      <c r="T10" s="87"/>
    </row>
    <row r="11" spans="1:20" ht="15.75" customHeight="1" thickBot="1" x14ac:dyDescent="0.3">
      <c r="A11" s="58" t="str">
        <f t="shared" si="0"/>
        <v>בוקעאתא-ס"ה</v>
      </c>
      <c r="B11" s="97">
        <v>27</v>
      </c>
      <c r="C11" s="98" t="str">
        <f>C10</f>
        <v>בוקעאתא</v>
      </c>
      <c r="D11" s="99"/>
      <c r="E11" s="100" t="s">
        <v>403</v>
      </c>
      <c r="F11" s="100">
        <f>SUM(F8:F10)</f>
        <v>3.59</v>
      </c>
      <c r="G11" s="100"/>
      <c r="H11" s="101">
        <v>35796</v>
      </c>
      <c r="I11" s="102">
        <f>מדדים!M54</f>
        <v>23388262.2250918</v>
      </c>
      <c r="J11" s="103">
        <f>F11*$D$1/I11</f>
        <v>5.220413677030888</v>
      </c>
      <c r="K11" s="103">
        <v>5.6840000000000002</v>
      </c>
      <c r="L11" s="103">
        <v>11.121</v>
      </c>
      <c r="M11" s="104">
        <f>J11+K11</f>
        <v>10.904413677030888</v>
      </c>
      <c r="N11" s="105">
        <f>J11+L11</f>
        <v>16.341413677030889</v>
      </c>
      <c r="O11" s="87"/>
      <c r="P11" s="87"/>
      <c r="Q11" s="87"/>
      <c r="R11" s="87"/>
      <c r="S11" s="87"/>
      <c r="T11" s="87"/>
    </row>
    <row r="12" spans="1:20" ht="16.5" thickBot="1" x14ac:dyDescent="0.3">
      <c r="A12" s="58" t="str">
        <f t="shared" si="0"/>
        <v>יהוד-מונוסון-אגרה</v>
      </c>
      <c r="B12" s="78">
        <v>5</v>
      </c>
      <c r="C12" s="79" t="s">
        <v>404</v>
      </c>
      <c r="D12" s="80" t="s">
        <v>400</v>
      </c>
      <c r="E12" s="79" t="s">
        <v>401</v>
      </c>
      <c r="F12" s="79">
        <v>0.87</v>
      </c>
      <c r="G12" s="81">
        <v>37848</v>
      </c>
      <c r="H12" s="82"/>
      <c r="I12" s="83"/>
      <c r="J12" s="84">
        <f>F12*$D$1/$I$15</f>
        <v>1.0805431399717185</v>
      </c>
      <c r="K12" s="84"/>
      <c r="L12" s="84"/>
      <c r="M12" s="85"/>
      <c r="N12" s="86"/>
      <c r="O12" s="87"/>
      <c r="P12" s="87"/>
      <c r="Q12" s="87"/>
      <c r="R12" s="87"/>
      <c r="S12" s="87"/>
      <c r="T12" s="87"/>
    </row>
    <row r="13" spans="1:20" ht="16.5" thickBot="1" x14ac:dyDescent="0.3">
      <c r="A13" s="58" t="str">
        <f t="shared" si="0"/>
        <v>יהוד-מונוסון-מט"ש</v>
      </c>
      <c r="B13" s="88">
        <v>5</v>
      </c>
      <c r="C13" s="89" t="str">
        <f>C12</f>
        <v>יהוד-מונוסון</v>
      </c>
      <c r="D13" s="90"/>
      <c r="E13" s="89" t="s">
        <v>36</v>
      </c>
      <c r="F13" s="89">
        <v>1.9</v>
      </c>
      <c r="G13" s="91">
        <v>37848</v>
      </c>
      <c r="H13" s="92"/>
      <c r="I13" s="93"/>
      <c r="J13" s="84">
        <f t="shared" ref="J13:J14" si="2">F13*$D$1/$I$15</f>
        <v>2.3598068574095001</v>
      </c>
      <c r="K13" s="94"/>
      <c r="L13" s="94"/>
      <c r="M13" s="95"/>
      <c r="N13" s="96"/>
      <c r="O13" s="87"/>
      <c r="P13" s="87"/>
      <c r="Q13" s="87"/>
      <c r="R13" s="87"/>
      <c r="S13" s="87"/>
      <c r="T13" s="87"/>
    </row>
    <row r="14" spans="1:20" x14ac:dyDescent="0.25">
      <c r="A14" s="58" t="str">
        <f t="shared" si="0"/>
        <v>יהוד-מונוסון-החזר הון</v>
      </c>
      <c r="B14" s="88">
        <v>5</v>
      </c>
      <c r="C14" s="89" t="str">
        <f>C13</f>
        <v>יהוד-מונוסון</v>
      </c>
      <c r="D14" s="90"/>
      <c r="E14" s="89" t="s">
        <v>402</v>
      </c>
      <c r="F14" s="89">
        <v>1.32</v>
      </c>
      <c r="G14" s="91">
        <v>37848</v>
      </c>
      <c r="H14" s="92"/>
      <c r="I14" s="93"/>
      <c r="J14" s="84">
        <f t="shared" si="2"/>
        <v>1.6394447640950214</v>
      </c>
      <c r="K14" s="94"/>
      <c r="L14" s="94"/>
      <c r="M14" s="95"/>
      <c r="N14" s="96"/>
      <c r="O14" s="87"/>
      <c r="P14" s="87"/>
      <c r="Q14" s="87"/>
      <c r="R14" s="87"/>
      <c r="S14" s="87"/>
      <c r="T14" s="87"/>
    </row>
    <row r="15" spans="1:20" ht="16.5" thickBot="1" x14ac:dyDescent="0.3">
      <c r="A15" s="58" t="str">
        <f t="shared" si="0"/>
        <v>יהוד-מונוסון-ס"ה</v>
      </c>
      <c r="B15" s="97">
        <v>5</v>
      </c>
      <c r="C15" s="98" t="str">
        <f>C14</f>
        <v>יהוד-מונוסון</v>
      </c>
      <c r="D15" s="99"/>
      <c r="E15" s="100" t="s">
        <v>403</v>
      </c>
      <c r="F15" s="100">
        <f>SUM(F12:F14)</f>
        <v>4.09</v>
      </c>
      <c r="G15" s="100"/>
      <c r="H15" s="101">
        <v>37803</v>
      </c>
      <c r="I15" s="102">
        <f>מדדים!G59</f>
        <v>27383286.2799902</v>
      </c>
      <c r="J15" s="103">
        <f>F15*$D$1/I15</f>
        <v>5.07979476147624</v>
      </c>
      <c r="K15" s="103">
        <v>5.6840000000000002</v>
      </c>
      <c r="L15" s="103">
        <v>11.121</v>
      </c>
      <c r="M15" s="104">
        <f>J15+K15</f>
        <v>10.763794761476241</v>
      </c>
      <c r="N15" s="105">
        <f>J15+L15</f>
        <v>16.200794761476239</v>
      </c>
      <c r="O15" s="87"/>
      <c r="P15" s="87"/>
      <c r="Q15" s="87"/>
      <c r="R15" s="87"/>
      <c r="S15" s="87"/>
      <c r="T15" s="87"/>
    </row>
    <row r="16" spans="1:20" ht="14.25" customHeight="1" thickBot="1" x14ac:dyDescent="0.3">
      <c r="A16" s="58" t="str">
        <f t="shared" si="0"/>
        <v>טייבה-אגרה</v>
      </c>
      <c r="B16" s="78">
        <v>3</v>
      </c>
      <c r="C16" s="79" t="s">
        <v>14</v>
      </c>
      <c r="D16" s="80" t="s">
        <v>400</v>
      </c>
      <c r="E16" s="79" t="s">
        <v>401</v>
      </c>
      <c r="F16" s="79">
        <v>0.82</v>
      </c>
      <c r="G16" s="81">
        <v>35841</v>
      </c>
      <c r="H16" s="82"/>
      <c r="I16" s="83"/>
      <c r="J16" s="103">
        <f t="shared" ref="J16:J18" si="3">F16*$D$1/$I$19</f>
        <v>1.1924064666198686</v>
      </c>
      <c r="K16" s="84"/>
      <c r="L16" s="84"/>
      <c r="M16" s="85"/>
      <c r="N16" s="86"/>
      <c r="O16" s="87"/>
      <c r="P16" s="87"/>
      <c r="Q16" s="87"/>
      <c r="R16" s="87"/>
      <c r="S16" s="87"/>
      <c r="T16" s="87"/>
    </row>
    <row r="17" spans="1:20" ht="16.5" thickBot="1" x14ac:dyDescent="0.3">
      <c r="A17" s="58" t="str">
        <f t="shared" si="0"/>
        <v>טייבה-מט"ש</v>
      </c>
      <c r="B17" s="88">
        <v>3</v>
      </c>
      <c r="C17" s="89" t="s">
        <v>14</v>
      </c>
      <c r="D17" s="90"/>
      <c r="E17" s="89" t="s">
        <v>36</v>
      </c>
      <c r="F17" s="89">
        <v>0.49</v>
      </c>
      <c r="G17" s="91">
        <v>35841</v>
      </c>
      <c r="H17" s="92"/>
      <c r="I17" s="93"/>
      <c r="J17" s="103">
        <f t="shared" si="3"/>
        <v>0.71253557151675073</v>
      </c>
      <c r="K17" s="94"/>
      <c r="L17" s="94"/>
      <c r="M17" s="95"/>
      <c r="N17" s="96"/>
      <c r="O17" s="87"/>
      <c r="P17" s="87"/>
      <c r="Q17" s="87"/>
      <c r="R17" s="87"/>
      <c r="S17" s="87"/>
      <c r="T17" s="87"/>
    </row>
    <row r="18" spans="1:20" ht="16.5" thickBot="1" x14ac:dyDescent="0.3">
      <c r="A18" s="58" t="str">
        <f t="shared" si="0"/>
        <v>טייבה-החזר הון</v>
      </c>
      <c r="B18" s="88">
        <v>3</v>
      </c>
      <c r="C18" s="89" t="s">
        <v>14</v>
      </c>
      <c r="D18" s="90"/>
      <c r="E18" s="89" t="s">
        <v>402</v>
      </c>
      <c r="F18" s="89">
        <v>1.57</v>
      </c>
      <c r="G18" s="91">
        <v>35841</v>
      </c>
      <c r="H18" s="92"/>
      <c r="I18" s="93"/>
      <c r="J18" s="103">
        <f t="shared" si="3"/>
        <v>2.2830221373087727</v>
      </c>
      <c r="K18" s="94"/>
      <c r="L18" s="94"/>
      <c r="M18" s="95"/>
      <c r="N18" s="96"/>
      <c r="O18" s="87"/>
      <c r="P18" s="87"/>
      <c r="Q18" s="87"/>
      <c r="R18" s="87"/>
      <c r="S18" s="87"/>
      <c r="T18" s="87"/>
    </row>
    <row r="19" spans="1:20" ht="15.75" customHeight="1" thickBot="1" x14ac:dyDescent="0.3">
      <c r="A19" s="58" t="str">
        <f t="shared" si="0"/>
        <v>טייבה-ס"ה</v>
      </c>
      <c r="B19" s="97">
        <v>3</v>
      </c>
      <c r="C19" s="98" t="s">
        <v>14</v>
      </c>
      <c r="D19" s="99"/>
      <c r="E19" s="100" t="s">
        <v>403</v>
      </c>
      <c r="F19" s="100">
        <f>SUM(F16:F18)</f>
        <v>2.88</v>
      </c>
      <c r="G19" s="100"/>
      <c r="H19" s="101">
        <v>35796</v>
      </c>
      <c r="I19" s="102">
        <f>מדדים!M54</f>
        <v>23388262.2250918</v>
      </c>
      <c r="J19" s="103">
        <f>F19*$D$1/$I$19</f>
        <v>4.1879641754453925</v>
      </c>
      <c r="K19" s="103">
        <v>5.6840000000000002</v>
      </c>
      <c r="L19" s="103">
        <v>11.121</v>
      </c>
      <c r="M19" s="104">
        <f>J19+K19</f>
        <v>9.8719641754453917</v>
      </c>
      <c r="N19" s="105">
        <f>J19+L19</f>
        <v>15.308964175445393</v>
      </c>
      <c r="O19" s="87"/>
      <c r="P19" s="87"/>
      <c r="Q19" s="87"/>
      <c r="R19" s="87"/>
      <c r="S19" s="87"/>
      <c r="T19" s="87"/>
    </row>
    <row r="20" spans="1:20" ht="14.25" customHeight="1" thickBot="1" x14ac:dyDescent="0.3">
      <c r="A20" s="58" t="str">
        <f t="shared" si="0"/>
        <v>ג'סר אל זרקא-אגרה</v>
      </c>
      <c r="B20" s="78">
        <v>20</v>
      </c>
      <c r="C20" s="79" t="s">
        <v>405</v>
      </c>
      <c r="D20" s="80" t="s">
        <v>400</v>
      </c>
      <c r="E20" s="79" t="s">
        <v>401</v>
      </c>
      <c r="F20" s="79">
        <v>1.97</v>
      </c>
      <c r="G20" s="81">
        <v>37909</v>
      </c>
      <c r="H20" s="82"/>
      <c r="I20" s="83"/>
      <c r="J20" s="103">
        <f t="shared" ref="J20:J22" si="4">F20*$D$1/$I$23</f>
        <v>2.4541020612835185</v>
      </c>
      <c r="K20" s="84"/>
      <c r="L20" s="84"/>
      <c r="M20" s="85"/>
      <c r="N20" s="86"/>
      <c r="O20" s="87"/>
      <c r="P20" s="87"/>
      <c r="Q20" s="87"/>
      <c r="R20" s="87"/>
      <c r="S20" s="87"/>
      <c r="T20" s="87"/>
    </row>
    <row r="21" spans="1:20" ht="16.5" thickBot="1" x14ac:dyDescent="0.3">
      <c r="A21" s="58" t="str">
        <f t="shared" si="0"/>
        <v>ג'סר אל זרקא-החזר הון</v>
      </c>
      <c r="B21" s="88">
        <v>20</v>
      </c>
      <c r="C21" s="89" t="str">
        <f>C20</f>
        <v>ג'סר אל זרקא</v>
      </c>
      <c r="D21" s="90"/>
      <c r="E21" s="89" t="s">
        <v>402</v>
      </c>
      <c r="F21" s="89">
        <v>0.66</v>
      </c>
      <c r="G21" s="91">
        <v>37909</v>
      </c>
      <c r="H21" s="92"/>
      <c r="I21" s="93"/>
      <c r="J21" s="103">
        <f t="shared" si="4"/>
        <v>0.82218647738432615</v>
      </c>
      <c r="K21" s="94"/>
      <c r="L21" s="94"/>
      <c r="M21" s="95"/>
      <c r="N21" s="96"/>
      <c r="O21" s="87"/>
      <c r="P21" s="87"/>
      <c r="Q21" s="87"/>
      <c r="R21" s="87"/>
      <c r="S21" s="87"/>
      <c r="T21" s="87"/>
    </row>
    <row r="22" spans="1:20" ht="16.5" thickBot="1" x14ac:dyDescent="0.3">
      <c r="A22" s="58" t="str">
        <f t="shared" si="0"/>
        <v>ג'סר אל זרקא-אגרת פחת</v>
      </c>
      <c r="B22" s="88">
        <v>20</v>
      </c>
      <c r="C22" s="89" t="str">
        <f>C21</f>
        <v>ג'סר אל זרקא</v>
      </c>
      <c r="D22" s="90"/>
      <c r="E22" s="89" t="s">
        <v>406</v>
      </c>
      <c r="F22" s="89">
        <v>0.35</v>
      </c>
      <c r="G22" s="91">
        <v>37909</v>
      </c>
      <c r="H22" s="92"/>
      <c r="I22" s="93"/>
      <c r="J22" s="103">
        <f t="shared" si="4"/>
        <v>0.43600798043108197</v>
      </c>
      <c r="K22" s="94"/>
      <c r="L22" s="94"/>
      <c r="M22" s="95"/>
      <c r="N22" s="96"/>
      <c r="O22" s="87"/>
      <c r="P22" s="87"/>
      <c r="Q22" s="87"/>
      <c r="R22" s="87"/>
      <c r="S22" s="87"/>
      <c r="T22" s="87"/>
    </row>
    <row r="23" spans="1:20" ht="16.5" thickBot="1" x14ac:dyDescent="0.3">
      <c r="A23" s="58" t="str">
        <f t="shared" si="0"/>
        <v>ג'סר אל זרקא-ס"ה</v>
      </c>
      <c r="B23" s="97">
        <v>20</v>
      </c>
      <c r="C23" s="98" t="str">
        <f>C22</f>
        <v>ג'סר אל זרקא</v>
      </c>
      <c r="D23" s="99"/>
      <c r="E23" s="100" t="s">
        <v>403</v>
      </c>
      <c r="F23" s="100">
        <f>SUM(F20:F22)</f>
        <v>2.98</v>
      </c>
      <c r="G23" s="106"/>
      <c r="H23" s="101">
        <v>37865</v>
      </c>
      <c r="I23" s="102">
        <f>מדדים!E59</f>
        <v>27301218.488941301</v>
      </c>
      <c r="J23" s="103">
        <f>F23*$D$1/$I$23</f>
        <v>3.7122965190989272</v>
      </c>
      <c r="K23" s="103">
        <v>5.6840000000000002</v>
      </c>
      <c r="L23" s="103">
        <v>11.121</v>
      </c>
      <c r="M23" s="104">
        <f>J23+K23</f>
        <v>9.3962965190989269</v>
      </c>
      <c r="N23" s="105">
        <f>J23+L23</f>
        <v>14.833296519098928</v>
      </c>
      <c r="O23" s="87"/>
      <c r="P23" s="87"/>
      <c r="Q23" s="87"/>
      <c r="R23" s="87"/>
      <c r="S23" s="87"/>
      <c r="T23" s="87"/>
    </row>
    <row r="24" spans="1:20" ht="14.25" customHeight="1" thickBot="1" x14ac:dyDescent="0.3">
      <c r="A24" s="58" t="str">
        <f t="shared" si="0"/>
        <v>להבים-אגרה</v>
      </c>
      <c r="B24" s="78">
        <v>26</v>
      </c>
      <c r="C24" s="79" t="s">
        <v>16</v>
      </c>
      <c r="D24" s="80" t="s">
        <v>400</v>
      </c>
      <c r="E24" s="79" t="s">
        <v>401</v>
      </c>
      <c r="F24" s="79">
        <v>1.24</v>
      </c>
      <c r="G24" s="81">
        <v>38275</v>
      </c>
      <c r="H24" s="82"/>
      <c r="I24" s="83"/>
      <c r="J24" s="103">
        <f t="shared" ref="J24:J26" si="5">F24*$D$1/$I$27</f>
        <v>1.5324299799576062</v>
      </c>
      <c r="K24" s="84"/>
      <c r="L24" s="84"/>
      <c r="M24" s="85"/>
      <c r="N24" s="86"/>
      <c r="O24" s="87"/>
      <c r="P24" s="87"/>
      <c r="Q24" s="87"/>
      <c r="R24" s="87"/>
      <c r="S24" s="87"/>
      <c r="T24" s="87"/>
    </row>
    <row r="25" spans="1:20" ht="14.25" customHeight="1" thickBot="1" x14ac:dyDescent="0.3">
      <c r="A25" s="58" t="str">
        <f t="shared" si="0"/>
        <v>להבים-מט"ש</v>
      </c>
      <c r="B25" s="88">
        <v>26</v>
      </c>
      <c r="C25" s="89" t="str">
        <f>C24</f>
        <v>להבים</v>
      </c>
      <c r="D25" s="90"/>
      <c r="E25" s="89" t="s">
        <v>36</v>
      </c>
      <c r="F25" s="89">
        <v>1.5</v>
      </c>
      <c r="G25" s="91">
        <v>38275</v>
      </c>
      <c r="H25" s="92"/>
      <c r="I25" s="93"/>
      <c r="J25" s="103">
        <f t="shared" si="5"/>
        <v>1.8537459434971042</v>
      </c>
      <c r="K25" s="94"/>
      <c r="L25" s="94"/>
      <c r="M25" s="95"/>
      <c r="N25" s="96"/>
      <c r="O25" s="87"/>
      <c r="P25" s="87"/>
      <c r="Q25" s="87"/>
      <c r="R25" s="87"/>
      <c r="S25" s="87"/>
      <c r="T25" s="87"/>
    </row>
    <row r="26" spans="1:20" ht="16.5" thickBot="1" x14ac:dyDescent="0.3">
      <c r="A26" s="58" t="str">
        <f t="shared" si="0"/>
        <v>להבים-החזר הון</v>
      </c>
      <c r="B26" s="88">
        <v>26</v>
      </c>
      <c r="C26" s="89" t="str">
        <f>C25</f>
        <v>להבים</v>
      </c>
      <c r="D26" s="90"/>
      <c r="E26" s="89" t="s">
        <v>402</v>
      </c>
      <c r="F26" s="89">
        <v>0.26</v>
      </c>
      <c r="G26" s="91">
        <v>38275</v>
      </c>
      <c r="H26" s="92"/>
      <c r="I26" s="93"/>
      <c r="J26" s="103">
        <f t="shared" si="5"/>
        <v>0.3213159635394981</v>
      </c>
      <c r="K26" s="94"/>
      <c r="L26" s="94"/>
      <c r="M26" s="95"/>
      <c r="N26" s="96"/>
      <c r="O26" s="87"/>
      <c r="P26" s="87"/>
      <c r="Q26" s="87"/>
      <c r="R26" s="87"/>
      <c r="S26" s="87"/>
      <c r="T26" s="87"/>
    </row>
    <row r="27" spans="1:20" ht="15.75" customHeight="1" thickBot="1" x14ac:dyDescent="0.3">
      <c r="A27" s="58" t="str">
        <f t="shared" si="0"/>
        <v>להבים-ס"ה</v>
      </c>
      <c r="B27" s="97">
        <v>26</v>
      </c>
      <c r="C27" s="98" t="str">
        <f>C26</f>
        <v>להבים</v>
      </c>
      <c r="D27" s="99"/>
      <c r="E27" s="100" t="s">
        <v>403</v>
      </c>
      <c r="F27" s="100">
        <f>SUM(F24:F26)</f>
        <v>3</v>
      </c>
      <c r="G27" s="100"/>
      <c r="H27" s="101">
        <v>38231</v>
      </c>
      <c r="I27" s="102">
        <f>מדדים!E60</f>
        <v>27520065.931738399</v>
      </c>
      <c r="J27" s="103">
        <f>F27*$D$1/$I$27</f>
        <v>3.7074918869942084</v>
      </c>
      <c r="K27" s="103">
        <v>5.6840000000000002</v>
      </c>
      <c r="L27" s="103">
        <v>11.121</v>
      </c>
      <c r="M27" s="104">
        <f>J27+K27</f>
        <v>9.3914918869942081</v>
      </c>
      <c r="N27" s="105">
        <f>J27+L27</f>
        <v>14.828491886994209</v>
      </c>
      <c r="O27" s="87"/>
      <c r="P27" s="87"/>
      <c r="Q27" s="87"/>
      <c r="R27" s="87"/>
      <c r="S27" s="87"/>
      <c r="T27" s="87"/>
    </row>
    <row r="28" spans="1:20" ht="14.25" customHeight="1" thickBot="1" x14ac:dyDescent="0.3">
      <c r="A28" s="58" t="str">
        <f t="shared" si="0"/>
        <v>אליכין-אגרה</v>
      </c>
      <c r="B28" s="78">
        <v>31</v>
      </c>
      <c r="C28" s="79" t="s">
        <v>13</v>
      </c>
      <c r="D28" s="80" t="s">
        <v>400</v>
      </c>
      <c r="E28" s="79" t="s">
        <v>401</v>
      </c>
      <c r="F28" s="79">
        <v>0.93</v>
      </c>
      <c r="G28" s="81">
        <v>38214</v>
      </c>
      <c r="H28" s="82"/>
      <c r="I28" s="83"/>
      <c r="J28" s="103">
        <f t="shared" ref="J28:J30" si="6">F28*$D$1/$I$30</f>
        <v>1.1493224849682047</v>
      </c>
      <c r="K28" s="84"/>
      <c r="L28" s="84"/>
      <c r="M28" s="85"/>
      <c r="N28" s="86"/>
      <c r="O28" s="87"/>
      <c r="P28" s="87"/>
      <c r="Q28" s="87"/>
      <c r="R28" s="87"/>
      <c r="S28" s="87"/>
      <c r="T28" s="87"/>
    </row>
    <row r="29" spans="1:20" ht="14.25" customHeight="1" thickBot="1" x14ac:dyDescent="0.3">
      <c r="A29" s="58" t="str">
        <f t="shared" si="0"/>
        <v>אליכין-מט"ש</v>
      </c>
      <c r="B29" s="88">
        <v>31</v>
      </c>
      <c r="C29" s="89" t="str">
        <f>C28</f>
        <v>אליכין</v>
      </c>
      <c r="D29" s="90"/>
      <c r="E29" s="89" t="s">
        <v>36</v>
      </c>
      <c r="F29" s="89">
        <v>2.06</v>
      </c>
      <c r="G29" s="91">
        <v>38214</v>
      </c>
      <c r="H29" s="92"/>
      <c r="I29" s="93"/>
      <c r="J29" s="103">
        <f t="shared" si="6"/>
        <v>2.5458110957360236</v>
      </c>
      <c r="K29" s="94"/>
      <c r="L29" s="94"/>
      <c r="M29" s="95"/>
      <c r="N29" s="96"/>
      <c r="O29" s="87"/>
      <c r="P29" s="87"/>
      <c r="Q29" s="87"/>
      <c r="R29" s="87"/>
      <c r="S29" s="87"/>
      <c r="T29" s="87"/>
    </row>
    <row r="30" spans="1:20" ht="16.5" thickBot="1" x14ac:dyDescent="0.3">
      <c r="A30" s="58" t="str">
        <f t="shared" si="0"/>
        <v>אליכין-ס"ה</v>
      </c>
      <c r="B30" s="97">
        <v>31</v>
      </c>
      <c r="C30" s="98" t="str">
        <f>C29</f>
        <v>אליכין</v>
      </c>
      <c r="D30" s="99"/>
      <c r="E30" s="100" t="s">
        <v>403</v>
      </c>
      <c r="F30" s="100">
        <f>SUM(F28:F29)</f>
        <v>2.99</v>
      </c>
      <c r="G30" s="100"/>
      <c r="H30" s="101">
        <v>38169</v>
      </c>
      <c r="I30" s="102">
        <f>מדדים!G60</f>
        <v>27520065.931738399</v>
      </c>
      <c r="J30" s="103">
        <f t="shared" si="6"/>
        <v>3.695133580704228</v>
      </c>
      <c r="K30" s="103">
        <v>5.6840000000000002</v>
      </c>
      <c r="L30" s="103">
        <v>11.121</v>
      </c>
      <c r="M30" s="104">
        <f>J30+K30</f>
        <v>9.3791335807042273</v>
      </c>
      <c r="N30" s="105">
        <f>J30+L30</f>
        <v>14.816133580704228</v>
      </c>
      <c r="O30" s="87"/>
      <c r="P30" s="87"/>
      <c r="Q30" s="87"/>
      <c r="R30" s="87"/>
      <c r="S30" s="87"/>
      <c r="T30" s="87"/>
    </row>
    <row r="31" spans="1:20" ht="16.5" thickBot="1" x14ac:dyDescent="0.3">
      <c r="A31" s="58" t="str">
        <f t="shared" si="0"/>
        <v>נהריה-אגרה</v>
      </c>
      <c r="B31" s="78">
        <v>2</v>
      </c>
      <c r="C31" s="79" t="s">
        <v>17</v>
      </c>
      <c r="D31" s="80" t="s">
        <v>407</v>
      </c>
      <c r="E31" s="79" t="s">
        <v>401</v>
      </c>
      <c r="F31" s="79">
        <v>1.6</v>
      </c>
      <c r="G31" s="81">
        <v>37787</v>
      </c>
      <c r="H31" s="107"/>
      <c r="I31" s="83"/>
      <c r="J31" s="103">
        <f t="shared" ref="J31:J32" si="7">F31*$D$1/$I$33</f>
        <v>1.9617287775496</v>
      </c>
      <c r="K31" s="84"/>
      <c r="L31" s="84"/>
      <c r="M31" s="85"/>
      <c r="N31" s="86"/>
      <c r="O31" s="87"/>
      <c r="P31" s="87"/>
      <c r="Q31" s="87"/>
      <c r="R31" s="87"/>
      <c r="S31" s="87"/>
      <c r="T31" s="87"/>
    </row>
    <row r="32" spans="1:20" ht="16.5" thickBot="1" x14ac:dyDescent="0.3">
      <c r="A32" s="58" t="str">
        <f t="shared" si="0"/>
        <v>נהריה-מט"ש</v>
      </c>
      <c r="B32" s="88">
        <v>2</v>
      </c>
      <c r="C32" s="89" t="s">
        <v>17</v>
      </c>
      <c r="D32" s="90" t="s">
        <v>408</v>
      </c>
      <c r="E32" s="89" t="s">
        <v>36</v>
      </c>
      <c r="F32" s="89">
        <v>1.4</v>
      </c>
      <c r="G32" s="91">
        <v>37787</v>
      </c>
      <c r="H32" s="92"/>
      <c r="I32" s="93"/>
      <c r="J32" s="103">
        <f t="shared" si="7"/>
        <v>1.7165126803558997</v>
      </c>
      <c r="K32" s="94"/>
      <c r="L32" s="94"/>
      <c r="M32" s="95"/>
      <c r="N32" s="96"/>
      <c r="O32" s="87"/>
      <c r="P32" s="87"/>
      <c r="Q32" s="87"/>
      <c r="R32" s="87"/>
      <c r="S32" s="87"/>
      <c r="T32" s="87"/>
    </row>
    <row r="33" spans="1:20" ht="15.75" customHeight="1" thickBot="1" x14ac:dyDescent="0.3">
      <c r="A33" s="58" t="str">
        <f t="shared" si="0"/>
        <v>נהריה-ס"ה</v>
      </c>
      <c r="B33" s="97">
        <v>2</v>
      </c>
      <c r="C33" s="98" t="s">
        <v>17</v>
      </c>
      <c r="D33" s="99"/>
      <c r="E33" s="100" t="s">
        <v>403</v>
      </c>
      <c r="F33" s="100">
        <f>SUM(F31:F32)</f>
        <v>3</v>
      </c>
      <c r="G33" s="100"/>
      <c r="H33" s="101">
        <v>37742</v>
      </c>
      <c r="I33" s="102">
        <f>מדדים!I59</f>
        <v>27738913.374535501</v>
      </c>
      <c r="J33" s="103">
        <f>F33*$D$1/$I$33</f>
        <v>3.6782414579054996</v>
      </c>
      <c r="K33" s="103">
        <v>5.6840000000000002</v>
      </c>
      <c r="L33" s="103">
        <v>11.121</v>
      </c>
      <c r="M33" s="104">
        <f>J33+K33</f>
        <v>9.3622414579054993</v>
      </c>
      <c r="N33" s="105">
        <f>J33+L33</f>
        <v>14.7992414579055</v>
      </c>
      <c r="O33" s="87"/>
      <c r="P33" s="87"/>
      <c r="Q33" s="87"/>
      <c r="R33" s="87"/>
      <c r="S33" s="87"/>
      <c r="T33" s="87"/>
    </row>
    <row r="34" spans="1:20" ht="16.5" thickBot="1" x14ac:dyDescent="0.3">
      <c r="A34" s="58" t="str">
        <f t="shared" si="0"/>
        <v>סביון-אגרה</v>
      </c>
      <c r="B34" s="108">
        <v>32</v>
      </c>
      <c r="C34" s="109" t="s">
        <v>19</v>
      </c>
      <c r="D34" s="110" t="s">
        <v>91</v>
      </c>
      <c r="E34" s="111" t="s">
        <v>401</v>
      </c>
      <c r="F34" s="111">
        <v>0.9</v>
      </c>
      <c r="G34" s="112">
        <v>32827</v>
      </c>
      <c r="H34" s="113">
        <v>32782</v>
      </c>
      <c r="I34" s="114">
        <f>מדדים!D45</f>
        <v>9207739.5399999991</v>
      </c>
      <c r="J34" s="115">
        <f>F34*$D$1/I34</f>
        <v>3.3242823842343125</v>
      </c>
      <c r="K34" s="115">
        <v>5.6840000000000002</v>
      </c>
      <c r="L34" s="115">
        <v>11.121</v>
      </c>
      <c r="M34" s="116">
        <f>J34+K34</f>
        <v>9.0082823842343132</v>
      </c>
      <c r="N34" s="117">
        <f>J34+L34</f>
        <v>14.445282384234313</v>
      </c>
      <c r="O34" s="87"/>
      <c r="P34" s="87"/>
      <c r="Q34" s="87"/>
      <c r="R34" s="87"/>
      <c r="S34" s="87"/>
      <c r="T34" s="87"/>
    </row>
    <row r="35" spans="1:20" ht="16.5" thickBot="1" x14ac:dyDescent="0.3">
      <c r="A35" s="58" t="str">
        <f t="shared" si="0"/>
        <v>רחובות-</v>
      </c>
      <c r="B35" s="118">
        <v>1</v>
      </c>
      <c r="C35" s="119" t="s">
        <v>409</v>
      </c>
      <c r="D35" s="120" t="s">
        <v>91</v>
      </c>
      <c r="E35" s="121"/>
      <c r="F35" s="121">
        <v>2.46</v>
      </c>
      <c r="G35" s="122">
        <v>36937</v>
      </c>
      <c r="H35" s="123">
        <v>36892</v>
      </c>
      <c r="I35" s="124">
        <f>מדדים!M57</f>
        <v>25511710.326069299</v>
      </c>
      <c r="J35" s="125">
        <f>F35*$D$1/I35</f>
        <v>3.2794722224134238</v>
      </c>
      <c r="K35" s="125">
        <v>5.6840000000000002</v>
      </c>
      <c r="L35" s="125">
        <v>11.121</v>
      </c>
      <c r="M35" s="126">
        <f>J35+K35</f>
        <v>8.963472222413424</v>
      </c>
      <c r="N35" s="127">
        <f>J35+L35</f>
        <v>14.400472222413423</v>
      </c>
      <c r="O35" s="87"/>
      <c r="P35" s="87"/>
      <c r="Q35" s="87"/>
      <c r="R35" s="87"/>
      <c r="S35" s="87"/>
      <c r="T35" s="87"/>
    </row>
    <row r="36" spans="1:20" x14ac:dyDescent="0.25">
      <c r="A36" s="58" t="str">
        <f t="shared" si="0"/>
        <v>בני עי"ש-אגרה</v>
      </c>
      <c r="B36" s="78">
        <v>24</v>
      </c>
      <c r="C36" s="79" t="s">
        <v>410</v>
      </c>
      <c r="D36" s="80" t="s">
        <v>400</v>
      </c>
      <c r="E36" s="79" t="s">
        <v>401</v>
      </c>
      <c r="F36" s="79">
        <v>1.67</v>
      </c>
      <c r="G36" s="81">
        <v>36295</v>
      </c>
      <c r="H36" s="107">
        <v>36251</v>
      </c>
      <c r="I36" s="83">
        <f>מדדים!J55</f>
        <v>25036403.828766301</v>
      </c>
      <c r="J36" s="84">
        <f>F36*$D$1/I36</f>
        <v>2.2685739869260892</v>
      </c>
      <c r="K36" s="84"/>
      <c r="L36" s="84"/>
      <c r="M36" s="85"/>
      <c r="N36" s="86"/>
      <c r="O36" s="87"/>
      <c r="P36" s="87"/>
      <c r="Q36" s="87"/>
      <c r="R36" s="87"/>
      <c r="S36" s="87"/>
      <c r="T36" s="87"/>
    </row>
    <row r="37" spans="1:20" x14ac:dyDescent="0.25">
      <c r="A37" s="58" t="str">
        <f t="shared" si="0"/>
        <v>בני עי"ש-מט"ש</v>
      </c>
      <c r="B37" s="88">
        <v>24</v>
      </c>
      <c r="C37" s="89" t="str">
        <f>C36</f>
        <v>בני עי"ש</v>
      </c>
      <c r="D37" s="90"/>
      <c r="E37" s="89" t="s">
        <v>36</v>
      </c>
      <c r="F37" s="89">
        <v>0.74</v>
      </c>
      <c r="G37" s="91">
        <v>38183</v>
      </c>
      <c r="H37" s="128">
        <v>38139</v>
      </c>
      <c r="I37" s="93">
        <f>מדדים!H60</f>
        <v>27574777.792437699</v>
      </c>
      <c r="J37" s="94">
        <f>F37*$D$1/I37</f>
        <v>0.91270015223345469</v>
      </c>
      <c r="K37" s="129"/>
      <c r="L37" s="129"/>
      <c r="M37" s="95"/>
      <c r="N37" s="96"/>
      <c r="O37" s="87"/>
      <c r="P37" s="87"/>
      <c r="Q37" s="87"/>
      <c r="R37" s="87"/>
      <c r="S37" s="87"/>
      <c r="T37" s="87"/>
    </row>
    <row r="38" spans="1:20" ht="16.5" thickBot="1" x14ac:dyDescent="0.3">
      <c r="A38" s="58" t="str">
        <f t="shared" si="0"/>
        <v>בני עי"ש-ס"ה</v>
      </c>
      <c r="B38" s="97">
        <v>24</v>
      </c>
      <c r="C38" s="98" t="str">
        <f>C37</f>
        <v>בני עי"ש</v>
      </c>
      <c r="D38" s="99"/>
      <c r="E38" s="100" t="s">
        <v>403</v>
      </c>
      <c r="F38" s="100"/>
      <c r="G38" s="100"/>
      <c r="H38" s="130"/>
      <c r="I38" s="102"/>
      <c r="J38" s="131">
        <f>J37+J36</f>
        <v>3.181274139159544</v>
      </c>
      <c r="K38" s="103">
        <v>5.6840000000000002</v>
      </c>
      <c r="L38" s="103">
        <v>11.121</v>
      </c>
      <c r="M38" s="104">
        <f>J38+K38</f>
        <v>8.8652741391595438</v>
      </c>
      <c r="N38" s="105">
        <f>J38+L38</f>
        <v>14.302274139159545</v>
      </c>
      <c r="O38" s="87"/>
      <c r="P38" s="87"/>
      <c r="Q38" s="87"/>
      <c r="R38" s="87"/>
      <c r="S38" s="87"/>
      <c r="T38" s="87"/>
    </row>
    <row r="39" spans="1:20" ht="30" thickBot="1" x14ac:dyDescent="0.3">
      <c r="A39" s="58" t="str">
        <f t="shared" si="0"/>
        <v>פרדס חנה-כרכור-אגרה</v>
      </c>
      <c r="B39" s="108">
        <v>4</v>
      </c>
      <c r="C39" s="109" t="s">
        <v>411</v>
      </c>
      <c r="D39" s="110" t="s">
        <v>412</v>
      </c>
      <c r="E39" s="111" t="s">
        <v>401</v>
      </c>
      <c r="F39" s="111">
        <v>1.54</v>
      </c>
      <c r="G39" s="112">
        <v>34745</v>
      </c>
      <c r="H39" s="113">
        <v>34700</v>
      </c>
      <c r="I39" s="114">
        <f>מדדים!M51</f>
        <v>18256853.130133498</v>
      </c>
      <c r="J39" s="115">
        <f>F39*$D$1/I39</f>
        <v>2.868819496329567</v>
      </c>
      <c r="K39" s="115">
        <v>5.6840000000000002</v>
      </c>
      <c r="L39" s="115">
        <v>11.121</v>
      </c>
      <c r="M39" s="116">
        <f>J39+K39</f>
        <v>8.5528194963295672</v>
      </c>
      <c r="N39" s="117">
        <f>J39+L39</f>
        <v>13.989819496329567</v>
      </c>
      <c r="O39" s="87"/>
      <c r="P39" s="87"/>
      <c r="Q39" s="87"/>
      <c r="R39" s="87"/>
      <c r="S39" s="87"/>
      <c r="T39" s="87"/>
    </row>
    <row r="40" spans="1:20" x14ac:dyDescent="0.25">
      <c r="A40" s="58" t="str">
        <f t="shared" si="0"/>
        <v>קריית מלאכי-אגרה</v>
      </c>
      <c r="B40" s="78">
        <v>10</v>
      </c>
      <c r="C40" s="79" t="s">
        <v>9</v>
      </c>
      <c r="D40" s="80" t="s">
        <v>413</v>
      </c>
      <c r="E40" s="79" t="s">
        <v>401</v>
      </c>
      <c r="F40" s="79">
        <v>1.1499999999999999</v>
      </c>
      <c r="G40" s="81">
        <v>37970</v>
      </c>
      <c r="H40" s="82"/>
      <c r="I40" s="83"/>
      <c r="J40" s="129">
        <f t="shared" ref="J40:J41" si="8">F40*$D$1/$I$42</f>
        <v>1.4354743520962512</v>
      </c>
      <c r="K40" s="84"/>
      <c r="L40" s="84"/>
      <c r="M40" s="85"/>
      <c r="N40" s="86"/>
      <c r="O40" s="87"/>
      <c r="P40" s="87"/>
      <c r="Q40" s="87"/>
      <c r="R40" s="87"/>
      <c r="S40" s="87"/>
      <c r="T40" s="87"/>
    </row>
    <row r="41" spans="1:20" ht="14.25" customHeight="1" x14ac:dyDescent="0.25">
      <c r="A41" s="58" t="str">
        <f t="shared" si="0"/>
        <v>קריית מלאכי-מט"ש</v>
      </c>
      <c r="B41" s="88">
        <v>10</v>
      </c>
      <c r="C41" s="89" t="str">
        <f>C40</f>
        <v>קריית מלאכי</v>
      </c>
      <c r="D41" s="90" t="s">
        <v>414</v>
      </c>
      <c r="E41" s="89" t="s">
        <v>36</v>
      </c>
      <c r="F41" s="89">
        <v>1.1499999999999999</v>
      </c>
      <c r="G41" s="91">
        <v>37970</v>
      </c>
      <c r="H41" s="92"/>
      <c r="I41" s="93"/>
      <c r="J41" s="129">
        <f t="shared" si="8"/>
        <v>1.4354743520962512</v>
      </c>
      <c r="K41" s="94"/>
      <c r="L41" s="94"/>
      <c r="M41" s="95"/>
      <c r="N41" s="96"/>
      <c r="O41" s="87"/>
      <c r="P41" s="87"/>
      <c r="Q41" s="87"/>
      <c r="R41" s="87"/>
      <c r="S41" s="87"/>
      <c r="T41" s="87"/>
    </row>
    <row r="42" spans="1:20" ht="15.75" customHeight="1" thickBot="1" x14ac:dyDescent="0.3">
      <c r="A42" s="58" t="str">
        <f t="shared" si="0"/>
        <v>קריית מלאכי-ס"ה</v>
      </c>
      <c r="B42" s="132">
        <v>10</v>
      </c>
      <c r="C42" s="133" t="str">
        <f>C41</f>
        <v>קריית מלאכי</v>
      </c>
      <c r="D42" s="134"/>
      <c r="E42" s="135" t="s">
        <v>403</v>
      </c>
      <c r="F42" s="135">
        <f>SUM(F40:F41)</f>
        <v>2.2999999999999998</v>
      </c>
      <c r="G42" s="135"/>
      <c r="H42" s="136">
        <v>37926</v>
      </c>
      <c r="I42" s="137">
        <f>מדדים!C59</f>
        <v>27246506.628242001</v>
      </c>
      <c r="J42" s="129">
        <f>F42*$D$1/$I$42</f>
        <v>2.8709487041925024</v>
      </c>
      <c r="K42" s="129">
        <v>5.6840000000000002</v>
      </c>
      <c r="L42" s="129">
        <v>11.121</v>
      </c>
      <c r="M42" s="138">
        <f>J42+K42</f>
        <v>8.554948704192503</v>
      </c>
      <c r="N42" s="139">
        <f>J42+L42</f>
        <v>13.991948704192502</v>
      </c>
      <c r="O42" s="87"/>
      <c r="P42" s="87"/>
      <c r="Q42" s="87"/>
      <c r="R42" s="87"/>
      <c r="S42" s="87"/>
      <c r="T42" s="87"/>
    </row>
    <row r="43" spans="1:20" ht="15.75" customHeight="1" thickBot="1" x14ac:dyDescent="0.3">
      <c r="A43" s="58" t="str">
        <f t="shared" si="0"/>
        <v>עומר-אגרה</v>
      </c>
      <c r="B43" s="140">
        <v>23</v>
      </c>
      <c r="C43" s="109" t="s">
        <v>20</v>
      </c>
      <c r="D43" s="141" t="s">
        <v>400</v>
      </c>
      <c r="E43" s="142" t="s">
        <v>401</v>
      </c>
      <c r="F43" s="142">
        <v>2.1</v>
      </c>
      <c r="G43" s="142" t="s">
        <v>415</v>
      </c>
      <c r="H43" s="143">
        <v>36831</v>
      </c>
      <c r="I43" s="114">
        <f>מדדים!C56</f>
        <v>25686387.389705401</v>
      </c>
      <c r="J43" s="115">
        <f>F43*$D$1/I43</f>
        <v>2.7805114723392492</v>
      </c>
      <c r="K43" s="115">
        <v>5.6840000000000002</v>
      </c>
      <c r="L43" s="115">
        <v>11.121</v>
      </c>
      <c r="M43" s="116">
        <f>J43+K43</f>
        <v>8.4645114723392503</v>
      </c>
      <c r="N43" s="117">
        <f>J43+L43</f>
        <v>13.90151147233925</v>
      </c>
      <c r="O43" s="87"/>
      <c r="P43" s="87"/>
      <c r="Q43" s="87"/>
      <c r="R43" s="87"/>
      <c r="S43" s="87"/>
      <c r="T43" s="87"/>
    </row>
    <row r="44" spans="1:20" ht="14.25" customHeight="1" x14ac:dyDescent="0.25">
      <c r="A44" s="58" t="str">
        <f t="shared" si="0"/>
        <v>כפר תבור-אגרה</v>
      </c>
      <c r="B44" s="78">
        <v>33</v>
      </c>
      <c r="C44" s="79" t="s">
        <v>15</v>
      </c>
      <c r="D44" s="80" t="s">
        <v>400</v>
      </c>
      <c r="E44" s="79" t="s">
        <v>401</v>
      </c>
      <c r="F44" s="79">
        <v>0.56000000000000005</v>
      </c>
      <c r="G44" s="81">
        <v>38001</v>
      </c>
      <c r="H44" s="82"/>
      <c r="I44" s="83"/>
      <c r="J44" s="129">
        <f t="shared" ref="J44:J46" si="9">F44*$D$1/$I$47</f>
        <v>0.70042006353355413</v>
      </c>
      <c r="K44" s="84"/>
      <c r="L44" s="84"/>
      <c r="M44" s="85"/>
      <c r="N44" s="86"/>
      <c r="O44" s="87"/>
      <c r="P44" s="87"/>
      <c r="Q44" s="87"/>
      <c r="R44" s="87"/>
      <c r="S44" s="87"/>
      <c r="T44" s="87"/>
    </row>
    <row r="45" spans="1:20" ht="14.25" customHeight="1" x14ac:dyDescent="0.25">
      <c r="A45" s="58" t="str">
        <f t="shared" si="0"/>
        <v>כפר תבור-מט"ש</v>
      </c>
      <c r="B45" s="88">
        <v>33</v>
      </c>
      <c r="C45" s="89" t="str">
        <f>C44</f>
        <v>כפר תבור</v>
      </c>
      <c r="D45" s="90"/>
      <c r="E45" s="89" t="s">
        <v>36</v>
      </c>
      <c r="F45" s="89">
        <v>1.2</v>
      </c>
      <c r="G45" s="91">
        <v>38001</v>
      </c>
      <c r="H45" s="92"/>
      <c r="I45" s="93"/>
      <c r="J45" s="129">
        <f t="shared" si="9"/>
        <v>1.5009001361433301</v>
      </c>
      <c r="K45" s="94"/>
      <c r="L45" s="94"/>
      <c r="M45" s="95"/>
      <c r="N45" s="96"/>
      <c r="O45" s="87"/>
      <c r="P45" s="87"/>
      <c r="Q45" s="87"/>
      <c r="R45" s="87"/>
      <c r="S45" s="87"/>
      <c r="T45" s="87"/>
    </row>
    <row r="46" spans="1:20" ht="14.25" customHeight="1" x14ac:dyDescent="0.25">
      <c r="A46" s="58" t="str">
        <f t="shared" si="0"/>
        <v>כפר תבור-שיקום המערכת</v>
      </c>
      <c r="B46" s="88">
        <v>33</v>
      </c>
      <c r="C46" s="89" t="str">
        <f>C45</f>
        <v>כפר תבור</v>
      </c>
      <c r="D46" s="90"/>
      <c r="E46" s="89" t="s">
        <v>416</v>
      </c>
      <c r="F46" s="89">
        <v>0.44</v>
      </c>
      <c r="G46" s="91">
        <v>38001</v>
      </c>
      <c r="H46" s="92"/>
      <c r="I46" s="93"/>
      <c r="J46" s="129">
        <f t="shared" si="9"/>
        <v>0.55033004991922108</v>
      </c>
      <c r="K46" s="94"/>
      <c r="L46" s="94"/>
      <c r="M46" s="95"/>
      <c r="N46" s="96"/>
      <c r="O46" s="87"/>
      <c r="P46" s="87"/>
      <c r="Q46" s="87"/>
      <c r="R46" s="87"/>
      <c r="S46" s="87"/>
      <c r="T46" s="87"/>
    </row>
    <row r="47" spans="1:20" ht="16.5" thickBot="1" x14ac:dyDescent="0.3">
      <c r="A47" s="58" t="str">
        <f t="shared" si="0"/>
        <v>כפר תבור-סה</v>
      </c>
      <c r="B47" s="132">
        <v>33</v>
      </c>
      <c r="C47" s="133" t="str">
        <f>C46</f>
        <v>כפר תבור</v>
      </c>
      <c r="D47" s="134"/>
      <c r="E47" s="135" t="s">
        <v>417</v>
      </c>
      <c r="F47" s="135">
        <f>SUM(F44:F46)</f>
        <v>2.2000000000000002</v>
      </c>
      <c r="G47" s="135"/>
      <c r="H47" s="136">
        <v>37956</v>
      </c>
      <c r="I47" s="137">
        <f>מדדים!B59</f>
        <v>27191794.767542701</v>
      </c>
      <c r="J47" s="129">
        <f>F47*$D$1/$I$47</f>
        <v>2.7516502495961057</v>
      </c>
      <c r="K47" s="129">
        <v>5.6840000000000002</v>
      </c>
      <c r="L47" s="129">
        <v>11.121</v>
      </c>
      <c r="M47" s="138">
        <f>J47+K47</f>
        <v>8.4356502495961063</v>
      </c>
      <c r="N47" s="139">
        <f>J47+L47</f>
        <v>13.872650249596106</v>
      </c>
      <c r="O47" s="87"/>
      <c r="P47" s="87"/>
      <c r="Q47" s="87"/>
      <c r="R47" s="87"/>
      <c r="S47" s="87"/>
      <c r="T47" s="87"/>
    </row>
    <row r="48" spans="1:20" ht="30" customHeight="1" thickBot="1" x14ac:dyDescent="0.3">
      <c r="A48" s="58" t="str">
        <f t="shared" si="0"/>
        <v>בנימינה- גבעת עדה-אגרה</v>
      </c>
      <c r="B48" s="108">
        <v>19</v>
      </c>
      <c r="C48" s="109" t="s">
        <v>418</v>
      </c>
      <c r="D48" s="110" t="s">
        <v>419</v>
      </c>
      <c r="E48" s="111" t="s">
        <v>401</v>
      </c>
      <c r="F48" s="111">
        <v>1.51</v>
      </c>
      <c r="G48" s="112">
        <v>34987</v>
      </c>
      <c r="H48" s="113">
        <v>34943</v>
      </c>
      <c r="I48" s="114">
        <f>מדדים!E51</f>
        <v>19140003.6568623</v>
      </c>
      <c r="J48" s="115">
        <f>F48*$D$1/I48</f>
        <v>2.6831401346794044</v>
      </c>
      <c r="K48" s="115">
        <v>5.6840000000000002</v>
      </c>
      <c r="L48" s="115">
        <v>11.121</v>
      </c>
      <c r="M48" s="116">
        <f>J48+K48</f>
        <v>8.3671401346794045</v>
      </c>
      <c r="N48" s="117">
        <f>J48+L48</f>
        <v>13.804140134679404</v>
      </c>
      <c r="O48" s="87"/>
      <c r="P48" s="87"/>
      <c r="Q48" s="87"/>
      <c r="R48" s="87"/>
      <c r="S48" s="87"/>
      <c r="T48" s="87"/>
    </row>
    <row r="49" spans="1:20" ht="16.5" thickBot="1" x14ac:dyDescent="0.3">
      <c r="A49" s="58" t="str">
        <f t="shared" si="0"/>
        <v>אור עקיבא-אגרה</v>
      </c>
      <c r="B49" s="108">
        <v>16</v>
      </c>
      <c r="C49" s="109" t="s">
        <v>33</v>
      </c>
      <c r="D49" s="110" t="s">
        <v>420</v>
      </c>
      <c r="E49" s="111" t="s">
        <v>401</v>
      </c>
      <c r="F49" s="111">
        <v>1.8</v>
      </c>
      <c r="G49" s="112">
        <v>35749</v>
      </c>
      <c r="H49" s="113">
        <v>35704</v>
      </c>
      <c r="I49" s="114">
        <f>מדדים!D53</f>
        <v>23449169.157969698</v>
      </c>
      <c r="J49" s="115">
        <f>F49*$D$1/I49</f>
        <v>2.610678966511407</v>
      </c>
      <c r="K49" s="115">
        <v>5.6840000000000002</v>
      </c>
      <c r="L49" s="115">
        <v>11.121</v>
      </c>
      <c r="M49" s="116">
        <f>J49+K49</f>
        <v>8.2946789665114071</v>
      </c>
      <c r="N49" s="117">
        <f>J49+L49</f>
        <v>13.731678966511407</v>
      </c>
      <c r="O49" s="87"/>
      <c r="P49" s="87"/>
      <c r="Q49" s="87"/>
      <c r="R49" s="87"/>
      <c r="S49" s="87"/>
      <c r="T49" s="87"/>
    </row>
    <row r="50" spans="1:20" ht="15.75" customHeight="1" thickBot="1" x14ac:dyDescent="0.3">
      <c r="A50" s="58" t="str">
        <f t="shared" si="0"/>
        <v>גבעת שמואל-אגרה</v>
      </c>
      <c r="B50" s="144">
        <v>8</v>
      </c>
      <c r="C50" s="145" t="s">
        <v>421</v>
      </c>
      <c r="D50" s="146" t="s">
        <v>400</v>
      </c>
      <c r="E50" s="147" t="s">
        <v>401</v>
      </c>
      <c r="F50" s="147">
        <v>1.94</v>
      </c>
      <c r="G50" s="147" t="s">
        <v>422</v>
      </c>
      <c r="H50" s="148">
        <v>37165</v>
      </c>
      <c r="I50" s="149">
        <f>מדדים!D57</f>
        <v>26203292.8349085</v>
      </c>
      <c r="J50" s="150">
        <f>F50*$D$1/I50</f>
        <v>2.5179916422430919</v>
      </c>
      <c r="K50" s="150">
        <v>5.6840000000000002</v>
      </c>
      <c r="L50" s="150">
        <v>11.121</v>
      </c>
      <c r="M50" s="151">
        <f>J50+K50</f>
        <v>8.2019916422430921</v>
      </c>
      <c r="N50" s="152">
        <f>J50+L50</f>
        <v>13.638991642243091</v>
      </c>
      <c r="O50" s="87"/>
      <c r="P50" s="87"/>
      <c r="Q50" s="87"/>
      <c r="R50" s="87"/>
      <c r="S50" s="87"/>
      <c r="T50" s="87"/>
    </row>
    <row r="51" spans="1:20" x14ac:dyDescent="0.25">
      <c r="A51" s="58" t="str">
        <f t="shared" si="0"/>
        <v>גדרה-אגרה</v>
      </c>
      <c r="B51" s="78">
        <v>6</v>
      </c>
      <c r="C51" s="79" t="s">
        <v>6</v>
      </c>
      <c r="D51" s="80" t="s">
        <v>423</v>
      </c>
      <c r="E51" s="79" t="s">
        <v>401</v>
      </c>
      <c r="F51" s="79">
        <v>1.18</v>
      </c>
      <c r="G51" s="81">
        <v>37970</v>
      </c>
      <c r="H51" s="82"/>
      <c r="I51" s="83"/>
      <c r="J51" s="129">
        <f t="shared" ref="J51:J52" si="10">F51*$D$1/$I$53</f>
        <v>1.4729215091074577</v>
      </c>
      <c r="K51" s="84"/>
      <c r="L51" s="84"/>
      <c r="M51" s="85"/>
      <c r="N51" s="86"/>
      <c r="O51" s="87"/>
      <c r="P51" s="87"/>
      <c r="Q51" s="87"/>
      <c r="R51" s="87"/>
      <c r="S51" s="87"/>
      <c r="T51" s="87"/>
    </row>
    <row r="52" spans="1:20" x14ac:dyDescent="0.25">
      <c r="A52" s="58" t="str">
        <f t="shared" si="0"/>
        <v>גדרה-מט"ש</v>
      </c>
      <c r="B52" s="88">
        <v>6</v>
      </c>
      <c r="C52" s="89" t="str">
        <f>C51</f>
        <v>גדרה</v>
      </c>
      <c r="D52" s="90" t="s">
        <v>424</v>
      </c>
      <c r="E52" s="89" t="s">
        <v>36</v>
      </c>
      <c r="F52" s="89">
        <v>0.81</v>
      </c>
      <c r="G52" s="91">
        <v>37970</v>
      </c>
      <c r="H52" s="92"/>
      <c r="I52" s="93"/>
      <c r="J52" s="129">
        <f t="shared" si="10"/>
        <v>1.011073239302577</v>
      </c>
      <c r="K52" s="94"/>
      <c r="L52" s="94"/>
      <c r="M52" s="95"/>
      <c r="N52" s="96"/>
      <c r="O52" s="87"/>
      <c r="P52" s="87"/>
      <c r="Q52" s="87"/>
      <c r="R52" s="87"/>
      <c r="S52" s="87"/>
      <c r="T52" s="87"/>
    </row>
    <row r="53" spans="1:20" ht="15.75" customHeight="1" thickBot="1" x14ac:dyDescent="0.3">
      <c r="A53" s="58" t="str">
        <f t="shared" si="0"/>
        <v>גדרה-ס"ה</v>
      </c>
      <c r="B53" s="132">
        <v>6</v>
      </c>
      <c r="C53" s="133" t="str">
        <f>C52</f>
        <v>גדרה</v>
      </c>
      <c r="D53" s="134"/>
      <c r="E53" s="135" t="s">
        <v>403</v>
      </c>
      <c r="F53" s="135">
        <f>SUM(F51:F52)</f>
        <v>1.99</v>
      </c>
      <c r="G53" s="135"/>
      <c r="H53" s="136">
        <v>37926</v>
      </c>
      <c r="I53" s="137">
        <f>מדדים!C59</f>
        <v>27246506.628242001</v>
      </c>
      <c r="J53" s="129">
        <f>F53*$D$1/$I$53</f>
        <v>2.4839947484100349</v>
      </c>
      <c r="K53" s="129">
        <v>5.6840000000000002</v>
      </c>
      <c r="L53" s="129">
        <v>11.121</v>
      </c>
      <c r="M53" s="138">
        <f>J53+K53</f>
        <v>8.1679947484100346</v>
      </c>
      <c r="N53" s="139">
        <f>J53+L53</f>
        <v>13.604994748410036</v>
      </c>
      <c r="O53" s="87"/>
      <c r="P53" s="87"/>
      <c r="Q53" s="87"/>
      <c r="R53" s="87"/>
      <c r="S53" s="87"/>
      <c r="T53" s="87"/>
    </row>
    <row r="54" spans="1:20" ht="16.5" thickBot="1" x14ac:dyDescent="0.3">
      <c r="A54" s="58" t="str">
        <f t="shared" si="0"/>
        <v>קריית יערים-אגרה</v>
      </c>
      <c r="B54" s="78">
        <v>30</v>
      </c>
      <c r="C54" s="79" t="s">
        <v>51</v>
      </c>
      <c r="D54" s="80" t="s">
        <v>400</v>
      </c>
      <c r="E54" s="79" t="s">
        <v>401</v>
      </c>
      <c r="F54" s="79">
        <v>1.67</v>
      </c>
      <c r="G54" s="81">
        <v>37302</v>
      </c>
      <c r="H54" s="82"/>
      <c r="I54" s="83"/>
      <c r="J54" s="103">
        <f t="shared" ref="J54:J55" si="11">F54*$D$1/$I$56</f>
        <v>2.1591072493824059</v>
      </c>
      <c r="K54" s="84"/>
      <c r="L54" s="84"/>
      <c r="M54" s="85"/>
      <c r="N54" s="86"/>
      <c r="O54" s="87"/>
      <c r="P54" s="87"/>
      <c r="Q54" s="87"/>
      <c r="R54" s="87"/>
      <c r="S54" s="87"/>
      <c r="T54" s="87"/>
    </row>
    <row r="55" spans="1:20" ht="14.25" customHeight="1" thickBot="1" x14ac:dyDescent="0.3">
      <c r="A55" s="58" t="str">
        <f t="shared" si="0"/>
        <v>קריית יערים-קרן פחת</v>
      </c>
      <c r="B55" s="88">
        <v>30</v>
      </c>
      <c r="C55" s="89" t="str">
        <f>C54</f>
        <v>קריית יערים</v>
      </c>
      <c r="D55" s="90"/>
      <c r="E55" s="89" t="s">
        <v>425</v>
      </c>
      <c r="F55" s="89">
        <v>0.25</v>
      </c>
      <c r="G55" s="91">
        <v>37302</v>
      </c>
      <c r="H55" s="92"/>
      <c r="I55" s="93"/>
      <c r="J55" s="103">
        <f t="shared" si="11"/>
        <v>0.32321964811113862</v>
      </c>
      <c r="K55" s="94"/>
      <c r="L55" s="94"/>
      <c r="M55" s="95"/>
      <c r="N55" s="96"/>
      <c r="O55" s="87"/>
      <c r="P55" s="87"/>
      <c r="Q55" s="87"/>
      <c r="R55" s="87"/>
      <c r="S55" s="87"/>
      <c r="T55" s="87"/>
    </row>
    <row r="56" spans="1:20" ht="16.5" thickBot="1" x14ac:dyDescent="0.3">
      <c r="A56" s="58" t="str">
        <f t="shared" si="0"/>
        <v>קריית יערים-ס"ה</v>
      </c>
      <c r="B56" s="97">
        <v>30</v>
      </c>
      <c r="C56" s="98" t="str">
        <f>C55</f>
        <v>קריית יערים</v>
      </c>
      <c r="D56" s="99"/>
      <c r="E56" s="100" t="s">
        <v>403</v>
      </c>
      <c r="F56" s="100">
        <f>SUM(F54:F55)</f>
        <v>1.92</v>
      </c>
      <c r="G56" s="100"/>
      <c r="H56" s="101">
        <v>37257</v>
      </c>
      <c r="I56" s="102">
        <f>מדדים!M58</f>
        <v>26305749.502884701</v>
      </c>
      <c r="J56" s="103">
        <f>F56*$D$1/$I$56</f>
        <v>2.4823268974935444</v>
      </c>
      <c r="K56" s="103">
        <v>5.6840000000000002</v>
      </c>
      <c r="L56" s="103">
        <v>11.121</v>
      </c>
      <c r="M56" s="104">
        <f>J56+K56</f>
        <v>8.1663268974935441</v>
      </c>
      <c r="N56" s="105">
        <f>J56+L56</f>
        <v>13.603326897493545</v>
      </c>
      <c r="O56" s="87"/>
      <c r="P56" s="87"/>
      <c r="Q56" s="87"/>
      <c r="R56" s="87"/>
      <c r="S56" s="87"/>
      <c r="T56" s="87"/>
    </row>
    <row r="57" spans="1:20" ht="14.25" customHeight="1" thickBot="1" x14ac:dyDescent="0.3">
      <c r="A57" s="58" t="str">
        <f t="shared" si="0"/>
        <v>ראש פינה-אגרה</v>
      </c>
      <c r="B57" s="78">
        <v>35</v>
      </c>
      <c r="C57" s="79" t="s">
        <v>24</v>
      </c>
      <c r="D57" s="80" t="s">
        <v>426</v>
      </c>
      <c r="E57" s="79" t="s">
        <v>401</v>
      </c>
      <c r="F57" s="79">
        <f>0.81+F58</f>
        <v>1.6800000000000002</v>
      </c>
      <c r="G57" s="81">
        <v>37848</v>
      </c>
      <c r="H57" s="82"/>
      <c r="I57" s="83"/>
      <c r="J57" s="103">
        <f t="shared" ref="J57:J58" si="12">F57*$D$1/$I$59</f>
        <v>2.0865660633936636</v>
      </c>
      <c r="K57" s="84"/>
      <c r="L57" s="84"/>
      <c r="M57" s="85"/>
      <c r="N57" s="86"/>
      <c r="O57" s="87"/>
      <c r="P57" s="87"/>
      <c r="Q57" s="87"/>
      <c r="R57" s="87"/>
      <c r="S57" s="87"/>
      <c r="T57" s="87"/>
    </row>
    <row r="58" spans="1:20" ht="14.25" customHeight="1" thickBot="1" x14ac:dyDescent="0.3">
      <c r="A58" s="58" t="str">
        <f t="shared" si="0"/>
        <v>ראש פינה-ביב מאסף</v>
      </c>
      <c r="B58" s="88">
        <v>35</v>
      </c>
      <c r="C58" s="89" t="str">
        <f>C57</f>
        <v>ראש פינה</v>
      </c>
      <c r="D58" s="90"/>
      <c r="E58" s="89" t="s">
        <v>427</v>
      </c>
      <c r="F58" s="89">
        <v>0.87</v>
      </c>
      <c r="G58" s="91">
        <v>37848</v>
      </c>
      <c r="H58" s="92"/>
      <c r="I58" s="93"/>
      <c r="J58" s="103">
        <f t="shared" si="12"/>
        <v>1.0805431399717185</v>
      </c>
      <c r="K58" s="94"/>
      <c r="L58" s="94"/>
      <c r="M58" s="95"/>
      <c r="N58" s="96"/>
      <c r="O58" s="87"/>
      <c r="P58" s="87"/>
      <c r="Q58" s="87"/>
      <c r="R58" s="87"/>
      <c r="S58" s="87"/>
      <c r="T58" s="87"/>
    </row>
    <row r="59" spans="1:20" ht="16.5" thickBot="1" x14ac:dyDescent="0.3">
      <c r="A59" s="58" t="str">
        <f t="shared" si="0"/>
        <v>ראש פינה-ס"ה</v>
      </c>
      <c r="B59" s="97">
        <v>35</v>
      </c>
      <c r="C59" s="98" t="str">
        <f>C58</f>
        <v>ראש פינה</v>
      </c>
      <c r="D59" s="99"/>
      <c r="E59" s="100" t="s">
        <v>403</v>
      </c>
      <c r="F59" s="100">
        <f>SUM(F57:F58)</f>
        <v>2.5500000000000003</v>
      </c>
      <c r="G59" s="100"/>
      <c r="H59" s="101">
        <v>37803</v>
      </c>
      <c r="I59" s="102">
        <f>מדדים!G59</f>
        <v>27383286.2799902</v>
      </c>
      <c r="J59" s="103">
        <f>F59*$D$1/$I$59</f>
        <v>3.1671092033653818</v>
      </c>
      <c r="K59" s="103">
        <v>5.6840000000000002</v>
      </c>
      <c r="L59" s="103">
        <v>11.121</v>
      </c>
      <c r="M59" s="104">
        <f>J59+K59</f>
        <v>8.8511092033653824</v>
      </c>
      <c r="N59" s="105">
        <f>J59+L59</f>
        <v>14.288109203365382</v>
      </c>
      <c r="O59" s="87"/>
      <c r="P59" s="87"/>
      <c r="Q59" s="87"/>
      <c r="R59" s="87"/>
      <c r="S59" s="87"/>
      <c r="T59" s="87"/>
    </row>
    <row r="60" spans="1:20" ht="14.25" customHeight="1" thickBot="1" x14ac:dyDescent="0.3">
      <c r="A60" s="58" t="str">
        <f t="shared" si="0"/>
        <v>עין קניה-אגרה</v>
      </c>
      <c r="B60" s="78">
        <v>37</v>
      </c>
      <c r="C60" s="79" t="s">
        <v>428</v>
      </c>
      <c r="D60" s="153" t="s">
        <v>400</v>
      </c>
      <c r="E60" s="154" t="s">
        <v>401</v>
      </c>
      <c r="F60" s="154">
        <v>1.01</v>
      </c>
      <c r="G60" s="155">
        <v>38457</v>
      </c>
      <c r="H60" s="156"/>
      <c r="I60" s="83"/>
      <c r="J60" s="103">
        <f t="shared" ref="J60:J61" si="13">F60*$D$1/$I$62</f>
        <v>1.2556780688997764</v>
      </c>
      <c r="K60" s="84"/>
      <c r="L60" s="84"/>
      <c r="M60" s="85"/>
      <c r="N60" s="86"/>
      <c r="O60" s="87"/>
      <c r="P60" s="87"/>
      <c r="Q60" s="87"/>
      <c r="R60" s="87"/>
      <c r="S60" s="87"/>
      <c r="T60" s="87"/>
    </row>
    <row r="61" spans="1:20" ht="16.5" thickBot="1" x14ac:dyDescent="0.3">
      <c r="A61" s="58" t="str">
        <f t="shared" si="0"/>
        <v>עין קניה-מט"ש</v>
      </c>
      <c r="B61" s="88">
        <v>37</v>
      </c>
      <c r="C61" s="89" t="str">
        <f>C60</f>
        <v>עין קניה</v>
      </c>
      <c r="D61" s="90"/>
      <c r="E61" s="157" t="s">
        <v>36</v>
      </c>
      <c r="F61" s="157">
        <v>0.62</v>
      </c>
      <c r="G61" s="158">
        <v>38457</v>
      </c>
      <c r="H61" s="159"/>
      <c r="I61" s="93"/>
      <c r="J61" s="103">
        <f t="shared" si="13"/>
        <v>0.77081227991867463</v>
      </c>
      <c r="K61" s="94"/>
      <c r="L61" s="94"/>
      <c r="M61" s="95"/>
      <c r="N61" s="96"/>
      <c r="O61" s="87"/>
      <c r="P61" s="87"/>
      <c r="Q61" s="87"/>
      <c r="R61" s="87"/>
      <c r="S61" s="87"/>
      <c r="T61" s="87"/>
    </row>
    <row r="62" spans="1:20" ht="15.75" customHeight="1" thickBot="1" x14ac:dyDescent="0.3">
      <c r="A62" s="58" t="str">
        <f t="shared" si="0"/>
        <v>עין קניה-ס"ה</v>
      </c>
      <c r="B62" s="97">
        <v>37</v>
      </c>
      <c r="C62" s="98" t="str">
        <f>C61</f>
        <v>עין קניה</v>
      </c>
      <c r="D62" s="99"/>
      <c r="E62" s="160" t="s">
        <v>403</v>
      </c>
      <c r="F62" s="100">
        <f>SUM(F60:F61)</f>
        <v>1.63</v>
      </c>
      <c r="G62" s="160"/>
      <c r="H62" s="161">
        <v>38412</v>
      </c>
      <c r="I62" s="102">
        <f>מדדים!K61</f>
        <v>27355930.3496406</v>
      </c>
      <c r="J62" s="103">
        <f>F62*$D$1/$I$62</f>
        <v>2.0264903488184509</v>
      </c>
      <c r="K62" s="103">
        <v>5.6840000000000002</v>
      </c>
      <c r="L62" s="103">
        <v>11.121</v>
      </c>
      <c r="M62" s="104">
        <f t="shared" ref="M62:M72" si="14">J62+K62</f>
        <v>7.7104903488184515</v>
      </c>
      <c r="N62" s="105">
        <f t="shared" ref="N62:N72" si="15">J62+L62</f>
        <v>13.147490348818451</v>
      </c>
      <c r="O62" s="87"/>
      <c r="P62" s="87"/>
      <c r="Q62" s="87"/>
      <c r="R62" s="87"/>
      <c r="S62" s="87"/>
      <c r="T62" s="87"/>
    </row>
    <row r="63" spans="1:20" ht="15.75" customHeight="1" thickBot="1" x14ac:dyDescent="0.3">
      <c r="A63" s="58" t="str">
        <f t="shared" si="0"/>
        <v>טירת כרמל-אגרה</v>
      </c>
      <c r="B63" s="108">
        <v>14</v>
      </c>
      <c r="C63" s="109" t="s">
        <v>429</v>
      </c>
      <c r="D63" s="110" t="s">
        <v>430</v>
      </c>
      <c r="E63" s="111" t="s">
        <v>401</v>
      </c>
      <c r="F63" s="260">
        <v>1.56</v>
      </c>
      <c r="G63" s="112">
        <v>37605</v>
      </c>
      <c r="H63" s="113">
        <v>37561</v>
      </c>
      <c r="I63" s="114">
        <f>מדדים!C58</f>
        <v>27791371.188539401</v>
      </c>
      <c r="J63" s="115">
        <f>F63*$D$1/I63</f>
        <v>1.9090752539421796</v>
      </c>
      <c r="K63" s="115">
        <v>5.6840000000000002</v>
      </c>
      <c r="L63" s="115">
        <v>11.121</v>
      </c>
      <c r="M63" s="116">
        <f t="shared" si="14"/>
        <v>7.59307525394218</v>
      </c>
      <c r="N63" s="117">
        <f t="shared" si="15"/>
        <v>13.030075253942179</v>
      </c>
      <c r="O63" s="87"/>
      <c r="P63" s="87"/>
      <c r="Q63" s="87"/>
      <c r="R63" s="87"/>
      <c r="S63" s="87"/>
      <c r="T63" s="87"/>
    </row>
    <row r="64" spans="1:20" ht="30" customHeight="1" thickBot="1" x14ac:dyDescent="0.3">
      <c r="A64" s="58" t="str">
        <f t="shared" si="0"/>
        <v>באר יעקב-אגרה</v>
      </c>
      <c r="B64" s="108">
        <v>18</v>
      </c>
      <c r="C64" s="109" t="s">
        <v>431</v>
      </c>
      <c r="D64" s="110" t="s">
        <v>432</v>
      </c>
      <c r="E64" s="111" t="s">
        <v>401</v>
      </c>
      <c r="F64" s="111">
        <v>1.393</v>
      </c>
      <c r="G64" s="112">
        <v>36295</v>
      </c>
      <c r="H64" s="113">
        <v>36251</v>
      </c>
      <c r="I64" s="114">
        <f>מדדים!J55</f>
        <v>25036403.828766301</v>
      </c>
      <c r="J64" s="115">
        <f t="shared" ref="J64:J72" si="16">F64*$D$1/I64</f>
        <v>1.8922895591545166</v>
      </c>
      <c r="K64" s="115">
        <v>5.6840000000000002</v>
      </c>
      <c r="L64" s="115">
        <v>11.121</v>
      </c>
      <c r="M64" s="116">
        <f t="shared" si="14"/>
        <v>7.5762895591545165</v>
      </c>
      <c r="N64" s="117">
        <f t="shared" si="15"/>
        <v>13.013289559154517</v>
      </c>
      <c r="O64" s="87"/>
      <c r="P64" s="87"/>
      <c r="Q64" s="87"/>
      <c r="R64" s="87"/>
      <c r="S64" s="87"/>
      <c r="T64" s="87"/>
    </row>
    <row r="65" spans="1:20" ht="16.5" thickBot="1" x14ac:dyDescent="0.3">
      <c r="A65" s="58" t="str">
        <f t="shared" si="0"/>
        <v>בית שאן-אגרה</v>
      </c>
      <c r="B65" s="108">
        <v>15</v>
      </c>
      <c r="C65" s="109" t="s">
        <v>1</v>
      </c>
      <c r="D65" s="110" t="s">
        <v>433</v>
      </c>
      <c r="E65" s="111" t="s">
        <v>401</v>
      </c>
      <c r="F65" s="111">
        <v>0.25</v>
      </c>
      <c r="G65" s="111" t="s">
        <v>434</v>
      </c>
      <c r="H65" s="113">
        <v>31625</v>
      </c>
      <c r="I65" s="114">
        <f>מדדים!F42</f>
        <v>5304389.32</v>
      </c>
      <c r="J65" s="115">
        <f t="shared" si="16"/>
        <v>1.602924405560441</v>
      </c>
      <c r="K65" s="115">
        <v>5.6840000000000002</v>
      </c>
      <c r="L65" s="115">
        <v>11.121</v>
      </c>
      <c r="M65" s="116">
        <f t="shared" si="14"/>
        <v>7.2869244055604412</v>
      </c>
      <c r="N65" s="117">
        <f t="shared" si="15"/>
        <v>12.723924405560442</v>
      </c>
      <c r="O65" s="87"/>
      <c r="P65" s="87"/>
      <c r="Q65" s="87"/>
      <c r="R65" s="87"/>
      <c r="S65" s="87"/>
      <c r="T65" s="87"/>
    </row>
    <row r="66" spans="1:20" ht="30" customHeight="1" thickBot="1" x14ac:dyDescent="0.3">
      <c r="A66" s="58" t="str">
        <f t="shared" si="0"/>
        <v>זכרון יעקב-אגרה</v>
      </c>
      <c r="B66" s="108">
        <v>11</v>
      </c>
      <c r="C66" s="109" t="s">
        <v>53</v>
      </c>
      <c r="D66" s="110" t="s">
        <v>435</v>
      </c>
      <c r="E66" s="111" t="s">
        <v>401</v>
      </c>
      <c r="F66" s="111">
        <v>1.5</v>
      </c>
      <c r="G66" s="111" t="s">
        <v>436</v>
      </c>
      <c r="H66" s="162" t="s">
        <v>437</v>
      </c>
      <c r="I66" s="114">
        <f>מדדים!F34</f>
        <v>3889.423851</v>
      </c>
      <c r="J66" s="115">
        <f>F66/10000*$D$1/I66</f>
        <v>1.3116392694670322</v>
      </c>
      <c r="K66" s="115">
        <v>5.6840000000000002</v>
      </c>
      <c r="L66" s="115">
        <v>11.121</v>
      </c>
      <c r="M66" s="116">
        <f>J66+K66</f>
        <v>6.9956392694670324</v>
      </c>
      <c r="N66" s="117">
        <f>J66+L66</f>
        <v>12.432639269467032</v>
      </c>
      <c r="O66" s="87"/>
      <c r="P66" s="87"/>
      <c r="Q66" s="87"/>
      <c r="R66" s="87"/>
      <c r="S66" s="87"/>
      <c r="T66" s="87"/>
    </row>
    <row r="67" spans="1:20" ht="15.75" customHeight="1" thickBot="1" x14ac:dyDescent="0.3">
      <c r="A67" s="58" t="str">
        <f t="shared" si="0"/>
        <v>קציר-חריש-אגרה</v>
      </c>
      <c r="B67" s="108">
        <v>29</v>
      </c>
      <c r="C67" s="109" t="s">
        <v>23</v>
      </c>
      <c r="D67" s="110" t="s">
        <v>400</v>
      </c>
      <c r="E67" s="111" t="s">
        <v>401</v>
      </c>
      <c r="F67" s="111">
        <v>0.7</v>
      </c>
      <c r="G67" s="112">
        <v>35535</v>
      </c>
      <c r="H67" s="113">
        <v>35490</v>
      </c>
      <c r="I67" s="114">
        <f>מדדים!K53</f>
        <v>22352844.366168499</v>
      </c>
      <c r="J67" s="115">
        <f t="shared" si="16"/>
        <v>1.06505900919592</v>
      </c>
      <c r="K67" s="115">
        <v>5.6840000000000002</v>
      </c>
      <c r="L67" s="115">
        <v>11.121</v>
      </c>
      <c r="M67" s="116">
        <f t="shared" si="14"/>
        <v>6.7490590091959204</v>
      </c>
      <c r="N67" s="117">
        <f t="shared" si="15"/>
        <v>12.186059009195921</v>
      </c>
      <c r="O67" s="87"/>
      <c r="P67" s="87"/>
      <c r="Q67" s="87"/>
      <c r="R67" s="87"/>
      <c r="S67" s="87"/>
      <c r="T67" s="87"/>
    </row>
    <row r="68" spans="1:20" ht="16.5" thickBot="1" x14ac:dyDescent="0.3">
      <c r="A68" s="58" t="str">
        <f t="shared" si="0"/>
        <v>מעיליא-אגרה</v>
      </c>
      <c r="B68" s="144">
        <v>34</v>
      </c>
      <c r="C68" s="145" t="s">
        <v>22</v>
      </c>
      <c r="D68" s="146" t="s">
        <v>438</v>
      </c>
      <c r="E68" s="147" t="s">
        <v>401</v>
      </c>
      <c r="F68" s="147">
        <v>0.82</v>
      </c>
      <c r="G68" s="147"/>
      <c r="H68" s="148">
        <v>38869</v>
      </c>
      <c r="I68" s="149">
        <f>מדדים!H62</f>
        <v>28614303.145723999</v>
      </c>
      <c r="J68" s="150">
        <f>F68*$D$1/I68</f>
        <v>0.97462849184807676</v>
      </c>
      <c r="K68" s="150">
        <v>5.6840000000000002</v>
      </c>
      <c r="L68" s="150">
        <v>11.121</v>
      </c>
      <c r="M68" s="151">
        <f>J68+K68</f>
        <v>6.6586284918480771</v>
      </c>
      <c r="N68" s="152">
        <f>J68+L68</f>
        <v>12.095628491848077</v>
      </c>
      <c r="O68" s="87"/>
      <c r="P68" s="87"/>
      <c r="Q68" s="87"/>
      <c r="R68" s="87"/>
      <c r="S68" s="87"/>
      <c r="T68" s="87"/>
    </row>
    <row r="69" spans="1:20" ht="16.5" thickBot="1" x14ac:dyDescent="0.3">
      <c r="A69" s="58" t="str">
        <f t="shared" si="0"/>
        <v>מיתר-אגרה</v>
      </c>
      <c r="B69" s="108">
        <v>25</v>
      </c>
      <c r="C69" s="109" t="s">
        <v>11</v>
      </c>
      <c r="D69" s="110" t="s">
        <v>400</v>
      </c>
      <c r="E69" s="111" t="s">
        <v>401</v>
      </c>
      <c r="F69" s="111">
        <v>0.2</v>
      </c>
      <c r="G69" s="111" t="s">
        <v>439</v>
      </c>
      <c r="H69" s="113">
        <v>32417</v>
      </c>
      <c r="I69" s="114">
        <f>מדדים!D44</f>
        <v>7647958.5300000003</v>
      </c>
      <c r="J69" s="115">
        <f>F69*$D$1/I69</f>
        <v>0.88939133906335688</v>
      </c>
      <c r="K69" s="115">
        <v>5.6840000000000002</v>
      </c>
      <c r="L69" s="115">
        <v>11.121</v>
      </c>
      <c r="M69" s="116">
        <f>J69+K69</f>
        <v>6.5733913390633569</v>
      </c>
      <c r="N69" s="117">
        <f>J69+L69</f>
        <v>12.010391339063357</v>
      </c>
      <c r="O69" s="87"/>
      <c r="P69" s="87"/>
      <c r="Q69" s="87"/>
      <c r="R69" s="87"/>
      <c r="S69" s="87"/>
      <c r="T69" s="87"/>
    </row>
    <row r="70" spans="1:20" ht="16.5" thickBot="1" x14ac:dyDescent="0.3">
      <c r="A70" s="58" t="str">
        <f t="shared" si="0"/>
        <v>כפר שמריהו-אגרה</v>
      </c>
      <c r="B70" s="108">
        <v>36</v>
      </c>
      <c r="C70" s="109" t="s">
        <v>10</v>
      </c>
      <c r="D70" s="110" t="s">
        <v>400</v>
      </c>
      <c r="E70" s="111" t="s">
        <v>401</v>
      </c>
      <c r="F70" s="111">
        <v>0.71</v>
      </c>
      <c r="G70" s="112">
        <v>39128</v>
      </c>
      <c r="H70" s="113">
        <v>39083</v>
      </c>
      <c r="I70" s="114">
        <f>מדדים!M63</f>
        <v>28111501.145897701</v>
      </c>
      <c r="J70" s="115">
        <f>F70*$D$1/I70</f>
        <v>0.85897937473789809</v>
      </c>
      <c r="K70" s="115">
        <v>5.6840000000000002</v>
      </c>
      <c r="L70" s="115">
        <v>11.121</v>
      </c>
      <c r="M70" s="116">
        <f>J70+K70</f>
        <v>6.5429793747378984</v>
      </c>
      <c r="N70" s="117">
        <f>J70+L70</f>
        <v>11.979979374737898</v>
      </c>
      <c r="O70" s="87"/>
      <c r="P70" s="87"/>
      <c r="Q70" s="87"/>
      <c r="R70" s="87"/>
      <c r="S70" s="87"/>
      <c r="T70" s="87"/>
    </row>
    <row r="71" spans="1:20" ht="16.5" thickBot="1" x14ac:dyDescent="0.3">
      <c r="A71" s="58" t="str">
        <f t="shared" si="0"/>
        <v>נשר-אגרה</v>
      </c>
      <c r="B71" s="144">
        <v>7</v>
      </c>
      <c r="C71" s="145" t="s">
        <v>440</v>
      </c>
      <c r="D71" s="146" t="s">
        <v>91</v>
      </c>
      <c r="E71" s="147" t="s">
        <v>401</v>
      </c>
      <c r="F71" s="147">
        <v>0.18</v>
      </c>
      <c r="G71" s="163" t="s">
        <v>441</v>
      </c>
      <c r="H71" s="148">
        <v>32933</v>
      </c>
      <c r="I71" s="149">
        <f>מדדים!K46</f>
        <v>9698315.8300000001</v>
      </c>
      <c r="J71" s="150">
        <f t="shared" si="16"/>
        <v>0.63122560427978447</v>
      </c>
      <c r="K71" s="150">
        <v>5.6840000000000002</v>
      </c>
      <c r="L71" s="150">
        <v>11.121</v>
      </c>
      <c r="M71" s="151">
        <f t="shared" si="14"/>
        <v>6.3152256042797843</v>
      </c>
      <c r="N71" s="152">
        <f t="shared" si="15"/>
        <v>11.752225604279785</v>
      </c>
      <c r="O71" s="87"/>
      <c r="P71" s="87"/>
      <c r="Q71" s="87"/>
      <c r="R71" s="87"/>
      <c r="S71" s="87"/>
      <c r="T71" s="87"/>
    </row>
    <row r="72" spans="1:20" ht="30" customHeight="1" thickBot="1" x14ac:dyDescent="0.3">
      <c r="A72" s="58" t="str">
        <f t="shared" si="0"/>
        <v>שדרות-</v>
      </c>
      <c r="B72" s="144">
        <v>9</v>
      </c>
      <c r="C72" s="145" t="s">
        <v>21</v>
      </c>
      <c r="D72" s="146" t="s">
        <v>442</v>
      </c>
      <c r="E72" s="147"/>
      <c r="F72" s="147">
        <v>0.3</v>
      </c>
      <c r="G72" s="147" t="s">
        <v>443</v>
      </c>
      <c r="H72" s="148">
        <v>37165</v>
      </c>
      <c r="I72" s="149">
        <f>מדדים!D57</f>
        <v>26203292.8349085</v>
      </c>
      <c r="J72" s="150">
        <f t="shared" si="16"/>
        <v>0.38938015086233385</v>
      </c>
      <c r="K72" s="150">
        <v>5.6840000000000002</v>
      </c>
      <c r="L72" s="150">
        <v>11.121</v>
      </c>
      <c r="M72" s="151">
        <f t="shared" si="14"/>
        <v>6.0733801508623344</v>
      </c>
      <c r="N72" s="152">
        <f t="shared" si="15"/>
        <v>11.510380150862334</v>
      </c>
      <c r="O72" s="87"/>
      <c r="P72" s="87"/>
      <c r="Q72" s="87"/>
      <c r="R72" s="87"/>
      <c r="S72" s="87"/>
      <c r="T72" s="87"/>
    </row>
    <row r="73" spans="1:20" ht="30" thickBot="1" x14ac:dyDescent="0.3">
      <c r="A73" s="58" t="str">
        <f t="shared" ref="A73:A79" si="17">C73&amp;"-"&amp;E73</f>
        <v>קלנסואה-</v>
      </c>
      <c r="B73" s="164">
        <v>12</v>
      </c>
      <c r="C73" s="165" t="s">
        <v>8</v>
      </c>
      <c r="D73" s="166" t="s">
        <v>444</v>
      </c>
      <c r="E73" s="167"/>
      <c r="F73" s="167"/>
      <c r="G73" s="167"/>
      <c r="H73" s="168"/>
      <c r="I73" s="169"/>
      <c r="J73" s="170"/>
      <c r="K73" s="170"/>
      <c r="L73" s="170"/>
      <c r="M73" s="171"/>
      <c r="N73" s="172"/>
      <c r="O73" s="87"/>
      <c r="P73" s="87"/>
      <c r="Q73" s="87"/>
      <c r="R73" s="87"/>
      <c r="S73" s="87"/>
      <c r="T73" s="87"/>
    </row>
    <row r="74" spans="1:20" ht="30" customHeight="1" thickBot="1" x14ac:dyDescent="0.3">
      <c r="A74" s="58" t="str">
        <f t="shared" si="17"/>
        <v>שהם-</v>
      </c>
      <c r="B74" s="164">
        <v>13</v>
      </c>
      <c r="C74" s="165" t="s">
        <v>12</v>
      </c>
      <c r="D74" s="166" t="s">
        <v>444</v>
      </c>
      <c r="E74" s="167"/>
      <c r="F74" s="167"/>
      <c r="G74" s="167"/>
      <c r="H74" s="168"/>
      <c r="I74" s="169"/>
      <c r="J74" s="170"/>
      <c r="K74" s="170"/>
      <c r="L74" s="170"/>
      <c r="M74" s="171"/>
      <c r="N74" s="172"/>
      <c r="O74" s="87"/>
      <c r="P74" s="87"/>
      <c r="Q74" s="87"/>
      <c r="R74" s="87"/>
      <c r="S74" s="87"/>
      <c r="T74" s="87"/>
    </row>
    <row r="75" spans="1:20" ht="16.5" thickBot="1" x14ac:dyDescent="0.3">
      <c r="A75" s="58" t="str">
        <f t="shared" si="17"/>
        <v>דלית אל כרמל-</v>
      </c>
      <c r="B75" s="173">
        <v>17</v>
      </c>
      <c r="C75" s="174" t="s">
        <v>310</v>
      </c>
      <c r="D75" s="175"/>
      <c r="E75" s="176"/>
      <c r="F75" s="176"/>
      <c r="G75" s="176"/>
      <c r="H75" s="177"/>
      <c r="I75" s="178"/>
      <c r="J75" s="179"/>
      <c r="K75" s="179"/>
      <c r="L75" s="179"/>
      <c r="M75" s="180"/>
      <c r="N75" s="181"/>
      <c r="O75" s="87"/>
      <c r="P75" s="87"/>
      <c r="Q75" s="87"/>
      <c r="R75" s="87"/>
      <c r="S75" s="87"/>
      <c r="T75" s="87"/>
    </row>
    <row r="76" spans="1:20" ht="30" thickBot="1" x14ac:dyDescent="0.3">
      <c r="A76" s="58" t="str">
        <f t="shared" si="17"/>
        <v>פורדיס-</v>
      </c>
      <c r="B76" s="164">
        <v>21</v>
      </c>
      <c r="C76" s="165" t="s">
        <v>445</v>
      </c>
      <c r="D76" s="166" t="s">
        <v>444</v>
      </c>
      <c r="E76" s="167"/>
      <c r="F76" s="167"/>
      <c r="G76" s="167"/>
      <c r="H76" s="168"/>
      <c r="I76" s="169"/>
      <c r="J76" s="170"/>
      <c r="K76" s="170"/>
      <c r="L76" s="170"/>
      <c r="M76" s="171"/>
      <c r="N76" s="172"/>
      <c r="O76" s="87"/>
      <c r="P76" s="87"/>
      <c r="Q76" s="87"/>
      <c r="R76" s="87"/>
      <c r="S76" s="87"/>
      <c r="T76" s="87"/>
    </row>
    <row r="77" spans="1:20" ht="16.5" thickBot="1" x14ac:dyDescent="0.3">
      <c r="A77" s="58" t="str">
        <f t="shared" si="17"/>
        <v>עספייה-</v>
      </c>
      <c r="B77" s="164">
        <v>22</v>
      </c>
      <c r="C77" s="165" t="s">
        <v>446</v>
      </c>
      <c r="D77" s="166"/>
      <c r="E77" s="182"/>
      <c r="F77" s="167"/>
      <c r="G77" s="182"/>
      <c r="H77" s="183"/>
      <c r="I77" s="169"/>
      <c r="J77" s="170"/>
      <c r="K77" s="170"/>
      <c r="L77" s="170"/>
      <c r="M77" s="171"/>
      <c r="N77" s="172"/>
      <c r="O77" s="87"/>
      <c r="P77" s="87"/>
      <c r="Q77" s="87"/>
      <c r="R77" s="87"/>
      <c r="S77" s="87"/>
      <c r="T77" s="87"/>
    </row>
    <row r="78" spans="1:20" ht="16.5" thickBot="1" x14ac:dyDescent="0.3">
      <c r="A78" s="58" t="str">
        <f t="shared" si="17"/>
        <v>כעביה-טבאש-</v>
      </c>
      <c r="B78" s="164">
        <v>28</v>
      </c>
      <c r="C78" s="165" t="s">
        <v>447</v>
      </c>
      <c r="D78" s="166"/>
      <c r="E78" s="167"/>
      <c r="F78" s="167"/>
      <c r="G78" s="167"/>
      <c r="H78" s="168"/>
      <c r="I78" s="169"/>
      <c r="J78" s="170"/>
      <c r="K78" s="170"/>
      <c r="L78" s="170"/>
      <c r="M78" s="171"/>
      <c r="N78" s="172"/>
      <c r="O78" s="87"/>
      <c r="P78" s="87"/>
      <c r="Q78" s="87"/>
      <c r="R78" s="87"/>
      <c r="S78" s="87"/>
      <c r="T78" s="87"/>
    </row>
    <row r="79" spans="1:20" ht="30" thickBot="1" x14ac:dyDescent="0.3">
      <c r="A79" s="58" t="str">
        <f t="shared" si="17"/>
        <v>זמר-</v>
      </c>
      <c r="B79" s="184">
        <v>38</v>
      </c>
      <c r="C79" s="185" t="s">
        <v>7</v>
      </c>
      <c r="D79" s="186" t="s">
        <v>444</v>
      </c>
      <c r="E79" s="187"/>
      <c r="F79" s="187"/>
      <c r="G79" s="187"/>
      <c r="H79" s="188"/>
      <c r="I79" s="189"/>
      <c r="J79" s="190"/>
      <c r="K79" s="190"/>
      <c r="L79" s="190"/>
      <c r="M79" s="191"/>
      <c r="N79" s="192"/>
      <c r="O79" s="87"/>
      <c r="P79" s="87"/>
      <c r="Q79" s="87"/>
      <c r="R79" s="87"/>
      <c r="S79" s="87"/>
      <c r="T79" s="87"/>
    </row>
    <row r="80" spans="1:20" s="202" customFormat="1" ht="18.75" thickBot="1" x14ac:dyDescent="0.3">
      <c r="B80" s="193"/>
      <c r="C80" s="194" t="s">
        <v>28</v>
      </c>
      <c r="D80" s="195"/>
      <c r="E80" s="196"/>
      <c r="F80" s="197"/>
      <c r="G80" s="196"/>
      <c r="H80" s="198"/>
      <c r="I80" s="199"/>
      <c r="J80" s="200">
        <f>AVERAGE(J8:J79)</f>
        <v>1.9704576842499057</v>
      </c>
      <c r="K80" s="200">
        <f>AVERAGE(K8:K79)</f>
        <v>5.6839999999999984</v>
      </c>
      <c r="L80" s="200">
        <f>AVERAGE(L8:L79)</f>
        <v>11.120999999999997</v>
      </c>
      <c r="M80" s="200">
        <f>AVERAGE(M8:M79)</f>
        <v>8.2593102944049335</v>
      </c>
      <c r="N80" s="200">
        <f>AVERAGE(N8:N79)</f>
        <v>13.696310294404935</v>
      </c>
      <c r="O80" s="201"/>
      <c r="P80" s="201"/>
      <c r="Q80" s="201"/>
      <c r="R80" s="201"/>
      <c r="S80" s="201"/>
      <c r="T80" s="201"/>
    </row>
    <row r="81" spans="9:20" x14ac:dyDescent="0.25">
      <c r="I81" s="203"/>
      <c r="J81" s="87"/>
      <c r="K81" s="87"/>
      <c r="L81" s="87"/>
      <c r="M81" s="204"/>
      <c r="N81" s="204"/>
      <c r="O81" s="87"/>
      <c r="P81" s="87"/>
      <c r="Q81" s="87"/>
      <c r="R81" s="87"/>
      <c r="S81" s="87"/>
      <c r="T81" s="87"/>
    </row>
    <row r="82" spans="9:20" x14ac:dyDescent="0.25">
      <c r="I82" s="203"/>
      <c r="J82" s="87"/>
      <c r="K82" s="87"/>
      <c r="L82" s="87"/>
      <c r="M82" s="204"/>
      <c r="N82" s="204"/>
      <c r="O82" s="87"/>
      <c r="P82" s="87"/>
      <c r="Q82" s="87"/>
      <c r="R82" s="87"/>
      <c r="S82" s="87"/>
      <c r="T82" s="87"/>
    </row>
    <row r="83" spans="9:20" x14ac:dyDescent="0.25">
      <c r="I83" s="203"/>
      <c r="J83" s="87"/>
      <c r="K83" s="87"/>
      <c r="L83" s="87"/>
      <c r="M83" s="204"/>
      <c r="N83" s="204"/>
      <c r="O83" s="87"/>
      <c r="P83" s="87"/>
      <c r="Q83" s="87"/>
      <c r="R83" s="87"/>
      <c r="S83" s="87"/>
      <c r="T83" s="87"/>
    </row>
    <row r="84" spans="9:20" x14ac:dyDescent="0.25">
      <c r="I84" s="203"/>
      <c r="J84" s="87"/>
      <c r="K84" s="87"/>
      <c r="L84" s="87"/>
      <c r="M84" s="204"/>
      <c r="N84" s="204"/>
      <c r="O84" s="87"/>
      <c r="P84" s="87"/>
      <c r="Q84" s="87"/>
      <c r="R84" s="87"/>
      <c r="S84" s="87"/>
      <c r="T84" s="87"/>
    </row>
    <row r="85" spans="9:20" x14ac:dyDescent="0.25">
      <c r="I85" s="203"/>
    </row>
    <row r="86" spans="9:20" x14ac:dyDescent="0.25">
      <c r="I86" s="203"/>
    </row>
    <row r="87" spans="9:20" x14ac:dyDescent="0.25">
      <c r="I87" s="203"/>
    </row>
    <row r="88" spans="9:20" x14ac:dyDescent="0.25">
      <c r="I88" s="203"/>
    </row>
    <row r="89" spans="9:20" x14ac:dyDescent="0.25">
      <c r="I89" s="203"/>
    </row>
    <row r="90" spans="9:20" x14ac:dyDescent="0.25">
      <c r="I90" s="203"/>
    </row>
    <row r="91" spans="9:20" x14ac:dyDescent="0.25">
      <c r="I91" s="203"/>
    </row>
    <row r="92" spans="9:20" x14ac:dyDescent="0.25">
      <c r="I92" s="203"/>
    </row>
    <row r="93" spans="9:20" x14ac:dyDescent="0.25">
      <c r="I93" s="203"/>
    </row>
    <row r="94" spans="9:20" x14ac:dyDescent="0.25">
      <c r="I94" s="203"/>
    </row>
    <row r="95" spans="9:20" x14ac:dyDescent="0.25">
      <c r="I95" s="203"/>
    </row>
    <row r="96" spans="9:20" x14ac:dyDescent="0.25">
      <c r="I96" s="203"/>
    </row>
    <row r="97" spans="9:9" x14ac:dyDescent="0.25">
      <c r="I97" s="203"/>
    </row>
    <row r="98" spans="9:9" x14ac:dyDescent="0.25">
      <c r="I98" s="203"/>
    </row>
    <row r="99" spans="9:9" x14ac:dyDescent="0.25">
      <c r="I99" s="203"/>
    </row>
    <row r="100" spans="9:9" x14ac:dyDescent="0.25">
      <c r="I100" s="203"/>
    </row>
    <row r="101" spans="9:9" x14ac:dyDescent="0.25">
      <c r="I101" s="203"/>
    </row>
    <row r="102" spans="9:9" x14ac:dyDescent="0.25">
      <c r="I102" s="203"/>
    </row>
    <row r="103" spans="9:9" x14ac:dyDescent="0.25">
      <c r="I103" s="203"/>
    </row>
    <row r="104" spans="9:9" x14ac:dyDescent="0.25">
      <c r="I104" s="203"/>
    </row>
    <row r="105" spans="9:9" x14ac:dyDescent="0.25">
      <c r="I105" s="203"/>
    </row>
    <row r="106" spans="9:9" x14ac:dyDescent="0.25">
      <c r="I106" s="203"/>
    </row>
    <row r="107" spans="9:9" x14ac:dyDescent="0.25">
      <c r="I107" s="203"/>
    </row>
    <row r="108" spans="9:9" x14ac:dyDescent="0.25">
      <c r="I108" s="203"/>
    </row>
    <row r="109" spans="9:9" x14ac:dyDescent="0.25">
      <c r="I109" s="203"/>
    </row>
    <row r="110" spans="9:9" x14ac:dyDescent="0.25">
      <c r="I110" s="203"/>
    </row>
    <row r="111" spans="9:9" x14ac:dyDescent="0.25">
      <c r="I111" s="203"/>
    </row>
    <row r="112" spans="9:9" x14ac:dyDescent="0.25">
      <c r="I112" s="203"/>
    </row>
    <row r="113" spans="9:9" x14ac:dyDescent="0.25">
      <c r="I113" s="203"/>
    </row>
    <row r="114" spans="9:9" x14ac:dyDescent="0.25">
      <c r="I114" s="203"/>
    </row>
    <row r="115" spans="9:9" x14ac:dyDescent="0.25">
      <c r="I115" s="203"/>
    </row>
    <row r="116" spans="9:9" x14ac:dyDescent="0.25">
      <c r="I116" s="203"/>
    </row>
    <row r="117" spans="9:9" x14ac:dyDescent="0.25">
      <c r="I117" s="203"/>
    </row>
    <row r="118" spans="9:9" x14ac:dyDescent="0.25">
      <c r="I118" s="203"/>
    </row>
    <row r="119" spans="9:9" x14ac:dyDescent="0.25">
      <c r="I119" s="203"/>
    </row>
    <row r="120" spans="9:9" x14ac:dyDescent="0.25">
      <c r="I120" s="203"/>
    </row>
    <row r="121" spans="9:9" x14ac:dyDescent="0.25">
      <c r="I121" s="203"/>
    </row>
    <row r="122" spans="9:9" x14ac:dyDescent="0.25">
      <c r="I122" s="203"/>
    </row>
    <row r="123" spans="9:9" x14ac:dyDescent="0.25">
      <c r="I123" s="203"/>
    </row>
    <row r="124" spans="9:9" x14ac:dyDescent="0.25">
      <c r="I124" s="203"/>
    </row>
    <row r="125" spans="9:9" x14ac:dyDescent="0.25">
      <c r="I125" s="203"/>
    </row>
    <row r="126" spans="9:9" x14ac:dyDescent="0.25">
      <c r="I126" s="203"/>
    </row>
    <row r="127" spans="9:9" x14ac:dyDescent="0.25">
      <c r="I127" s="203"/>
    </row>
    <row r="128" spans="9:9" x14ac:dyDescent="0.25">
      <c r="I128" s="203"/>
    </row>
    <row r="129" spans="9:9" x14ac:dyDescent="0.25">
      <c r="I129" s="203"/>
    </row>
  </sheetData>
  <mergeCells count="1">
    <mergeCell ref="J6:N6"/>
  </mergeCells>
  <pageMargins left="0.7" right="0.7" top="0.75" bottom="0.75" header="0.3" footer="0.3"/>
  <pageSetup paperSize="9" orientation="portrait" verticalDpi="30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O43"/>
  <sheetViews>
    <sheetView rightToLeft="1" workbookViewId="0">
      <selection activeCell="G38" sqref="G38"/>
    </sheetView>
  </sheetViews>
  <sheetFormatPr defaultRowHeight="12.75" x14ac:dyDescent="0.2"/>
  <cols>
    <col min="1" max="1" width="15.42578125" customWidth="1"/>
  </cols>
  <sheetData>
    <row r="3" spans="1:15" ht="13.5" thickBot="1" x14ac:dyDescent="0.25">
      <c r="A3" s="329" t="s">
        <v>455</v>
      </c>
      <c r="B3" s="329"/>
      <c r="C3" s="329"/>
      <c r="D3" s="329"/>
      <c r="E3" s="329"/>
      <c r="F3" s="329"/>
      <c r="G3" s="329"/>
      <c r="H3" s="329"/>
      <c r="I3" s="329"/>
      <c r="J3" s="220"/>
    </row>
    <row r="4" spans="1:15" ht="16.5" thickBot="1" x14ac:dyDescent="0.3">
      <c r="A4" s="323" t="s">
        <v>456</v>
      </c>
      <c r="B4" s="324"/>
      <c r="C4" s="324"/>
      <c r="D4" s="324"/>
      <c r="E4" s="324"/>
      <c r="F4" s="324"/>
      <c r="G4" s="324"/>
      <c r="H4" s="324"/>
      <c r="I4" s="325"/>
      <c r="J4" s="220"/>
    </row>
    <row r="5" spans="1:15" x14ac:dyDescent="0.2">
      <c r="A5" s="326" t="s">
        <v>457</v>
      </c>
      <c r="B5" s="321"/>
      <c r="C5" s="321"/>
      <c r="D5" s="321" t="s">
        <v>458</v>
      </c>
      <c r="E5" s="321"/>
      <c r="F5" s="321" t="s">
        <v>459</v>
      </c>
      <c r="G5" s="327"/>
      <c r="H5" s="321" t="s">
        <v>460</v>
      </c>
      <c r="I5" s="328"/>
      <c r="J5" s="220"/>
      <c r="K5" s="221"/>
      <c r="L5" s="330" t="s">
        <v>458</v>
      </c>
      <c r="M5" s="330"/>
      <c r="N5" s="330" t="s">
        <v>459</v>
      </c>
      <c r="O5" s="331"/>
    </row>
    <row r="6" spans="1:15" x14ac:dyDescent="0.2">
      <c r="A6" s="222"/>
      <c r="B6" s="321" t="s">
        <v>461</v>
      </c>
      <c r="C6" s="321"/>
      <c r="D6" s="321" t="s">
        <v>461</v>
      </c>
      <c r="E6" s="321"/>
      <c r="F6" s="321" t="s">
        <v>461</v>
      </c>
      <c r="G6" s="321"/>
      <c r="H6" s="321" t="s">
        <v>461</v>
      </c>
      <c r="I6" s="322"/>
      <c r="J6" s="223"/>
      <c r="K6" s="222"/>
      <c r="L6" s="321" t="s">
        <v>461</v>
      </c>
      <c r="M6" s="321"/>
      <c r="N6" s="321" t="s">
        <v>461</v>
      </c>
      <c r="O6" s="322"/>
    </row>
    <row r="7" spans="1:15" x14ac:dyDescent="0.2">
      <c r="A7" s="222"/>
      <c r="B7" s="224" t="s">
        <v>462</v>
      </c>
      <c r="C7" s="224" t="s">
        <v>463</v>
      </c>
      <c r="D7" s="224" t="s">
        <v>462</v>
      </c>
      <c r="E7" s="224" t="s">
        <v>463</v>
      </c>
      <c r="F7" s="224" t="s">
        <v>462</v>
      </c>
      <c r="G7" s="224" t="s">
        <v>463</v>
      </c>
      <c r="H7" s="224" t="s">
        <v>462</v>
      </c>
      <c r="I7" s="225" t="s">
        <v>463</v>
      </c>
      <c r="J7" s="223"/>
      <c r="K7" s="222"/>
      <c r="L7" s="224" t="s">
        <v>462</v>
      </c>
      <c r="M7" s="224" t="s">
        <v>463</v>
      </c>
      <c r="N7" s="224" t="s">
        <v>462</v>
      </c>
      <c r="O7" s="225" t="s">
        <v>463</v>
      </c>
    </row>
    <row r="8" spans="1:15" x14ac:dyDescent="0.2">
      <c r="A8" s="226" t="s">
        <v>464</v>
      </c>
      <c r="B8" s="32">
        <v>0.4</v>
      </c>
      <c r="C8" s="32">
        <v>0.3</v>
      </c>
      <c r="D8" s="32">
        <v>0.88</v>
      </c>
      <c r="E8" s="32">
        <v>0.47</v>
      </c>
      <c r="F8" s="32">
        <v>1.1000000000000001</v>
      </c>
      <c r="G8" s="32">
        <v>0.66</v>
      </c>
      <c r="H8" s="32">
        <v>1.3</v>
      </c>
      <c r="I8" s="227">
        <v>0.8</v>
      </c>
      <c r="J8" s="228"/>
      <c r="K8" s="226" t="s">
        <v>464</v>
      </c>
      <c r="L8" s="229">
        <f>D8/($D$13+0.07)</f>
        <v>0.44444444444444448</v>
      </c>
      <c r="M8" s="229">
        <f>E8/($E$13+0.07)</f>
        <v>0.35074626865671638</v>
      </c>
      <c r="N8" s="229">
        <f>F8/($F$13+0.07)</f>
        <v>0.44715447154471549</v>
      </c>
      <c r="O8" s="230">
        <f>G8/($G$13+0.07)</f>
        <v>0.37714285714285722</v>
      </c>
    </row>
    <row r="9" spans="1:15" x14ac:dyDescent="0.2">
      <c r="A9" s="226" t="s">
        <v>465</v>
      </c>
      <c r="B9" s="32">
        <v>0.15</v>
      </c>
      <c r="C9" s="32">
        <v>0.12</v>
      </c>
      <c r="D9" s="32">
        <v>0.25</v>
      </c>
      <c r="E9" s="32">
        <v>0.2</v>
      </c>
      <c r="F9" s="32">
        <v>0.3</v>
      </c>
      <c r="G9" s="32">
        <v>0.23</v>
      </c>
      <c r="H9" s="32">
        <v>0.35</v>
      </c>
      <c r="I9" s="227">
        <v>0.28000000000000003</v>
      </c>
      <c r="J9" s="228"/>
      <c r="K9" s="226" t="s">
        <v>465</v>
      </c>
      <c r="L9" s="229">
        <f>D9/($D$13+0.07)</f>
        <v>0.12626262626262627</v>
      </c>
      <c r="M9" s="229">
        <f>E9/($E$13+0.07)</f>
        <v>0.14925373134328357</v>
      </c>
      <c r="N9" s="229">
        <f>F9/($F$13+0.07)</f>
        <v>0.12195121951219512</v>
      </c>
      <c r="O9" s="230">
        <f>G9/($G$13+0.07)</f>
        <v>0.13142857142857145</v>
      </c>
    </row>
    <row r="10" spans="1:15" x14ac:dyDescent="0.2">
      <c r="A10" s="226" t="s">
        <v>466</v>
      </c>
      <c r="B10" s="32"/>
      <c r="C10" s="32"/>
      <c r="D10" s="32"/>
      <c r="E10" s="32"/>
      <c r="F10" s="32">
        <v>0.06</v>
      </c>
      <c r="G10" s="32">
        <v>0.06</v>
      </c>
      <c r="H10" s="32">
        <v>0.15</v>
      </c>
      <c r="I10" s="227">
        <v>0.15</v>
      </c>
      <c r="J10" s="228"/>
      <c r="K10" s="226" t="s">
        <v>466</v>
      </c>
      <c r="L10" s="229">
        <f>D10/($D$13+0.07)</f>
        <v>0</v>
      </c>
      <c r="M10" s="229">
        <f>E10/($E$13+0.07)</f>
        <v>0</v>
      </c>
      <c r="N10" s="229">
        <f>F10/($F$13+0.07)</f>
        <v>2.4390243902439025E-2</v>
      </c>
      <c r="O10" s="230">
        <f>G10/($G$13+0.07)</f>
        <v>3.4285714285714287E-2</v>
      </c>
    </row>
    <row r="11" spans="1:15" x14ac:dyDescent="0.2">
      <c r="A11" s="226" t="s">
        <v>467</v>
      </c>
      <c r="B11" s="32"/>
      <c r="C11" s="32"/>
      <c r="D11" s="32">
        <v>0.23</v>
      </c>
      <c r="E11" s="32">
        <v>0.23</v>
      </c>
      <c r="F11" s="32">
        <v>0.35</v>
      </c>
      <c r="G11" s="32">
        <v>0.35</v>
      </c>
      <c r="H11" s="32">
        <v>0.42</v>
      </c>
      <c r="I11" s="227">
        <v>0.42</v>
      </c>
      <c r="J11" s="228"/>
      <c r="K11" s="226" t="s">
        <v>467</v>
      </c>
      <c r="L11" s="229">
        <f>D11/($D$13+0.07)</f>
        <v>0.11616161616161617</v>
      </c>
      <c r="M11" s="229">
        <f>E11/($E$13+0.07)</f>
        <v>0.17164179104477612</v>
      </c>
      <c r="N11" s="229">
        <f>F11/($F$13+0.07)</f>
        <v>0.14227642276422764</v>
      </c>
      <c r="O11" s="230">
        <f>G11/($G$13+0.07)</f>
        <v>0.2</v>
      </c>
    </row>
    <row r="12" spans="1:15" ht="13.5" thickBot="1" x14ac:dyDescent="0.25">
      <c r="A12" s="226" t="s">
        <v>468</v>
      </c>
      <c r="B12" s="32">
        <v>0.3</v>
      </c>
      <c r="C12" s="32">
        <v>0.15</v>
      </c>
      <c r="D12" s="32">
        <v>0.55000000000000004</v>
      </c>
      <c r="E12" s="32">
        <v>0.37</v>
      </c>
      <c r="F12" s="32">
        <v>0.57999999999999996</v>
      </c>
      <c r="G12" s="32">
        <v>0.38</v>
      </c>
      <c r="H12" s="32">
        <v>0.6</v>
      </c>
      <c r="I12" s="227">
        <v>0.4</v>
      </c>
      <c r="J12" s="228"/>
      <c r="K12" s="231" t="s">
        <v>468</v>
      </c>
      <c r="L12" s="232">
        <f>D12/($D$13+0.07)</f>
        <v>0.27777777777777779</v>
      </c>
      <c r="M12" s="232">
        <f>E12/($E$13+0.07)</f>
        <v>0.27611940298507459</v>
      </c>
      <c r="N12" s="232">
        <f>F12/($F$13+0.07)</f>
        <v>0.23577235772357721</v>
      </c>
      <c r="O12" s="233">
        <f>G12/($G$13+0.07)</f>
        <v>0.21714285714285717</v>
      </c>
    </row>
    <row r="13" spans="1:15" s="238" customFormat="1" ht="16.5" thickBot="1" x14ac:dyDescent="0.3">
      <c r="A13" s="234" t="s">
        <v>76</v>
      </c>
      <c r="B13" s="235">
        <f t="shared" ref="B13:I13" si="0">SUM(B8:B12)</f>
        <v>0.85000000000000009</v>
      </c>
      <c r="C13" s="235">
        <f t="shared" si="0"/>
        <v>0.56999999999999995</v>
      </c>
      <c r="D13" s="235">
        <f t="shared" si="0"/>
        <v>1.91</v>
      </c>
      <c r="E13" s="235">
        <f t="shared" si="0"/>
        <v>1.27</v>
      </c>
      <c r="F13" s="235">
        <f t="shared" si="0"/>
        <v>2.39</v>
      </c>
      <c r="G13" s="235">
        <f t="shared" si="0"/>
        <v>1.6799999999999997</v>
      </c>
      <c r="H13" s="235">
        <f t="shared" si="0"/>
        <v>2.82</v>
      </c>
      <c r="I13" s="236">
        <f t="shared" si="0"/>
        <v>2.0499999999999998</v>
      </c>
      <c r="J13" s="237"/>
    </row>
    <row r="15" spans="1:15" ht="13.5" thickBot="1" x14ac:dyDescent="0.25">
      <c r="A15" s="329" t="s">
        <v>469</v>
      </c>
      <c r="B15" s="329"/>
      <c r="C15" s="329"/>
      <c r="D15" s="329"/>
      <c r="E15" s="329"/>
      <c r="F15" s="329"/>
      <c r="G15" s="329"/>
      <c r="H15" s="329"/>
      <c r="I15" s="329"/>
      <c r="J15" s="220"/>
    </row>
    <row r="16" spans="1:15" ht="15.75" x14ac:dyDescent="0.25">
      <c r="A16" s="323" t="s">
        <v>456</v>
      </c>
      <c r="B16" s="324"/>
      <c r="C16" s="324"/>
      <c r="D16" s="324"/>
      <c r="E16" s="324"/>
      <c r="F16" s="324"/>
      <c r="G16" s="324"/>
      <c r="H16" s="324"/>
      <c r="I16" s="325"/>
      <c r="J16" s="220"/>
    </row>
    <row r="17" spans="1:10" x14ac:dyDescent="0.2">
      <c r="A17" s="326" t="s">
        <v>457</v>
      </c>
      <c r="B17" s="321"/>
      <c r="C17" s="321"/>
      <c r="D17" s="321" t="s">
        <v>458</v>
      </c>
      <c r="E17" s="321"/>
      <c r="F17" s="321" t="s">
        <v>459</v>
      </c>
      <c r="G17" s="327"/>
      <c r="H17" s="321" t="s">
        <v>460</v>
      </c>
      <c r="I17" s="328"/>
      <c r="J17" s="220"/>
    </row>
    <row r="18" spans="1:10" x14ac:dyDescent="0.2">
      <c r="A18" s="222"/>
      <c r="B18" s="321" t="s">
        <v>461</v>
      </c>
      <c r="C18" s="321"/>
      <c r="D18" s="321" t="s">
        <v>461</v>
      </c>
      <c r="E18" s="321"/>
      <c r="F18" s="321" t="s">
        <v>461</v>
      </c>
      <c r="G18" s="321"/>
      <c r="H18" s="321" t="s">
        <v>461</v>
      </c>
      <c r="I18" s="322"/>
      <c r="J18" s="223"/>
    </row>
    <row r="19" spans="1:10" x14ac:dyDescent="0.2">
      <c r="A19" s="222"/>
      <c r="B19" s="224" t="s">
        <v>462</v>
      </c>
      <c r="C19" s="224" t="s">
        <v>463</v>
      </c>
      <c r="D19" s="224" t="s">
        <v>462</v>
      </c>
      <c r="E19" s="224" t="s">
        <v>463</v>
      </c>
      <c r="F19" s="224" t="s">
        <v>462</v>
      </c>
      <c r="G19" s="224" t="s">
        <v>463</v>
      </c>
      <c r="H19" s="224" t="s">
        <v>462</v>
      </c>
      <c r="I19" s="225" t="s">
        <v>463</v>
      </c>
      <c r="J19" s="223"/>
    </row>
    <row r="20" spans="1:10" x14ac:dyDescent="0.2">
      <c r="A20" s="226" t="s">
        <v>464</v>
      </c>
      <c r="B20" s="45">
        <f>+B8*1.13</f>
        <v>0.45199999999999996</v>
      </c>
      <c r="C20" s="45">
        <f t="shared" ref="C20:I22" si="1">+C8*1.13</f>
        <v>0.33899999999999997</v>
      </c>
      <c r="D20" s="45">
        <f t="shared" si="1"/>
        <v>0.99439999999999995</v>
      </c>
      <c r="E20" s="45">
        <f t="shared" si="1"/>
        <v>0.53109999999999991</v>
      </c>
      <c r="F20" s="45">
        <f t="shared" si="1"/>
        <v>1.2429999999999999</v>
      </c>
      <c r="G20" s="45">
        <f t="shared" si="1"/>
        <v>0.74580000000000002</v>
      </c>
      <c r="H20" s="45">
        <f t="shared" si="1"/>
        <v>1.4689999999999999</v>
      </c>
      <c r="I20" s="239">
        <f t="shared" si="1"/>
        <v>0.90399999999999991</v>
      </c>
      <c r="J20" s="240"/>
    </row>
    <row r="21" spans="1:10" x14ac:dyDescent="0.2">
      <c r="A21" s="226" t="s">
        <v>465</v>
      </c>
      <c r="B21" s="45">
        <f>+B9*1.13</f>
        <v>0.16949999999999998</v>
      </c>
      <c r="C21" s="45">
        <f t="shared" si="1"/>
        <v>0.13559999999999997</v>
      </c>
      <c r="D21" s="45">
        <f t="shared" si="1"/>
        <v>0.28249999999999997</v>
      </c>
      <c r="E21" s="45">
        <f t="shared" si="1"/>
        <v>0.22599999999999998</v>
      </c>
      <c r="F21" s="45">
        <f t="shared" si="1"/>
        <v>0.33899999999999997</v>
      </c>
      <c r="G21" s="45">
        <f t="shared" si="1"/>
        <v>0.25989999999999996</v>
      </c>
      <c r="H21" s="45">
        <f t="shared" si="1"/>
        <v>0.39549999999999996</v>
      </c>
      <c r="I21" s="239">
        <f t="shared" si="1"/>
        <v>0.31640000000000001</v>
      </c>
      <c r="J21" s="240"/>
    </row>
    <row r="22" spans="1:10" x14ac:dyDescent="0.2">
      <c r="A22" s="226" t="s">
        <v>466</v>
      </c>
      <c r="B22" s="45">
        <f>+B10*1.13</f>
        <v>0</v>
      </c>
      <c r="C22" s="45">
        <f t="shared" si="1"/>
        <v>0</v>
      </c>
      <c r="D22" s="45">
        <f t="shared" si="1"/>
        <v>0</v>
      </c>
      <c r="E22" s="45">
        <f t="shared" si="1"/>
        <v>0</v>
      </c>
      <c r="F22" s="45">
        <f t="shared" si="1"/>
        <v>6.7799999999999985E-2</v>
      </c>
      <c r="G22" s="45">
        <f t="shared" si="1"/>
        <v>6.7799999999999985E-2</v>
      </c>
      <c r="H22" s="45">
        <f t="shared" si="1"/>
        <v>0.16949999999999998</v>
      </c>
      <c r="I22" s="239">
        <f t="shared" si="1"/>
        <v>0.16949999999999998</v>
      </c>
      <c r="J22" s="240"/>
    </row>
    <row r="23" spans="1:10" x14ac:dyDescent="0.2">
      <c r="A23" s="226" t="s">
        <v>467</v>
      </c>
      <c r="B23" s="45">
        <f t="shared" ref="B23:I24" si="2">+B11*1.13</f>
        <v>0</v>
      </c>
      <c r="C23" s="45">
        <f t="shared" si="2"/>
        <v>0</v>
      </c>
      <c r="D23" s="45">
        <f t="shared" si="2"/>
        <v>0.25989999999999996</v>
      </c>
      <c r="E23" s="45">
        <f t="shared" si="2"/>
        <v>0.25989999999999996</v>
      </c>
      <c r="F23" s="45">
        <f t="shared" si="2"/>
        <v>0.39549999999999996</v>
      </c>
      <c r="G23" s="45">
        <f t="shared" si="2"/>
        <v>0.39549999999999996</v>
      </c>
      <c r="H23" s="45">
        <f t="shared" si="2"/>
        <v>0.47459999999999991</v>
      </c>
      <c r="I23" s="239">
        <f t="shared" si="2"/>
        <v>0.47459999999999991</v>
      </c>
      <c r="J23" s="240"/>
    </row>
    <row r="24" spans="1:10" x14ac:dyDescent="0.2">
      <c r="A24" s="226" t="s">
        <v>468</v>
      </c>
      <c r="B24" s="45">
        <f t="shared" si="2"/>
        <v>0.33899999999999997</v>
      </c>
      <c r="C24" s="45">
        <f t="shared" si="2"/>
        <v>0.16949999999999998</v>
      </c>
      <c r="D24" s="45">
        <f t="shared" si="2"/>
        <v>0.62149999999999994</v>
      </c>
      <c r="E24" s="45">
        <f t="shared" si="2"/>
        <v>0.41809999999999997</v>
      </c>
      <c r="F24" s="45">
        <f t="shared" si="2"/>
        <v>0.65539999999999987</v>
      </c>
      <c r="G24" s="45">
        <f t="shared" si="2"/>
        <v>0.42939999999999995</v>
      </c>
      <c r="H24" s="45">
        <f t="shared" si="2"/>
        <v>0.67799999999999994</v>
      </c>
      <c r="I24" s="239">
        <f t="shared" si="2"/>
        <v>0.45199999999999996</v>
      </c>
      <c r="J24" s="240"/>
    </row>
    <row r="25" spans="1:10" ht="16.5" thickBot="1" x14ac:dyDescent="0.3">
      <c r="A25" s="234" t="s">
        <v>76</v>
      </c>
      <c r="B25" s="241">
        <f t="shared" ref="B25:I25" si="3">SUM(B20:B24)</f>
        <v>0.96049999999999991</v>
      </c>
      <c r="C25" s="241">
        <f t="shared" si="3"/>
        <v>0.64409999999999989</v>
      </c>
      <c r="D25" s="241">
        <f t="shared" si="3"/>
        <v>2.1582999999999997</v>
      </c>
      <c r="E25" s="241">
        <f t="shared" si="3"/>
        <v>1.4350999999999998</v>
      </c>
      <c r="F25" s="241">
        <f t="shared" si="3"/>
        <v>2.7006999999999999</v>
      </c>
      <c r="G25" s="241">
        <f t="shared" si="3"/>
        <v>1.8984000000000001</v>
      </c>
      <c r="H25" s="241">
        <f t="shared" si="3"/>
        <v>3.1865999999999994</v>
      </c>
      <c r="I25" s="242">
        <f t="shared" si="3"/>
        <v>2.3164999999999996</v>
      </c>
      <c r="J25" s="243"/>
    </row>
    <row r="28" spans="1:10" ht="13.5" thickBot="1" x14ac:dyDescent="0.25"/>
    <row r="29" spans="1:10" ht="15.75" x14ac:dyDescent="0.25">
      <c r="A29" s="323" t="s">
        <v>470</v>
      </c>
      <c r="B29" s="324"/>
      <c r="C29" s="324"/>
      <c r="D29" s="324"/>
      <c r="E29" s="324"/>
      <c r="F29" s="324"/>
      <c r="G29" s="324"/>
      <c r="H29" s="324"/>
      <c r="I29" s="325"/>
      <c r="J29" s="220"/>
    </row>
    <row r="30" spans="1:10" x14ac:dyDescent="0.2">
      <c r="A30" s="326" t="s">
        <v>457</v>
      </c>
      <c r="B30" s="321"/>
      <c r="C30" s="321"/>
      <c r="D30" s="321" t="s">
        <v>458</v>
      </c>
      <c r="E30" s="321"/>
      <c r="F30" s="321" t="s">
        <v>459</v>
      </c>
      <c r="G30" s="327"/>
      <c r="H30" s="321" t="s">
        <v>460</v>
      </c>
      <c r="I30" s="328"/>
      <c r="J30" s="220"/>
    </row>
    <row r="31" spans="1:10" x14ac:dyDescent="0.2">
      <c r="A31" s="222"/>
      <c r="B31" s="321" t="s">
        <v>461</v>
      </c>
      <c r="C31" s="321"/>
      <c r="D31" s="321" t="s">
        <v>461</v>
      </c>
      <c r="E31" s="321"/>
      <c r="F31" s="321" t="s">
        <v>461</v>
      </c>
      <c r="G31" s="321"/>
      <c r="H31" s="321" t="s">
        <v>461</v>
      </c>
      <c r="I31" s="322"/>
      <c r="J31" s="223"/>
    </row>
    <row r="32" spans="1:10" x14ac:dyDescent="0.2">
      <c r="A32" s="222"/>
      <c r="B32" s="224" t="s">
        <v>462</v>
      </c>
      <c r="C32" s="224" t="s">
        <v>463</v>
      </c>
      <c r="D32" s="224" t="s">
        <v>462</v>
      </c>
      <c r="E32" s="224" t="s">
        <v>463</v>
      </c>
      <c r="F32" s="224" t="s">
        <v>462</v>
      </c>
      <c r="G32" s="224" t="s">
        <v>463</v>
      </c>
      <c r="H32" s="224" t="s">
        <v>462</v>
      </c>
      <c r="I32" s="225" t="s">
        <v>463</v>
      </c>
      <c r="J32" s="223"/>
    </row>
    <row r="33" spans="1:10" x14ac:dyDescent="0.2">
      <c r="A33" s="226" t="s">
        <v>464</v>
      </c>
      <c r="B33" s="45">
        <f>+B20*0.75</f>
        <v>0.33899999999999997</v>
      </c>
      <c r="C33" s="45">
        <f t="shared" ref="C33:I35" si="4">+C20*0.75</f>
        <v>0.25424999999999998</v>
      </c>
      <c r="D33" s="45">
        <f t="shared" si="4"/>
        <v>0.74580000000000002</v>
      </c>
      <c r="E33" s="45">
        <f t="shared" si="4"/>
        <v>0.39832499999999993</v>
      </c>
      <c r="F33" s="45">
        <f t="shared" si="4"/>
        <v>0.93224999999999991</v>
      </c>
      <c r="G33" s="45">
        <f t="shared" si="4"/>
        <v>0.55935000000000001</v>
      </c>
      <c r="H33" s="45">
        <f t="shared" si="4"/>
        <v>1.10175</v>
      </c>
      <c r="I33" s="239">
        <f t="shared" si="4"/>
        <v>0.67799999999999994</v>
      </c>
      <c r="J33" s="240"/>
    </row>
    <row r="34" spans="1:10" x14ac:dyDescent="0.2">
      <c r="A34" s="226" t="s">
        <v>465</v>
      </c>
      <c r="B34" s="45">
        <f>+B21*0.75</f>
        <v>0.12712499999999999</v>
      </c>
      <c r="C34" s="45">
        <f t="shared" si="4"/>
        <v>0.10169999999999998</v>
      </c>
      <c r="D34" s="45">
        <f t="shared" si="4"/>
        <v>0.21187499999999998</v>
      </c>
      <c r="E34" s="45">
        <f t="shared" si="4"/>
        <v>0.16949999999999998</v>
      </c>
      <c r="F34" s="45">
        <f t="shared" si="4"/>
        <v>0.25424999999999998</v>
      </c>
      <c r="G34" s="45">
        <f t="shared" si="4"/>
        <v>0.19492499999999996</v>
      </c>
      <c r="H34" s="45">
        <f t="shared" si="4"/>
        <v>0.29662499999999997</v>
      </c>
      <c r="I34" s="239">
        <f t="shared" si="4"/>
        <v>0.23730000000000001</v>
      </c>
      <c r="J34" s="240"/>
    </row>
    <row r="35" spans="1:10" x14ac:dyDescent="0.2">
      <c r="A35" s="226" t="s">
        <v>466</v>
      </c>
      <c r="B35" s="45">
        <f>+B22*0.75</f>
        <v>0</v>
      </c>
      <c r="C35" s="45">
        <f t="shared" si="4"/>
        <v>0</v>
      </c>
      <c r="D35" s="45">
        <f t="shared" si="4"/>
        <v>0</v>
      </c>
      <c r="E35" s="45">
        <f t="shared" si="4"/>
        <v>0</v>
      </c>
      <c r="F35" s="45">
        <f t="shared" si="4"/>
        <v>5.0849999999999992E-2</v>
      </c>
      <c r="G35" s="45">
        <f t="shared" si="4"/>
        <v>5.0849999999999992E-2</v>
      </c>
      <c r="H35" s="45">
        <f t="shared" si="4"/>
        <v>0.12712499999999999</v>
      </c>
      <c r="I35" s="239">
        <f t="shared" si="4"/>
        <v>0.12712499999999999</v>
      </c>
      <c r="J35" s="240"/>
    </row>
    <row r="36" spans="1:10" x14ac:dyDescent="0.2">
      <c r="A36" s="226" t="s">
        <v>467</v>
      </c>
      <c r="B36" s="45">
        <f t="shared" ref="B36:I37" si="5">+B23*0.75</f>
        <v>0</v>
      </c>
      <c r="C36" s="45">
        <f t="shared" si="5"/>
        <v>0</v>
      </c>
      <c r="D36" s="45">
        <f t="shared" si="5"/>
        <v>0.19492499999999996</v>
      </c>
      <c r="E36" s="45">
        <f t="shared" si="5"/>
        <v>0.19492499999999996</v>
      </c>
      <c r="F36" s="45">
        <f t="shared" si="5"/>
        <v>0.29662499999999997</v>
      </c>
      <c r="G36" s="45">
        <f t="shared" si="5"/>
        <v>0.29662499999999997</v>
      </c>
      <c r="H36" s="45">
        <f t="shared" si="5"/>
        <v>0.35594999999999993</v>
      </c>
      <c r="I36" s="239">
        <f t="shared" si="5"/>
        <v>0.35594999999999993</v>
      </c>
      <c r="J36" s="240"/>
    </row>
    <row r="37" spans="1:10" x14ac:dyDescent="0.2">
      <c r="A37" s="226" t="s">
        <v>468</v>
      </c>
      <c r="B37" s="45">
        <f t="shared" si="5"/>
        <v>0.25424999999999998</v>
      </c>
      <c r="C37" s="45">
        <f t="shared" si="5"/>
        <v>0.12712499999999999</v>
      </c>
      <c r="D37" s="45">
        <f t="shared" si="5"/>
        <v>0.46612499999999996</v>
      </c>
      <c r="E37" s="45">
        <f t="shared" si="5"/>
        <v>0.31357499999999999</v>
      </c>
      <c r="F37" s="45">
        <f t="shared" si="5"/>
        <v>0.49154999999999993</v>
      </c>
      <c r="G37" s="45">
        <f t="shared" si="5"/>
        <v>0.32204999999999995</v>
      </c>
      <c r="H37" s="45">
        <f t="shared" si="5"/>
        <v>0.50849999999999995</v>
      </c>
      <c r="I37" s="239">
        <f t="shared" si="5"/>
        <v>0.33899999999999997</v>
      </c>
      <c r="J37" s="240"/>
    </row>
    <row r="38" spans="1:10" ht="16.5" thickBot="1" x14ac:dyDescent="0.3">
      <c r="A38" s="234" t="s">
        <v>76</v>
      </c>
      <c r="B38" s="241">
        <f t="shared" ref="B38:I38" si="6">SUM(B33:B37)</f>
        <v>0.72037499999999999</v>
      </c>
      <c r="C38" s="241">
        <f t="shared" si="6"/>
        <v>0.48307499999999998</v>
      </c>
      <c r="D38" s="241">
        <f t="shared" si="6"/>
        <v>1.618725</v>
      </c>
      <c r="E38" s="241">
        <f t="shared" si="6"/>
        <v>1.0763249999999998</v>
      </c>
      <c r="F38" s="241">
        <f t="shared" si="6"/>
        <v>2.025525</v>
      </c>
      <c r="G38" s="241">
        <f t="shared" si="6"/>
        <v>1.4238</v>
      </c>
      <c r="H38" s="241">
        <f t="shared" si="6"/>
        <v>2.3899499999999998</v>
      </c>
      <c r="I38" s="242">
        <f t="shared" si="6"/>
        <v>1.7373749999999999</v>
      </c>
      <c r="J38" s="243"/>
    </row>
    <row r="40" spans="1:10" x14ac:dyDescent="0.2">
      <c r="A40" s="245" t="s">
        <v>471</v>
      </c>
      <c r="B40" s="244">
        <f>B38-B33</f>
        <v>0.38137500000000002</v>
      </c>
      <c r="C40" s="244">
        <f t="shared" ref="C40:I40" si="7">C38-C33</f>
        <v>0.228825</v>
      </c>
      <c r="D40" s="244">
        <f t="shared" si="7"/>
        <v>0.87292499999999995</v>
      </c>
      <c r="E40" s="244">
        <f t="shared" si="7"/>
        <v>0.67799999999999983</v>
      </c>
      <c r="F40" s="244">
        <f t="shared" si="7"/>
        <v>1.0932750000000002</v>
      </c>
      <c r="G40" s="244">
        <f t="shared" si="7"/>
        <v>0.86444999999999994</v>
      </c>
      <c r="H40" s="244">
        <f t="shared" si="7"/>
        <v>1.2881999999999998</v>
      </c>
      <c r="I40" s="244">
        <f t="shared" si="7"/>
        <v>1.059375</v>
      </c>
    </row>
    <row r="43" spans="1:10" x14ac:dyDescent="0.2">
      <c r="B43" t="s">
        <v>505</v>
      </c>
      <c r="D43">
        <v>0.75</v>
      </c>
    </row>
  </sheetData>
  <mergeCells count="33">
    <mergeCell ref="A3:I3"/>
    <mergeCell ref="A4:I4"/>
    <mergeCell ref="A5:C5"/>
    <mergeCell ref="D5:E5"/>
    <mergeCell ref="F5:G5"/>
    <mergeCell ref="H5:I5"/>
    <mergeCell ref="L5:M5"/>
    <mergeCell ref="N5:O5"/>
    <mergeCell ref="B6:C6"/>
    <mergeCell ref="D6:E6"/>
    <mergeCell ref="F6:G6"/>
    <mergeCell ref="H6:I6"/>
    <mergeCell ref="L6:M6"/>
    <mergeCell ref="N6:O6"/>
    <mergeCell ref="A15:I15"/>
    <mergeCell ref="A16:I16"/>
    <mergeCell ref="A17:C17"/>
    <mergeCell ref="D17:E17"/>
    <mergeCell ref="F17:G17"/>
    <mergeCell ref="H17:I17"/>
    <mergeCell ref="B31:C31"/>
    <mergeCell ref="D31:E31"/>
    <mergeCell ref="F31:G31"/>
    <mergeCell ref="H31:I31"/>
    <mergeCell ref="B18:C18"/>
    <mergeCell ref="D18:E18"/>
    <mergeCell ref="F18:G18"/>
    <mergeCell ref="H18:I18"/>
    <mergeCell ref="A29:I29"/>
    <mergeCell ref="A30:C30"/>
    <mergeCell ref="D30:E30"/>
    <mergeCell ref="F30:G30"/>
    <mergeCell ref="H30:I30"/>
  </mergeCells>
  <pageMargins left="0.25" right="0.25" top="0.75" bottom="0.75" header="0.3" footer="0.3"/>
  <pageSetup paperSize="9" scale="98"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2"/>
  <sheetViews>
    <sheetView rightToLeft="1" topLeftCell="A37" workbookViewId="0">
      <selection activeCell="H47" sqref="H47"/>
    </sheetView>
  </sheetViews>
  <sheetFormatPr defaultRowHeight="15" x14ac:dyDescent="0.2"/>
  <cols>
    <col min="1" max="1" width="21.7109375" style="305" bestFit="1" customWidth="1"/>
    <col min="2" max="2" width="14.5703125" style="306" customWidth="1"/>
    <col min="3" max="3" width="0" style="250" hidden="1" customWidth="1"/>
    <col min="4" max="4" width="1" style="250" hidden="1" customWidth="1"/>
    <col min="5" max="5" width="12.28515625" style="307" customWidth="1"/>
    <col min="6" max="16384" width="9.140625" style="250"/>
  </cols>
  <sheetData>
    <row r="1" spans="1:5" ht="45" x14ac:dyDescent="0.2">
      <c r="A1" s="290" t="s">
        <v>513</v>
      </c>
      <c r="B1" s="290" t="s">
        <v>514</v>
      </c>
      <c r="C1" s="291" t="s">
        <v>515</v>
      </c>
      <c r="D1" s="291"/>
      <c r="E1" s="292" t="s">
        <v>516</v>
      </c>
    </row>
    <row r="2" spans="1:5" ht="14.25" x14ac:dyDescent="0.2">
      <c r="A2" s="293" t="s">
        <v>517</v>
      </c>
      <c r="B2" s="294">
        <v>3</v>
      </c>
      <c r="C2" s="295" t="e">
        <f>+VLOOKUP(A2,#REF!,3,0)</f>
        <v>#REF!</v>
      </c>
      <c r="D2" s="295" t="e">
        <f t="shared" ref="D2:D65" si="0">+C2-B2</f>
        <v>#REF!</v>
      </c>
      <c r="E2" s="296">
        <v>5279</v>
      </c>
    </row>
    <row r="3" spans="1:5" ht="14.25" x14ac:dyDescent="0.2">
      <c r="A3" s="297" t="s">
        <v>518</v>
      </c>
      <c r="B3" s="294">
        <v>3</v>
      </c>
      <c r="C3" s="295" t="e">
        <f>+VLOOKUP(A3,#REF!,3,0)</f>
        <v>#REF!</v>
      </c>
      <c r="D3" s="295" t="e">
        <f t="shared" si="0"/>
        <v>#REF!</v>
      </c>
      <c r="E3" s="296">
        <v>10948</v>
      </c>
    </row>
    <row r="4" spans="1:5" ht="14.25" x14ac:dyDescent="0.2">
      <c r="A4" s="297" t="s">
        <v>519</v>
      </c>
      <c r="B4" s="294">
        <v>8</v>
      </c>
      <c r="C4" s="295" t="e">
        <f>+VLOOKUP(A4,#REF!,3,0)</f>
        <v>#REF!</v>
      </c>
      <c r="D4" s="295" t="e">
        <f t="shared" si="0"/>
        <v>#REF!</v>
      </c>
      <c r="E4" s="296">
        <v>8675</v>
      </c>
    </row>
    <row r="5" spans="1:5" ht="14.25" x14ac:dyDescent="0.2">
      <c r="A5" s="298" t="s">
        <v>520</v>
      </c>
      <c r="B5" s="299">
        <v>2</v>
      </c>
      <c r="C5" s="295" t="e">
        <f>+VLOOKUP(A5,#REF!,3,0)</f>
        <v>#REF!</v>
      </c>
      <c r="D5" s="295" t="e">
        <f t="shared" si="0"/>
        <v>#REF!</v>
      </c>
      <c r="E5" s="296">
        <v>39046</v>
      </c>
    </row>
    <row r="6" spans="1:5" ht="14.25" x14ac:dyDescent="0.2">
      <c r="A6" s="298" t="s">
        <v>204</v>
      </c>
      <c r="B6" s="300">
        <v>3</v>
      </c>
      <c r="C6" s="295" t="e">
        <f>+VLOOKUP(A6,#REF!,3,0)</f>
        <v>#REF!</v>
      </c>
      <c r="D6" s="295" t="e">
        <f t="shared" si="0"/>
        <v>#REF!</v>
      </c>
      <c r="E6" s="296">
        <v>23694</v>
      </c>
    </row>
    <row r="7" spans="1:5" ht="14.25" x14ac:dyDescent="0.2">
      <c r="A7" s="298" t="s">
        <v>211</v>
      </c>
      <c r="B7" s="300">
        <v>5</v>
      </c>
      <c r="C7" s="295" t="e">
        <f>+VLOOKUP(A7,#REF!,3,0)</f>
        <v>#REF!</v>
      </c>
      <c r="D7" s="295" t="e">
        <f t="shared" si="0"/>
        <v>#REF!</v>
      </c>
      <c r="E7" s="296">
        <v>29421</v>
      </c>
    </row>
    <row r="8" spans="1:5" ht="14.25" x14ac:dyDescent="0.2">
      <c r="A8" s="298" t="s">
        <v>33</v>
      </c>
      <c r="B8" s="300">
        <v>4</v>
      </c>
      <c r="C8" s="295" t="e">
        <f>+VLOOKUP(A8,#REF!,3,0)</f>
        <v>#REF!</v>
      </c>
      <c r="D8" s="295" t="e">
        <f t="shared" si="0"/>
        <v>#REF!</v>
      </c>
      <c r="E8" s="296">
        <v>15673</v>
      </c>
    </row>
    <row r="9" spans="1:5" ht="14.25" x14ac:dyDescent="0.2">
      <c r="A9" s="297" t="s">
        <v>521</v>
      </c>
      <c r="B9" s="294">
        <v>8</v>
      </c>
      <c r="C9" s="295" t="e">
        <f>+VLOOKUP(A9,#REF!,3,0)</f>
        <v>#REF!</v>
      </c>
      <c r="D9" s="295" t="e">
        <f t="shared" si="0"/>
        <v>#REF!</v>
      </c>
      <c r="E9" s="296">
        <v>5316</v>
      </c>
    </row>
    <row r="10" spans="1:5" ht="14.25" x14ac:dyDescent="0.2">
      <c r="A10" s="297" t="s">
        <v>522</v>
      </c>
      <c r="B10" s="294">
        <v>6</v>
      </c>
      <c r="C10" s="295" t="e">
        <f>+VLOOKUP(A10,#REF!,3,0)</f>
        <v>#REF!</v>
      </c>
      <c r="D10" s="295" t="e">
        <f t="shared" si="0"/>
        <v>#REF!</v>
      </c>
      <c r="E10" s="296">
        <v>9895</v>
      </c>
    </row>
    <row r="11" spans="1:5" ht="14.25" x14ac:dyDescent="0.2">
      <c r="A11" s="297" t="s">
        <v>523</v>
      </c>
      <c r="B11" s="300">
        <v>5</v>
      </c>
      <c r="C11" s="295" t="e">
        <f>+VLOOKUP(A11,#REF!,3,0)</f>
        <v>#REF!</v>
      </c>
      <c r="D11" s="295" t="e">
        <f t="shared" si="0"/>
        <v>#REF!</v>
      </c>
      <c r="E11" s="296">
        <v>43547</v>
      </c>
    </row>
    <row r="12" spans="1:5" ht="14.25" x14ac:dyDescent="0.2">
      <c r="A12" s="297" t="s">
        <v>524</v>
      </c>
      <c r="B12" s="294">
        <v>2</v>
      </c>
      <c r="C12" s="295" t="e">
        <f>+VLOOKUP(A12,#REF!,3,0)</f>
        <v>#REF!</v>
      </c>
      <c r="D12" s="295" t="e">
        <f t="shared" si="0"/>
        <v>#REF!</v>
      </c>
      <c r="E12" s="296">
        <v>10623</v>
      </c>
    </row>
    <row r="13" spans="1:5" ht="14.25" x14ac:dyDescent="0.2">
      <c r="A13" s="297" t="s">
        <v>13</v>
      </c>
      <c r="B13" s="294">
        <v>5</v>
      </c>
      <c r="C13" s="295" t="e">
        <f>+VLOOKUP(A13,#REF!,3,0)</f>
        <v>#REF!</v>
      </c>
      <c r="D13" s="295" t="e">
        <f t="shared" si="0"/>
        <v>#REF!</v>
      </c>
      <c r="E13" s="296">
        <v>2499</v>
      </c>
    </row>
    <row r="14" spans="1:5" ht="14.25" x14ac:dyDescent="0.2">
      <c r="A14" s="298" t="s">
        <v>216</v>
      </c>
      <c r="B14" s="300">
        <v>2</v>
      </c>
      <c r="C14" s="295" t="e">
        <f>+VLOOKUP(A14,#REF!,3,0)</f>
        <v>#REF!</v>
      </c>
      <c r="D14" s="295" t="e">
        <f t="shared" si="0"/>
        <v>#REF!</v>
      </c>
      <c r="E14" s="296">
        <v>18968</v>
      </c>
    </row>
    <row r="15" spans="1:5" ht="14.25" x14ac:dyDescent="0.2">
      <c r="A15" s="297" t="s">
        <v>525</v>
      </c>
      <c r="B15" s="294">
        <v>8</v>
      </c>
      <c r="C15" s="295" t="e">
        <f>+VLOOKUP(A15,#REF!,3,0)</f>
        <v>#REF!</v>
      </c>
      <c r="D15" s="295" t="e">
        <f t="shared" si="0"/>
        <v>#REF!</v>
      </c>
      <c r="E15" s="296">
        <v>5347</v>
      </c>
    </row>
    <row r="16" spans="1:5" ht="14.25" x14ac:dyDescent="0.2">
      <c r="A16" s="297" t="s">
        <v>526</v>
      </c>
      <c r="B16" s="294">
        <v>8</v>
      </c>
      <c r="C16" s="295" t="e">
        <f>+VLOOKUP(A16,#REF!,3,0)</f>
        <v>#REF!</v>
      </c>
      <c r="D16" s="295" t="e">
        <f t="shared" si="0"/>
        <v>#REF!</v>
      </c>
      <c r="E16" s="296">
        <v>3050</v>
      </c>
    </row>
    <row r="17" spans="1:5" ht="14.25" x14ac:dyDescent="0.2">
      <c r="A17" s="297" t="s">
        <v>527</v>
      </c>
      <c r="B17" s="294">
        <v>3</v>
      </c>
      <c r="C17" s="295" t="e">
        <f>+VLOOKUP(A17,#REF!,3,0)</f>
        <v>#REF!</v>
      </c>
      <c r="D17" s="295" t="e">
        <f t="shared" si="0"/>
        <v>#REF!</v>
      </c>
      <c r="E17" s="296">
        <v>10264</v>
      </c>
    </row>
    <row r="18" spans="1:5" ht="14.25" x14ac:dyDescent="0.2">
      <c r="A18" s="297" t="s">
        <v>528</v>
      </c>
      <c r="B18" s="294">
        <v>7</v>
      </c>
      <c r="C18" s="295" t="e">
        <f>+VLOOKUP(A18,#REF!,3,0)</f>
        <v>#REF!</v>
      </c>
      <c r="D18" s="295" t="e">
        <f t="shared" si="0"/>
        <v>#REF!</v>
      </c>
      <c r="E18" s="296">
        <v>7037</v>
      </c>
    </row>
    <row r="19" spans="1:5" ht="14.25" x14ac:dyDescent="0.2">
      <c r="A19" s="298" t="s">
        <v>125</v>
      </c>
      <c r="B19" s="300">
        <v>5</v>
      </c>
      <c r="C19" s="295" t="e">
        <f>+VLOOKUP(A19,#REF!,3,0)</f>
        <v>#REF!</v>
      </c>
      <c r="D19" s="295" t="e">
        <f t="shared" si="0"/>
        <v>#REF!</v>
      </c>
      <c r="E19" s="296">
        <v>16503</v>
      </c>
    </row>
    <row r="20" spans="1:5" ht="14.25" x14ac:dyDescent="0.2">
      <c r="A20" s="298" t="s">
        <v>529</v>
      </c>
      <c r="B20" s="300">
        <v>5</v>
      </c>
      <c r="C20" s="295" t="e">
        <f>+VLOOKUP(A20,#REF!,3,0)</f>
        <v>#REF!</v>
      </c>
      <c r="D20" s="295" t="e">
        <f t="shared" si="0"/>
        <v>#REF!</v>
      </c>
      <c r="E20" s="296">
        <v>192038</v>
      </c>
    </row>
    <row r="21" spans="1:5" ht="14.25" x14ac:dyDescent="0.2">
      <c r="A21" s="298" t="s">
        <v>530</v>
      </c>
      <c r="B21" s="300">
        <v>5</v>
      </c>
      <c r="C21" s="295" t="e">
        <f>+VLOOKUP(A21,#REF!,3,0)</f>
        <v>#REF!</v>
      </c>
      <c r="D21" s="295" t="e">
        <f t="shared" si="0"/>
        <v>#REF!</v>
      </c>
      <c r="E21" s="296">
        <v>104482</v>
      </c>
    </row>
    <row r="22" spans="1:5" ht="14.25" x14ac:dyDescent="0.2">
      <c r="A22" s="298" t="s">
        <v>531</v>
      </c>
      <c r="B22" s="300">
        <v>3</v>
      </c>
      <c r="C22" s="295" t="e">
        <f>+VLOOKUP(A22,#REF!,3,0)</f>
        <v>#REF!</v>
      </c>
      <c r="D22" s="295" t="e">
        <f t="shared" si="0"/>
        <v>#REF!</v>
      </c>
      <c r="E22" s="296">
        <v>0</v>
      </c>
    </row>
    <row r="23" spans="1:5" ht="14.25" x14ac:dyDescent="0.2">
      <c r="A23" s="297" t="s">
        <v>431</v>
      </c>
      <c r="B23" s="294">
        <v>6</v>
      </c>
      <c r="C23" s="295" t="e">
        <f>+VLOOKUP(A23,#REF!,3,0)</f>
        <v>#REF!</v>
      </c>
      <c r="D23" s="295" t="e">
        <f t="shared" si="0"/>
        <v>#REF!</v>
      </c>
      <c r="E23" s="296">
        <v>8706</v>
      </c>
    </row>
    <row r="24" spans="1:5" ht="14.25" x14ac:dyDescent="0.2">
      <c r="A24" s="298" t="s">
        <v>203</v>
      </c>
      <c r="B24" s="300">
        <v>5</v>
      </c>
      <c r="C24" s="295" t="e">
        <f>+VLOOKUP(A24,#REF!,3,0)</f>
        <v>#REF!</v>
      </c>
      <c r="D24" s="295" t="e">
        <f t="shared" si="0"/>
        <v>#REF!</v>
      </c>
      <c r="E24" s="296">
        <v>183018</v>
      </c>
    </row>
    <row r="25" spans="1:5" ht="14.25" x14ac:dyDescent="0.2">
      <c r="A25" s="297" t="s">
        <v>133</v>
      </c>
      <c r="B25" s="294">
        <v>2</v>
      </c>
      <c r="C25" s="295" t="e">
        <f>+VLOOKUP(A25,#REF!,3,0)</f>
        <v>#REF!</v>
      </c>
      <c r="D25" s="295" t="e">
        <f t="shared" si="0"/>
        <v>#REF!</v>
      </c>
      <c r="E25" s="296">
        <v>0</v>
      </c>
    </row>
    <row r="26" spans="1:5" ht="14.25" x14ac:dyDescent="0.2">
      <c r="A26" s="297" t="s">
        <v>300</v>
      </c>
      <c r="B26" s="294">
        <v>2</v>
      </c>
      <c r="C26" s="295" t="e">
        <f>+VLOOKUP(A26,#REF!,3,0)</f>
        <v>#REF!</v>
      </c>
      <c r="D26" s="295" t="e">
        <f t="shared" si="0"/>
        <v>#REF!</v>
      </c>
      <c r="E26" s="296">
        <v>5214</v>
      </c>
    </row>
    <row r="27" spans="1:5" ht="14.25" x14ac:dyDescent="0.2">
      <c r="A27" s="297" t="s">
        <v>532</v>
      </c>
      <c r="B27" s="294">
        <v>2</v>
      </c>
      <c r="C27" s="295" t="e">
        <f>+VLOOKUP(A27,#REF!,3,0)</f>
        <v>#REF!</v>
      </c>
      <c r="D27" s="295" t="e">
        <f t="shared" si="0"/>
        <v>#REF!</v>
      </c>
      <c r="E27" s="296">
        <v>6650</v>
      </c>
    </row>
    <row r="28" spans="1:5" ht="14.25" x14ac:dyDescent="0.2">
      <c r="A28" s="297" t="s">
        <v>533</v>
      </c>
      <c r="B28" s="294">
        <v>5</v>
      </c>
      <c r="C28" s="295" t="e">
        <f>+VLOOKUP(A28,#REF!,3,0)</f>
        <v>#REF!</v>
      </c>
      <c r="D28" s="295" t="e">
        <f t="shared" si="0"/>
        <v>#REF!</v>
      </c>
      <c r="E28" s="296">
        <v>4627</v>
      </c>
    </row>
    <row r="29" spans="1:5" ht="14.25" x14ac:dyDescent="0.2">
      <c r="A29" s="297" t="s">
        <v>534</v>
      </c>
      <c r="B29" s="294">
        <v>7</v>
      </c>
      <c r="C29" s="295" t="e">
        <f>+VLOOKUP(A29,#REF!,3,0)</f>
        <v>#REF!</v>
      </c>
      <c r="D29" s="295" t="e">
        <f t="shared" si="0"/>
        <v>#REF!</v>
      </c>
      <c r="E29" s="296">
        <v>3392</v>
      </c>
    </row>
    <row r="30" spans="1:5" ht="14.25" x14ac:dyDescent="0.2">
      <c r="A30" s="297" t="s">
        <v>535</v>
      </c>
      <c r="B30" s="294">
        <v>2</v>
      </c>
      <c r="C30" s="295" t="e">
        <f>+VLOOKUP(A30,#REF!,3,0)</f>
        <v>#REF!</v>
      </c>
      <c r="D30" s="295" t="e">
        <f t="shared" si="0"/>
        <v>#REF!</v>
      </c>
      <c r="E30" s="296">
        <v>9626</v>
      </c>
    </row>
    <row r="31" spans="1:5" ht="14.25" x14ac:dyDescent="0.2">
      <c r="A31" s="297" t="s">
        <v>210</v>
      </c>
      <c r="B31" s="294">
        <v>7</v>
      </c>
      <c r="C31" s="295" t="e">
        <f>+VLOOKUP(A31,#REF!,3,0)</f>
        <v>#REF!</v>
      </c>
      <c r="D31" s="295" t="e">
        <f t="shared" si="0"/>
        <v>#REF!</v>
      </c>
      <c r="E31" s="296">
        <v>5236</v>
      </c>
    </row>
    <row r="32" spans="1:5" ht="14.25" x14ac:dyDescent="0.2">
      <c r="A32" s="298" t="s">
        <v>1</v>
      </c>
      <c r="B32" s="300">
        <v>4</v>
      </c>
      <c r="C32" s="295" t="e">
        <f>+VLOOKUP(A32,#REF!,3,0)</f>
        <v>#REF!</v>
      </c>
      <c r="D32" s="295" t="e">
        <f t="shared" si="0"/>
        <v>#REF!</v>
      </c>
      <c r="E32" s="296">
        <v>16096</v>
      </c>
    </row>
    <row r="33" spans="1:5" ht="14.25" x14ac:dyDescent="0.2">
      <c r="A33" s="298" t="s">
        <v>4</v>
      </c>
      <c r="B33" s="300">
        <v>3</v>
      </c>
      <c r="C33" s="295" t="e">
        <f>+VLOOKUP(A33,#REF!,3,0)</f>
        <v>#REF!</v>
      </c>
      <c r="D33" s="295" t="e">
        <f t="shared" si="0"/>
        <v>#REF!</v>
      </c>
      <c r="E33" s="296">
        <v>57046</v>
      </c>
    </row>
    <row r="34" spans="1:5" ht="14.25" x14ac:dyDescent="0.2">
      <c r="A34" s="298" t="s">
        <v>536</v>
      </c>
      <c r="B34" s="300">
        <v>1</v>
      </c>
      <c r="C34" s="295" t="e">
        <f>+VLOOKUP(A34,#REF!,3,0)</f>
        <v>#REF!</v>
      </c>
      <c r="D34" s="295" t="e">
        <f t="shared" si="0"/>
        <v>#REF!</v>
      </c>
      <c r="E34" s="296">
        <v>22926</v>
      </c>
    </row>
    <row r="35" spans="1:5" ht="14.25" x14ac:dyDescent="0.2">
      <c r="A35" s="298" t="s">
        <v>149</v>
      </c>
      <c r="B35" s="300">
        <v>3</v>
      </c>
      <c r="C35" s="295" t="e">
        <f>+VLOOKUP(A35,#REF!,3,0)</f>
        <v>#REF!</v>
      </c>
      <c r="D35" s="295" t="e">
        <f t="shared" si="0"/>
        <v>#REF!</v>
      </c>
      <c r="E35" s="296">
        <v>139634</v>
      </c>
    </row>
    <row r="36" spans="1:5" ht="14.25" x14ac:dyDescent="0.2">
      <c r="A36" s="301" t="s">
        <v>537</v>
      </c>
      <c r="B36" s="294">
        <v>5</v>
      </c>
      <c r="C36" s="295" t="e">
        <f>+VLOOKUP(A36,#REF!,3,0)</f>
        <v>#REF!</v>
      </c>
      <c r="D36" s="295" t="e">
        <f t="shared" si="0"/>
        <v>#REF!</v>
      </c>
      <c r="E36" s="296">
        <v>7668</v>
      </c>
    </row>
    <row r="37" spans="1:5" ht="14.25" x14ac:dyDescent="0.2">
      <c r="A37" s="275" t="s">
        <v>508</v>
      </c>
      <c r="B37" s="294">
        <v>8</v>
      </c>
      <c r="C37" s="295" t="e">
        <f>+VLOOKUP(A37,#REF!,3,0)</f>
        <v>#REF!</v>
      </c>
      <c r="D37" s="295" t="e">
        <f t="shared" si="0"/>
        <v>#REF!</v>
      </c>
      <c r="E37" s="296">
        <v>9313</v>
      </c>
    </row>
    <row r="38" spans="1:5" ht="14.25" x14ac:dyDescent="0.2">
      <c r="A38" s="297" t="s">
        <v>179</v>
      </c>
      <c r="B38" s="294">
        <v>2</v>
      </c>
      <c r="C38" s="295" t="e">
        <f>+VLOOKUP(A38,#REF!,3,0)</f>
        <v>#REF!</v>
      </c>
      <c r="D38" s="295" t="e">
        <f t="shared" si="0"/>
        <v>#REF!</v>
      </c>
      <c r="E38" s="296">
        <v>6985</v>
      </c>
    </row>
    <row r="39" spans="1:5" ht="14.25" x14ac:dyDescent="0.2">
      <c r="A39" s="297" t="s">
        <v>260</v>
      </c>
      <c r="B39" s="294">
        <v>2</v>
      </c>
      <c r="C39" s="295" t="e">
        <f>+VLOOKUP(A39,#REF!,3,0)</f>
        <v>#REF!</v>
      </c>
      <c r="D39" s="295" t="e">
        <f t="shared" si="0"/>
        <v>#REF!</v>
      </c>
      <c r="E39" s="296">
        <v>5900</v>
      </c>
    </row>
    <row r="40" spans="1:5" ht="14.25" x14ac:dyDescent="0.2">
      <c r="A40" s="297" t="s">
        <v>538</v>
      </c>
      <c r="B40" s="302">
        <v>2</v>
      </c>
      <c r="C40" s="295" t="e">
        <f>+VLOOKUP(A40,#REF!,3,0)</f>
        <v>#REF!</v>
      </c>
      <c r="D40" s="295" t="e">
        <f t="shared" si="0"/>
        <v>#REF!</v>
      </c>
      <c r="E40" s="296">
        <v>7296</v>
      </c>
    </row>
    <row r="41" spans="1:5" ht="14.25" x14ac:dyDescent="0.2">
      <c r="A41" s="297" t="s">
        <v>151</v>
      </c>
      <c r="B41" s="300">
        <v>5</v>
      </c>
      <c r="C41" s="295" t="e">
        <f>+VLOOKUP(A41,#REF!,3,0)</f>
        <v>#REF!</v>
      </c>
      <c r="D41" s="295" t="e">
        <f t="shared" si="0"/>
        <v>#REF!</v>
      </c>
      <c r="E41" s="296">
        <v>131917</v>
      </c>
    </row>
    <row r="42" spans="1:5" ht="14.25" x14ac:dyDescent="0.2">
      <c r="A42" s="297" t="s">
        <v>539</v>
      </c>
      <c r="B42" s="294">
        <v>2</v>
      </c>
      <c r="C42" s="295" t="e">
        <f>+VLOOKUP(A42,#REF!,3,0)</f>
        <v>#REF!</v>
      </c>
      <c r="D42" s="295" t="e">
        <f t="shared" si="0"/>
        <v>#REF!</v>
      </c>
      <c r="E42" s="296">
        <v>16855</v>
      </c>
    </row>
    <row r="43" spans="1:5" ht="14.25" x14ac:dyDescent="0.2">
      <c r="A43" s="297" t="s">
        <v>99</v>
      </c>
      <c r="B43" s="294">
        <v>3</v>
      </c>
      <c r="C43" s="295" t="e">
        <f>+VLOOKUP(A43,#REF!,3,0)</f>
        <v>#REF!</v>
      </c>
      <c r="D43" s="295" t="e">
        <f t="shared" si="0"/>
        <v>#REF!</v>
      </c>
      <c r="E43" s="296">
        <v>5091</v>
      </c>
    </row>
    <row r="44" spans="1:5" ht="14.25" x14ac:dyDescent="0.2">
      <c r="A44" s="297" t="s">
        <v>540</v>
      </c>
      <c r="B44" s="294">
        <v>2</v>
      </c>
      <c r="C44" s="295" t="e">
        <f>+VLOOKUP(A44,#REF!,3,0)</f>
        <v>#REF!</v>
      </c>
      <c r="D44" s="295" t="e">
        <f t="shared" si="0"/>
        <v>#REF!</v>
      </c>
      <c r="E44" s="296">
        <v>7112</v>
      </c>
    </row>
    <row r="45" spans="1:5" ht="14.25" x14ac:dyDescent="0.2">
      <c r="A45" s="284" t="s">
        <v>309</v>
      </c>
      <c r="B45" s="294">
        <v>1</v>
      </c>
      <c r="C45" s="295" t="e">
        <f>+VLOOKUP(A45,#REF!,3,0)</f>
        <v>#REF!</v>
      </c>
      <c r="D45" s="295" t="e">
        <f t="shared" si="0"/>
        <v>#REF!</v>
      </c>
      <c r="E45" s="296">
        <v>10483</v>
      </c>
    </row>
    <row r="46" spans="1:5" ht="14.25" x14ac:dyDescent="0.2">
      <c r="A46" s="297" t="s">
        <v>541</v>
      </c>
      <c r="B46" s="294">
        <v>5</v>
      </c>
      <c r="C46" s="295" t="e">
        <f>+VLOOKUP(A46,#REF!,3,0)</f>
        <v>#REF!</v>
      </c>
      <c r="D46" s="295" t="e">
        <f t="shared" si="0"/>
        <v>#REF!</v>
      </c>
      <c r="E46" s="296">
        <v>2593</v>
      </c>
    </row>
    <row r="47" spans="1:5" ht="14.25" x14ac:dyDescent="0.2">
      <c r="A47" s="297" t="s">
        <v>542</v>
      </c>
      <c r="B47" s="302">
        <v>3</v>
      </c>
      <c r="C47" s="295" t="e">
        <f>+VLOOKUP(A47,#REF!,3,0)</f>
        <v>#REF!</v>
      </c>
      <c r="D47" s="295" t="e">
        <f t="shared" si="0"/>
        <v>#REF!</v>
      </c>
      <c r="E47" s="296">
        <v>29388</v>
      </c>
    </row>
    <row r="48" spans="1:5" ht="14.25" x14ac:dyDescent="0.2">
      <c r="A48" s="297" t="s">
        <v>543</v>
      </c>
      <c r="B48" s="294">
        <v>5</v>
      </c>
      <c r="C48" s="295" t="e">
        <f>+VLOOKUP(A48,#REF!,3,0)</f>
        <v>#REF!</v>
      </c>
      <c r="D48" s="295" t="e">
        <f t="shared" si="0"/>
        <v>#REF!</v>
      </c>
      <c r="E48" s="296">
        <v>10790</v>
      </c>
    </row>
    <row r="49" spans="1:7" ht="14.25" x14ac:dyDescent="0.2">
      <c r="A49" s="298" t="s">
        <v>421</v>
      </c>
      <c r="B49" s="300">
        <v>8</v>
      </c>
      <c r="C49" s="295" t="e">
        <f>+VLOOKUP(A49,#REF!,3,0)</f>
        <v>#REF!</v>
      </c>
      <c r="D49" s="295" t="e">
        <f t="shared" si="0"/>
        <v>#REF!</v>
      </c>
      <c r="E49" s="296">
        <v>16544</v>
      </c>
    </row>
    <row r="50" spans="1:7" ht="14.25" x14ac:dyDescent="0.2">
      <c r="A50" s="298" t="s">
        <v>153</v>
      </c>
      <c r="B50" s="300">
        <v>8</v>
      </c>
      <c r="C50" s="295" t="e">
        <f>+VLOOKUP(A50,#REF!,3,0)</f>
        <v>#REF!</v>
      </c>
      <c r="D50" s="295" t="e">
        <f t="shared" si="0"/>
        <v>#REF!</v>
      </c>
      <c r="E50" s="296">
        <v>47202</v>
      </c>
      <c r="G50" s="303"/>
    </row>
    <row r="51" spans="1:7" ht="14.25" x14ac:dyDescent="0.2">
      <c r="A51" s="304" t="s">
        <v>6</v>
      </c>
      <c r="B51" s="294">
        <v>6</v>
      </c>
      <c r="C51" s="295" t="e">
        <f>+VLOOKUP(A51,#REF!,3,0)</f>
        <v>#REF!</v>
      </c>
      <c r="D51" s="295" t="e">
        <f t="shared" si="0"/>
        <v>#REF!</v>
      </c>
      <c r="E51" s="296">
        <v>12649</v>
      </c>
      <c r="G51" s="303"/>
    </row>
    <row r="52" spans="1:7" ht="14.25" x14ac:dyDescent="0.2">
      <c r="A52" s="297" t="s">
        <v>168</v>
      </c>
      <c r="B52" s="294">
        <v>6</v>
      </c>
      <c r="C52" s="295" t="e">
        <f>+VLOOKUP(A52,#REF!,3,0)</f>
        <v>#REF!</v>
      </c>
      <c r="D52" s="295" t="e">
        <f t="shared" si="0"/>
        <v>#REF!</v>
      </c>
      <c r="E52" s="296">
        <v>13074</v>
      </c>
    </row>
    <row r="53" spans="1:7" ht="14.25" x14ac:dyDescent="0.2">
      <c r="A53" s="297" t="s">
        <v>213</v>
      </c>
      <c r="B53" s="294">
        <v>8</v>
      </c>
      <c r="C53" s="295" t="e">
        <f>+VLOOKUP(A53,#REF!,3,0)</f>
        <v>#REF!</v>
      </c>
      <c r="D53" s="295" t="e">
        <f t="shared" si="0"/>
        <v>#REF!</v>
      </c>
      <c r="E53" s="296">
        <v>11843</v>
      </c>
    </row>
    <row r="54" spans="1:7" ht="14.25" x14ac:dyDescent="0.2">
      <c r="A54" s="249" t="s">
        <v>310</v>
      </c>
      <c r="B54" s="302">
        <v>3</v>
      </c>
      <c r="C54" s="295" t="e">
        <f>+VLOOKUP(#REF!,#REF!,3,0)</f>
        <v>#REF!</v>
      </c>
      <c r="D54" s="295" t="e">
        <f t="shared" si="0"/>
        <v>#REF!</v>
      </c>
      <c r="E54" s="296">
        <v>23219</v>
      </c>
    </row>
    <row r="55" spans="1:7" ht="14.25" x14ac:dyDescent="0.2">
      <c r="A55" s="297" t="s">
        <v>544</v>
      </c>
      <c r="B55" s="294">
        <v>2</v>
      </c>
      <c r="C55" s="295" t="e">
        <f>+VLOOKUP(A55,#REF!,3,0)</f>
        <v>#REF!</v>
      </c>
      <c r="D55" s="295" t="e">
        <f t="shared" si="0"/>
        <v>#REF!</v>
      </c>
      <c r="E55" s="296">
        <v>7902</v>
      </c>
    </row>
    <row r="56" spans="1:7" ht="14.25" x14ac:dyDescent="0.2">
      <c r="A56" s="297" t="s">
        <v>545</v>
      </c>
      <c r="B56" s="302">
        <v>2</v>
      </c>
      <c r="C56" s="295" t="e">
        <f>+VLOOKUP(A56,#REF!,3,0)</f>
        <v>#REF!</v>
      </c>
      <c r="D56" s="295" t="e">
        <f t="shared" si="0"/>
        <v>#REF!</v>
      </c>
      <c r="E56" s="296">
        <v>0</v>
      </c>
    </row>
    <row r="57" spans="1:7" ht="14.25" x14ac:dyDescent="0.2">
      <c r="A57" s="297" t="s">
        <v>546</v>
      </c>
      <c r="B57" s="294">
        <v>3</v>
      </c>
      <c r="C57" s="295" t="e">
        <f>+VLOOKUP(A57,#REF!,3,0)</f>
        <v>#REF!</v>
      </c>
      <c r="D57" s="295" t="e">
        <f t="shared" si="0"/>
        <v>#REF!</v>
      </c>
      <c r="E57" s="296">
        <v>8166</v>
      </c>
    </row>
    <row r="58" spans="1:7" ht="14.25" x14ac:dyDescent="0.2">
      <c r="A58" s="298" t="s">
        <v>228</v>
      </c>
      <c r="B58" s="300">
        <v>4</v>
      </c>
      <c r="C58" s="295" t="e">
        <f>+VLOOKUP(A58,#REF!,3,0)</f>
        <v>#REF!</v>
      </c>
      <c r="D58" s="295" t="e">
        <f t="shared" si="0"/>
        <v>#REF!</v>
      </c>
      <c r="E58" s="296">
        <v>33896</v>
      </c>
    </row>
    <row r="59" spans="1:7" ht="14.25" x14ac:dyDescent="0.2">
      <c r="A59" s="298" t="s">
        <v>163</v>
      </c>
      <c r="B59" s="300">
        <v>8</v>
      </c>
      <c r="C59" s="295" t="e">
        <f>+VLOOKUP(A59,#REF!,3,0)</f>
        <v>#REF!</v>
      </c>
      <c r="D59" s="295" t="e">
        <f t="shared" si="0"/>
        <v>#REF!</v>
      </c>
      <c r="E59" s="296">
        <v>40173</v>
      </c>
    </row>
    <row r="60" spans="1:7" ht="14.25" x14ac:dyDescent="0.2">
      <c r="A60" s="297" t="s">
        <v>311</v>
      </c>
      <c r="B60" s="294">
        <v>9</v>
      </c>
      <c r="C60" s="295" t="e">
        <f>+VLOOKUP(A60,#REF!,3,0)</f>
        <v>#REF!</v>
      </c>
      <c r="D60" s="295" t="e">
        <f t="shared" si="0"/>
        <v>#REF!</v>
      </c>
      <c r="E60" s="296">
        <v>1839</v>
      </c>
    </row>
    <row r="61" spans="1:7" ht="14.25" x14ac:dyDescent="0.2">
      <c r="A61" s="297" t="s">
        <v>5</v>
      </c>
      <c r="B61" s="300">
        <v>8</v>
      </c>
      <c r="C61" s="295" t="e">
        <f>+VLOOKUP(A61,#REF!,3,0)</f>
        <v>#REF!</v>
      </c>
      <c r="D61" s="295" t="e">
        <f t="shared" si="0"/>
        <v>#REF!</v>
      </c>
      <c r="E61" s="296">
        <v>83644</v>
      </c>
    </row>
    <row r="62" spans="1:7" ht="14.25" x14ac:dyDescent="0.2">
      <c r="A62" s="297" t="s">
        <v>53</v>
      </c>
      <c r="B62" s="294">
        <v>8</v>
      </c>
      <c r="C62" s="295" t="e">
        <f>+VLOOKUP(A62,#REF!,3,0)</f>
        <v>#REF!</v>
      </c>
      <c r="D62" s="295" t="e">
        <f t="shared" si="0"/>
        <v>#REF!</v>
      </c>
      <c r="E62" s="296">
        <v>14990</v>
      </c>
    </row>
    <row r="63" spans="1:7" ht="14.25" x14ac:dyDescent="0.2">
      <c r="A63" s="297" t="s">
        <v>7</v>
      </c>
      <c r="B63" s="294">
        <v>3</v>
      </c>
      <c r="C63" s="295" t="e">
        <f>+VLOOKUP(A63,#REF!,3,0)</f>
        <v>#REF!</v>
      </c>
      <c r="D63" s="295" t="e">
        <f t="shared" si="0"/>
        <v>#REF!</v>
      </c>
      <c r="E63" s="296">
        <v>4909</v>
      </c>
    </row>
    <row r="64" spans="1:7" ht="14.25" x14ac:dyDescent="0.2">
      <c r="A64" s="297" t="s">
        <v>547</v>
      </c>
      <c r="B64" s="294">
        <v>2</v>
      </c>
      <c r="C64" s="295" t="e">
        <f>+VLOOKUP(A64,#REF!,3,0)</f>
        <v>#REF!</v>
      </c>
      <c r="D64" s="295" t="e">
        <f t="shared" si="0"/>
        <v>#REF!</v>
      </c>
      <c r="E64" s="296">
        <v>5946</v>
      </c>
    </row>
    <row r="65" spans="1:5" ht="14.25" x14ac:dyDescent="0.2">
      <c r="A65" s="298" t="s">
        <v>3</v>
      </c>
      <c r="B65" s="300">
        <v>5</v>
      </c>
      <c r="C65" s="295" t="e">
        <f>+VLOOKUP(A65,#REF!,3,0)</f>
        <v>#REF!</v>
      </c>
      <c r="D65" s="295" t="e">
        <f t="shared" si="0"/>
        <v>#REF!</v>
      </c>
      <c r="E65" s="296">
        <v>74920</v>
      </c>
    </row>
    <row r="66" spans="1:5" ht="14.25" x14ac:dyDescent="0.2">
      <c r="A66" s="298" t="s">
        <v>209</v>
      </c>
      <c r="B66" s="300">
        <v>5</v>
      </c>
      <c r="C66" s="295" t="e">
        <f>+VLOOKUP(A66,#REF!,3,0)</f>
        <v>#REF!</v>
      </c>
      <c r="D66" s="295" t="e">
        <f t="shared" ref="D66:D129" si="1">+C66-B66</f>
        <v>#REF!</v>
      </c>
      <c r="E66" s="296">
        <v>165773</v>
      </c>
    </row>
    <row r="67" spans="1:5" ht="14.25" x14ac:dyDescent="0.2">
      <c r="A67" s="297" t="s">
        <v>548</v>
      </c>
      <c r="B67" s="294">
        <v>2</v>
      </c>
      <c r="C67" s="295" t="e">
        <f>+VLOOKUP(A67,#REF!,3,0)</f>
        <v>#REF!</v>
      </c>
      <c r="D67" s="295" t="e">
        <f t="shared" si="1"/>
        <v>#REF!</v>
      </c>
      <c r="E67" s="296">
        <v>8152</v>
      </c>
    </row>
    <row r="68" spans="1:5" ht="14.25" x14ac:dyDescent="0.2">
      <c r="A68" s="297" t="s">
        <v>277</v>
      </c>
      <c r="B68" s="294">
        <v>3</v>
      </c>
      <c r="C68" s="295" t="e">
        <f>+VLOOKUP(A68,#REF!,3,0)</f>
        <v>#REF!</v>
      </c>
      <c r="D68" s="295" t="e">
        <f t="shared" si="1"/>
        <v>#REF!</v>
      </c>
      <c r="E68" s="296">
        <v>4933</v>
      </c>
    </row>
    <row r="69" spans="1:5" ht="14.25" x14ac:dyDescent="0.2">
      <c r="A69" s="298" t="s">
        <v>549</v>
      </c>
      <c r="B69" s="300">
        <v>7</v>
      </c>
      <c r="C69" s="295" t="e">
        <f>+VLOOKUP(A69,#REF!,3,0)</f>
        <v>#REF!</v>
      </c>
      <c r="D69" s="295" t="e">
        <f t="shared" si="1"/>
        <v>#REF!</v>
      </c>
      <c r="E69" s="296">
        <v>269406</v>
      </c>
    </row>
    <row r="70" spans="1:5" ht="14.25" x14ac:dyDescent="0.2">
      <c r="A70" s="297" t="s">
        <v>550</v>
      </c>
      <c r="B70" s="294">
        <v>3</v>
      </c>
      <c r="C70" s="295" t="e">
        <f>+VLOOKUP(A70,#REF!,3,0)</f>
        <v>#REF!</v>
      </c>
      <c r="D70" s="295" t="e">
        <f t="shared" si="1"/>
        <v>#REF!</v>
      </c>
      <c r="E70" s="296">
        <v>8522</v>
      </c>
    </row>
    <row r="71" spans="1:5" ht="14.25" x14ac:dyDescent="0.2">
      <c r="A71" s="298" t="s">
        <v>551</v>
      </c>
      <c r="B71" s="300">
        <v>4</v>
      </c>
      <c r="C71" s="295" t="e">
        <f>+VLOOKUP(A71,#REF!,3,0)</f>
        <v>#REF!</v>
      </c>
      <c r="D71" s="295" t="e">
        <f t="shared" si="1"/>
        <v>#REF!</v>
      </c>
      <c r="E71" s="296">
        <v>40104</v>
      </c>
    </row>
    <row r="72" spans="1:5" ht="14.25" x14ac:dyDescent="0.2">
      <c r="A72" s="297" t="s">
        <v>552</v>
      </c>
      <c r="B72" s="294">
        <v>2</v>
      </c>
      <c r="C72" s="295" t="e">
        <f>+VLOOKUP(A72,#REF!,3,0)</f>
        <v>#REF!</v>
      </c>
      <c r="D72" s="295" t="e">
        <f t="shared" si="1"/>
        <v>#REF!</v>
      </c>
      <c r="E72" s="296">
        <v>4917</v>
      </c>
    </row>
    <row r="73" spans="1:5" ht="14.25" x14ac:dyDescent="0.2">
      <c r="A73" s="297" t="s">
        <v>553</v>
      </c>
      <c r="B73" s="294">
        <v>3</v>
      </c>
      <c r="C73" s="295" t="e">
        <f>+VLOOKUP(A73,#REF!,3,0)</f>
        <v>#REF!</v>
      </c>
      <c r="D73" s="295" t="e">
        <f t="shared" si="1"/>
        <v>#REF!</v>
      </c>
      <c r="E73" s="296">
        <v>10616</v>
      </c>
    </row>
    <row r="74" spans="1:5" ht="14.25" x14ac:dyDescent="0.2">
      <c r="A74" s="303" t="s">
        <v>14</v>
      </c>
      <c r="B74" s="300">
        <v>3</v>
      </c>
      <c r="C74" s="295" t="e">
        <f>+VLOOKUP(A74,#REF!,3,0)</f>
        <v>#REF!</v>
      </c>
      <c r="D74" s="295" t="e">
        <f t="shared" si="1"/>
        <v>#REF!</v>
      </c>
      <c r="E74" s="296">
        <v>31248</v>
      </c>
    </row>
    <row r="75" spans="1:5" ht="14.25" x14ac:dyDescent="0.2">
      <c r="A75" s="298" t="s">
        <v>223</v>
      </c>
      <c r="B75" s="300">
        <v>3</v>
      </c>
      <c r="C75" s="295" t="e">
        <f>+VLOOKUP(A75,#REF!,3,0)</f>
        <v>#REF!</v>
      </c>
      <c r="D75" s="295" t="e">
        <f t="shared" si="1"/>
        <v>#REF!</v>
      </c>
      <c r="E75" s="296">
        <v>19779</v>
      </c>
    </row>
    <row r="76" spans="1:5" ht="14.25" x14ac:dyDescent="0.2">
      <c r="A76" s="293" t="s">
        <v>509</v>
      </c>
      <c r="B76" s="300">
        <v>4</v>
      </c>
      <c r="C76" s="295" t="e">
        <f>+VLOOKUP(A76,#REF!,3,0)</f>
        <v>#REF!</v>
      </c>
      <c r="D76" s="295" t="e">
        <f t="shared" si="1"/>
        <v>#REF!</v>
      </c>
      <c r="E76" s="296">
        <v>18829</v>
      </c>
    </row>
    <row r="77" spans="1:5" ht="14.25" x14ac:dyDescent="0.2">
      <c r="A77" s="298" t="s">
        <v>554</v>
      </c>
      <c r="B77" s="300">
        <v>3</v>
      </c>
      <c r="C77" s="295" t="e">
        <f>+VLOOKUP(A77,#REF!,3,0)</f>
        <v>#REF!</v>
      </c>
      <c r="D77" s="295" t="e">
        <f t="shared" si="1"/>
        <v>#REF!</v>
      </c>
      <c r="E77" s="296">
        <v>24722</v>
      </c>
    </row>
    <row r="78" spans="1:5" ht="14.25" x14ac:dyDescent="0.2">
      <c r="A78" s="298" t="s">
        <v>555</v>
      </c>
      <c r="B78" s="294">
        <v>3</v>
      </c>
      <c r="C78" s="295" t="e">
        <f>+VLOOKUP(A78,#REF!,3,0)</f>
        <v>#REF!</v>
      </c>
      <c r="D78" s="295" t="e">
        <f t="shared" si="1"/>
        <v>#REF!</v>
      </c>
      <c r="E78" s="296">
        <v>4921</v>
      </c>
    </row>
    <row r="79" spans="1:5" ht="14.25" x14ac:dyDescent="0.2">
      <c r="A79" s="297" t="s">
        <v>556</v>
      </c>
      <c r="B79" s="294">
        <v>4</v>
      </c>
      <c r="C79" s="295" t="e">
        <f>+VLOOKUP(A79,#REF!,3,0)</f>
        <v>#REF!</v>
      </c>
      <c r="D79" s="295" t="e">
        <f t="shared" si="1"/>
        <v>#REF!</v>
      </c>
      <c r="E79" s="296">
        <v>0</v>
      </c>
    </row>
    <row r="80" spans="1:5" ht="14.25" x14ac:dyDescent="0.2">
      <c r="A80" s="298" t="s">
        <v>557</v>
      </c>
      <c r="B80" s="300">
        <v>5</v>
      </c>
      <c r="C80" s="295" t="e">
        <f>+VLOOKUP(A80,#REF!,3,0)</f>
        <v>#REF!</v>
      </c>
      <c r="D80" s="295" t="e">
        <f t="shared" si="1"/>
        <v>#REF!</v>
      </c>
      <c r="E80" s="296">
        <v>31855</v>
      </c>
    </row>
    <row r="81" spans="1:5" ht="14.25" x14ac:dyDescent="0.2">
      <c r="A81" s="283" t="s">
        <v>558</v>
      </c>
      <c r="B81" s="300">
        <v>7</v>
      </c>
      <c r="C81" s="295" t="e">
        <f>+VLOOKUP(A81,#REF!,3,0)</f>
        <v>#REF!</v>
      </c>
      <c r="D81" s="295" t="e">
        <f t="shared" si="1"/>
        <v>#REF!</v>
      </c>
      <c r="E81" s="296">
        <v>24898</v>
      </c>
    </row>
    <row r="82" spans="1:5" ht="14.25" x14ac:dyDescent="0.2">
      <c r="A82" s="297" t="s">
        <v>559</v>
      </c>
      <c r="B82" s="294">
        <v>8</v>
      </c>
      <c r="C82" s="295" t="e">
        <f>+VLOOKUP(A82,#REF!,3,0)</f>
        <v>#REF!</v>
      </c>
      <c r="D82" s="295" t="e">
        <f t="shared" si="1"/>
        <v>#REF!</v>
      </c>
      <c r="E82" s="296">
        <v>1214</v>
      </c>
    </row>
    <row r="83" spans="1:5" ht="14.25" x14ac:dyDescent="0.2">
      <c r="A83" s="297" t="s">
        <v>560</v>
      </c>
      <c r="B83" s="294">
        <v>3</v>
      </c>
      <c r="C83" s="295" t="e">
        <f>+VLOOKUP(A83,#REF!,3,0)</f>
        <v>#REF!</v>
      </c>
      <c r="D83" s="295" t="e">
        <f t="shared" si="1"/>
        <v>#REF!</v>
      </c>
      <c r="E83" s="296">
        <v>15838</v>
      </c>
    </row>
    <row r="84" spans="1:5" ht="14.25" x14ac:dyDescent="0.2">
      <c r="A84" s="298" t="s">
        <v>561</v>
      </c>
      <c r="B84" s="300">
        <v>6</v>
      </c>
      <c r="C84" s="295" t="e">
        <f>+VLOOKUP(A84,#REF!,3,0)</f>
        <v>#REF!</v>
      </c>
      <c r="D84" s="295" t="e">
        <f t="shared" si="1"/>
        <v>#REF!</v>
      </c>
      <c r="E84" s="296">
        <v>17272</v>
      </c>
    </row>
    <row r="85" spans="1:5" ht="14.25" x14ac:dyDescent="0.2">
      <c r="A85" s="297" t="s">
        <v>562</v>
      </c>
      <c r="B85" s="294">
        <v>4</v>
      </c>
      <c r="C85" s="295" t="e">
        <f>+VLOOKUP(A85,#REF!,3,0)</f>
        <v>#REF!</v>
      </c>
      <c r="D85" s="295" t="e">
        <f t="shared" si="1"/>
        <v>#REF!</v>
      </c>
      <c r="E85" s="296">
        <v>8767</v>
      </c>
    </row>
    <row r="86" spans="1:5" ht="14.25" x14ac:dyDescent="0.2">
      <c r="A86" s="297" t="s">
        <v>563</v>
      </c>
      <c r="B86" s="300">
        <v>5</v>
      </c>
      <c r="C86" s="295" t="e">
        <f>+VLOOKUP(A86,#REF!,3,0)</f>
        <v>#REF!</v>
      </c>
      <c r="D86" s="295" t="e">
        <f t="shared" si="1"/>
        <v>#REF!</v>
      </c>
      <c r="E86" s="296">
        <v>693217</v>
      </c>
    </row>
    <row r="87" spans="1:5" ht="14.25" x14ac:dyDescent="0.2">
      <c r="A87" s="297" t="s">
        <v>564</v>
      </c>
      <c r="B87" s="294">
        <v>2</v>
      </c>
      <c r="C87" s="295" t="e">
        <f>+VLOOKUP(A87,#REF!,3,0)</f>
        <v>#REF!</v>
      </c>
      <c r="D87" s="295" t="e">
        <f t="shared" si="1"/>
        <v>#REF!</v>
      </c>
      <c r="E87" s="296">
        <v>11931</v>
      </c>
    </row>
    <row r="88" spans="1:5" ht="14.25" x14ac:dyDescent="0.2">
      <c r="A88" s="297" t="s">
        <v>256</v>
      </c>
      <c r="B88" s="294">
        <v>2</v>
      </c>
      <c r="C88" s="295" t="e">
        <f>+VLOOKUP(A88,#REF!,3,0)</f>
        <v>#REF!</v>
      </c>
      <c r="D88" s="295" t="e">
        <f t="shared" si="1"/>
        <v>#REF!</v>
      </c>
      <c r="E88" s="296">
        <v>8919</v>
      </c>
    </row>
    <row r="89" spans="1:5" ht="14.25" x14ac:dyDescent="0.2">
      <c r="A89" s="297" t="s">
        <v>565</v>
      </c>
      <c r="B89" s="294">
        <v>2</v>
      </c>
      <c r="C89" s="295" t="e">
        <f>+VLOOKUP(A89,#REF!,3,0)</f>
        <v>#REF!</v>
      </c>
      <c r="D89" s="295" t="e">
        <f t="shared" si="1"/>
        <v>#REF!</v>
      </c>
      <c r="E89" s="296">
        <v>2656</v>
      </c>
    </row>
    <row r="90" spans="1:5" ht="14.25" x14ac:dyDescent="0.2">
      <c r="A90" s="297" t="s">
        <v>566</v>
      </c>
      <c r="B90" s="294">
        <v>9</v>
      </c>
      <c r="C90" s="295" t="e">
        <f>+VLOOKUP(A90,#REF!,3,0)</f>
        <v>#REF!</v>
      </c>
      <c r="D90" s="295" t="e">
        <f t="shared" si="1"/>
        <v>#REF!</v>
      </c>
      <c r="E90" s="296">
        <v>11756</v>
      </c>
    </row>
    <row r="91" spans="1:5" ht="14.25" x14ac:dyDescent="0.2">
      <c r="A91" s="297" t="s">
        <v>567</v>
      </c>
      <c r="B91" s="294">
        <v>2</v>
      </c>
      <c r="C91" s="295" t="e">
        <f>+VLOOKUP(A91,#REF!,3,0)</f>
        <v>#REF!</v>
      </c>
      <c r="D91" s="295" t="e">
        <f t="shared" si="1"/>
        <v>#REF!</v>
      </c>
      <c r="E91" s="296">
        <v>8549</v>
      </c>
    </row>
    <row r="92" spans="1:5" ht="14.25" x14ac:dyDescent="0.2">
      <c r="A92" s="297" t="s">
        <v>568</v>
      </c>
      <c r="B92" s="294">
        <v>2</v>
      </c>
      <c r="C92" s="295" t="e">
        <f>+VLOOKUP(A92,#REF!,3,0)</f>
        <v>#REF!</v>
      </c>
      <c r="D92" s="295" t="e">
        <f t="shared" si="1"/>
        <v>#REF!</v>
      </c>
      <c r="E92" s="296">
        <v>6234</v>
      </c>
    </row>
    <row r="93" spans="1:5" ht="14.25" x14ac:dyDescent="0.2">
      <c r="A93" s="250" t="s">
        <v>569</v>
      </c>
      <c r="B93" s="294">
        <v>3</v>
      </c>
      <c r="C93" s="295" t="e">
        <f>+VLOOKUP(A93,#REF!,3,0)</f>
        <v>#REF!</v>
      </c>
      <c r="D93" s="295" t="e">
        <f t="shared" si="1"/>
        <v>#REF!</v>
      </c>
      <c r="E93" s="296">
        <v>3662</v>
      </c>
    </row>
    <row r="94" spans="1:5" ht="14.25" x14ac:dyDescent="0.2">
      <c r="A94" s="297" t="s">
        <v>217</v>
      </c>
      <c r="B94" s="294">
        <v>3</v>
      </c>
      <c r="C94" s="295" t="e">
        <f>+VLOOKUP(A94,#REF!,3,0)</f>
        <v>#REF!</v>
      </c>
      <c r="D94" s="295" t="e">
        <f t="shared" si="1"/>
        <v>#REF!</v>
      </c>
      <c r="E94" s="296">
        <v>2414</v>
      </c>
    </row>
    <row r="95" spans="1:5" ht="14.25" x14ac:dyDescent="0.2">
      <c r="A95" s="297" t="s">
        <v>570</v>
      </c>
      <c r="B95" s="294">
        <v>9</v>
      </c>
      <c r="C95" s="295" t="e">
        <f>+VLOOKUP(A95,#REF!,3,0)</f>
        <v>#REF!</v>
      </c>
      <c r="D95" s="295" t="e">
        <f t="shared" si="1"/>
        <v>#REF!</v>
      </c>
      <c r="E95" s="296">
        <v>5198</v>
      </c>
    </row>
    <row r="96" spans="1:5" ht="14.25" x14ac:dyDescent="0.2">
      <c r="A96" s="297" t="s">
        <v>571</v>
      </c>
      <c r="B96" s="294">
        <v>4</v>
      </c>
      <c r="C96" s="295" t="e">
        <f>+VLOOKUP(A96,#REF!,3,0)</f>
        <v>#REF!</v>
      </c>
      <c r="D96" s="295" t="e">
        <f t="shared" si="1"/>
        <v>#REF!</v>
      </c>
      <c r="E96" s="296">
        <v>8128</v>
      </c>
    </row>
    <row r="97" spans="1:5" ht="14.25" x14ac:dyDescent="0.2">
      <c r="A97" s="297" t="s">
        <v>572</v>
      </c>
      <c r="B97" s="294">
        <v>7</v>
      </c>
      <c r="C97" s="295" t="e">
        <f>+VLOOKUP(A97,#REF!,3,0)</f>
        <v>#REF!</v>
      </c>
      <c r="D97" s="295" t="e">
        <f t="shared" si="1"/>
        <v>#REF!</v>
      </c>
      <c r="E97" s="296">
        <v>11535</v>
      </c>
    </row>
    <row r="98" spans="1:5" ht="14.25" x14ac:dyDescent="0.2">
      <c r="A98" s="297" t="s">
        <v>573</v>
      </c>
      <c r="B98" s="294">
        <v>4</v>
      </c>
      <c r="C98" s="295" t="e">
        <f>+VLOOKUP(A98,#REF!,3,0)</f>
        <v>#REF!</v>
      </c>
      <c r="D98" s="295" t="e">
        <f t="shared" si="1"/>
        <v>#REF!</v>
      </c>
      <c r="E98" s="296">
        <v>2777</v>
      </c>
    </row>
    <row r="99" spans="1:5" ht="14.25" x14ac:dyDescent="0.2">
      <c r="A99" s="297" t="s">
        <v>574</v>
      </c>
      <c r="B99" s="294">
        <v>2</v>
      </c>
      <c r="C99" s="295" t="e">
        <f>+VLOOKUP(A99,#REF!,3,0)</f>
        <v>#REF!</v>
      </c>
      <c r="D99" s="295" t="e">
        <f t="shared" si="1"/>
        <v>#REF!</v>
      </c>
      <c r="E99" s="296">
        <v>16566</v>
      </c>
    </row>
    <row r="100" spans="1:5" ht="14.25" x14ac:dyDescent="0.2">
      <c r="A100" s="297" t="s">
        <v>255</v>
      </c>
      <c r="B100" s="294">
        <v>2</v>
      </c>
      <c r="C100" s="295" t="e">
        <f>+VLOOKUP(A100,#REF!,3,0)</f>
        <v>#REF!</v>
      </c>
      <c r="D100" s="295" t="e">
        <f t="shared" si="1"/>
        <v>#REF!</v>
      </c>
      <c r="E100" s="296">
        <v>14201</v>
      </c>
    </row>
    <row r="101" spans="1:5" ht="14.25" x14ac:dyDescent="0.2">
      <c r="A101" s="298" t="s">
        <v>575</v>
      </c>
      <c r="B101" s="300">
        <v>8</v>
      </c>
      <c r="C101" s="295" t="e">
        <f>+VLOOKUP(A101,#REF!,3,0)</f>
        <v>#REF!</v>
      </c>
      <c r="D101" s="295" t="e">
        <f t="shared" si="1"/>
        <v>#REF!</v>
      </c>
      <c r="E101" s="296">
        <v>78797</v>
      </c>
    </row>
    <row r="102" spans="1:5" ht="14.25" x14ac:dyDescent="0.2">
      <c r="A102" s="298" t="s">
        <v>225</v>
      </c>
      <c r="B102" s="300">
        <v>3</v>
      </c>
      <c r="C102" s="295" t="e">
        <f>+VLOOKUP(A102,#REF!,3,0)</f>
        <v>#REF!</v>
      </c>
      <c r="D102" s="295" t="e">
        <f t="shared" si="1"/>
        <v>#REF!</v>
      </c>
      <c r="E102" s="296">
        <v>16250</v>
      </c>
    </row>
    <row r="103" spans="1:5" ht="14.25" x14ac:dyDescent="0.2">
      <c r="A103" s="297" t="s">
        <v>576</v>
      </c>
      <c r="B103" s="294">
        <v>4</v>
      </c>
      <c r="C103" s="295" t="e">
        <f>+VLOOKUP(A103,#REF!,3,0)</f>
        <v>#REF!</v>
      </c>
      <c r="D103" s="295" t="e">
        <f t="shared" si="1"/>
        <v>#REF!</v>
      </c>
      <c r="E103" s="296">
        <v>13471</v>
      </c>
    </row>
    <row r="104" spans="1:5" ht="14.25" x14ac:dyDescent="0.2">
      <c r="A104" s="297" t="s">
        <v>10</v>
      </c>
      <c r="B104" s="294">
        <v>10</v>
      </c>
      <c r="C104" s="295" t="e">
        <f>+VLOOKUP(A104,#REF!,3,0)</f>
        <v>#REF!</v>
      </c>
      <c r="D104" s="295" t="e">
        <f t="shared" si="1"/>
        <v>#REF!</v>
      </c>
      <c r="E104" s="296">
        <v>1789</v>
      </c>
    </row>
    <row r="105" spans="1:5" ht="14.25" x14ac:dyDescent="0.2">
      <c r="A105" s="297" t="s">
        <v>15</v>
      </c>
      <c r="B105" s="294">
        <v>8</v>
      </c>
      <c r="C105" s="295" t="e">
        <f>+VLOOKUP(A105,#REF!,3,0)</f>
        <v>#REF!</v>
      </c>
      <c r="D105" s="295" t="e">
        <f t="shared" si="1"/>
        <v>#REF!</v>
      </c>
      <c r="E105" s="296">
        <v>2348</v>
      </c>
    </row>
    <row r="106" spans="1:5" ht="14.25" x14ac:dyDescent="0.2">
      <c r="A106" s="298" t="s">
        <v>577</v>
      </c>
      <c r="B106" s="300">
        <v>5</v>
      </c>
      <c r="C106" s="295" t="e">
        <f>+VLOOKUP(A106,#REF!,3,0)</f>
        <v>#REF!</v>
      </c>
      <c r="D106" s="295" t="e">
        <f t="shared" si="1"/>
        <v>#REF!</v>
      </c>
      <c r="E106" s="296">
        <v>42703</v>
      </c>
    </row>
    <row r="107" spans="1:5" ht="14.25" x14ac:dyDescent="0.2">
      <c r="A107" s="297" t="s">
        <v>16</v>
      </c>
      <c r="B107" s="294">
        <v>9</v>
      </c>
      <c r="C107" s="295" t="e">
        <f>+VLOOKUP(A107,#REF!,3,0)</f>
        <v>#REF!</v>
      </c>
      <c r="D107" s="295" t="e">
        <f t="shared" si="1"/>
        <v>#REF!</v>
      </c>
      <c r="E107" s="296">
        <v>5104</v>
      </c>
    </row>
    <row r="108" spans="1:5" ht="14.25" x14ac:dyDescent="0.2">
      <c r="A108" s="298" t="s">
        <v>171</v>
      </c>
      <c r="B108" s="300">
        <v>4</v>
      </c>
      <c r="C108" s="295" t="e">
        <f>+VLOOKUP(A108,#REF!,3,0)</f>
        <v>#REF!</v>
      </c>
      <c r="D108" s="295" t="e">
        <f t="shared" si="1"/>
        <v>#REF!</v>
      </c>
      <c r="E108" s="296">
        <v>66824</v>
      </c>
    </row>
    <row r="109" spans="1:5" ht="14.25" x14ac:dyDescent="0.2">
      <c r="A109" s="297" t="s">
        <v>249</v>
      </c>
      <c r="B109" s="294">
        <v>1</v>
      </c>
      <c r="C109" s="295" t="e">
        <f>+VLOOKUP(A109,#REF!,3,0)</f>
        <v>#REF!</v>
      </c>
      <c r="D109" s="295" t="e">
        <f t="shared" si="1"/>
        <v>#REF!</v>
      </c>
      <c r="E109" s="296">
        <v>6587</v>
      </c>
    </row>
    <row r="110" spans="1:5" ht="14.25" x14ac:dyDescent="0.2">
      <c r="A110" s="293" t="s">
        <v>578</v>
      </c>
      <c r="B110" s="294">
        <v>8</v>
      </c>
      <c r="C110" s="295" t="e">
        <f>+VLOOKUP(A110,#REF!,3,0)</f>
        <v>#REF!</v>
      </c>
      <c r="D110" s="295" t="e">
        <f t="shared" si="1"/>
        <v>#REF!</v>
      </c>
      <c r="E110" s="296">
        <v>21429</v>
      </c>
    </row>
    <row r="111" spans="1:5" ht="14.25" x14ac:dyDescent="0.2">
      <c r="A111" s="297" t="s">
        <v>579</v>
      </c>
      <c r="B111" s="302">
        <v>2</v>
      </c>
      <c r="C111" s="295" t="e">
        <f>+VLOOKUP(A111,#REF!,3,0)</f>
        <v>#REF!</v>
      </c>
      <c r="D111" s="295" t="e">
        <f t="shared" si="1"/>
        <v>#REF!</v>
      </c>
      <c r="E111" s="296">
        <v>0</v>
      </c>
    </row>
    <row r="112" spans="1:5" ht="14.25" x14ac:dyDescent="0.2">
      <c r="A112" s="297" t="s">
        <v>580</v>
      </c>
      <c r="B112" s="294">
        <v>2</v>
      </c>
      <c r="C112" s="295" t="e">
        <f>+VLOOKUP(A112,#REF!,3,0)</f>
        <v>#REF!</v>
      </c>
      <c r="D112" s="295" t="e">
        <f t="shared" si="1"/>
        <v>#REF!</v>
      </c>
      <c r="E112" s="296">
        <v>8440</v>
      </c>
    </row>
    <row r="113" spans="1:5" ht="14.25" x14ac:dyDescent="0.2">
      <c r="A113" s="297" t="s">
        <v>278</v>
      </c>
      <c r="B113" s="294">
        <v>2</v>
      </c>
      <c r="C113" s="295" t="e">
        <f>+VLOOKUP(A113,#REF!,3,0)</f>
        <v>#REF!</v>
      </c>
      <c r="D113" s="295" t="e">
        <f t="shared" si="1"/>
        <v>#REF!</v>
      </c>
      <c r="E113" s="296">
        <v>18302</v>
      </c>
    </row>
    <row r="114" spans="1:5" ht="14.25" x14ac:dyDescent="0.2">
      <c r="A114" s="297" t="s">
        <v>581</v>
      </c>
      <c r="B114" s="294">
        <v>5</v>
      </c>
      <c r="C114" s="295" t="e">
        <f>+VLOOKUP(A114,#REF!,3,0)</f>
        <v>#REF!</v>
      </c>
      <c r="D114" s="295" t="e">
        <f t="shared" si="1"/>
        <v>#REF!</v>
      </c>
      <c r="E114" s="296">
        <v>1473</v>
      </c>
    </row>
    <row r="115" spans="1:5" ht="14.25" x14ac:dyDescent="0.2">
      <c r="A115" s="298" t="s">
        <v>139</v>
      </c>
      <c r="B115" s="300">
        <v>5</v>
      </c>
      <c r="C115" s="295" t="e">
        <f>+VLOOKUP(A115,#REF!,3,0)</f>
        <v>#REF!</v>
      </c>
      <c r="D115" s="295" t="e">
        <f t="shared" si="1"/>
        <v>#REF!</v>
      </c>
      <c r="E115" s="296">
        <v>24787</v>
      </c>
    </row>
    <row r="116" spans="1:5" ht="14.25" x14ac:dyDescent="0.2">
      <c r="A116" s="298" t="s">
        <v>582</v>
      </c>
      <c r="B116" s="300">
        <v>8</v>
      </c>
      <c r="C116" s="295" t="e">
        <f>+VLOOKUP(A116,#REF!,3,0)</f>
        <v>#REF!</v>
      </c>
      <c r="D116" s="295" t="e">
        <f t="shared" si="1"/>
        <v>#REF!</v>
      </c>
      <c r="E116" s="296">
        <v>48788</v>
      </c>
    </row>
    <row r="117" spans="1:5" ht="14.25" x14ac:dyDescent="0.2">
      <c r="A117" s="298" t="s">
        <v>583</v>
      </c>
      <c r="B117" s="300">
        <v>1</v>
      </c>
      <c r="C117" s="295" t="e">
        <f>+VLOOKUP(A117,#REF!,3,0)</f>
        <v>#REF!</v>
      </c>
      <c r="D117" s="295" t="e">
        <f t="shared" si="1"/>
        <v>#REF!</v>
      </c>
      <c r="E117" s="296">
        <v>24290</v>
      </c>
    </row>
    <row r="118" spans="1:5" ht="14.25" x14ac:dyDescent="0.2">
      <c r="A118" s="297" t="s">
        <v>186</v>
      </c>
      <c r="B118" s="294">
        <v>8</v>
      </c>
      <c r="C118" s="295" t="e">
        <f>+VLOOKUP(A118,#REF!,3,0)</f>
        <v>#REF!</v>
      </c>
      <c r="D118" s="295" t="e">
        <f t="shared" si="1"/>
        <v>#REF!</v>
      </c>
      <c r="E118" s="296">
        <v>7584</v>
      </c>
    </row>
    <row r="119" spans="1:5" ht="14.25" x14ac:dyDescent="0.2">
      <c r="A119" s="297" t="s">
        <v>584</v>
      </c>
      <c r="B119" s="294">
        <v>2</v>
      </c>
      <c r="C119" s="295" t="e">
        <f>+VLOOKUP(A119,#REF!,3,0)</f>
        <v>#REF!</v>
      </c>
      <c r="D119" s="295" t="e">
        <f t="shared" si="1"/>
        <v>#REF!</v>
      </c>
      <c r="E119" s="296">
        <v>3297</v>
      </c>
    </row>
    <row r="120" spans="1:5" ht="14.25" x14ac:dyDescent="0.2">
      <c r="A120" s="297" t="s">
        <v>117</v>
      </c>
      <c r="B120" s="294">
        <v>7</v>
      </c>
      <c r="C120" s="295" t="e">
        <f>+VLOOKUP(A120,#REF!,3,0)</f>
        <v>#REF!</v>
      </c>
      <c r="D120" s="295" t="e">
        <f t="shared" si="1"/>
        <v>#REF!</v>
      </c>
      <c r="E120" s="296">
        <v>1462</v>
      </c>
    </row>
    <row r="121" spans="1:5" ht="14.25" x14ac:dyDescent="0.2">
      <c r="A121" s="297" t="s">
        <v>11</v>
      </c>
      <c r="B121" s="294">
        <v>9</v>
      </c>
      <c r="C121" s="295" t="e">
        <f>+VLOOKUP(A121,#REF!,3,0)</f>
        <v>#REF!</v>
      </c>
      <c r="D121" s="295" t="e">
        <f t="shared" si="1"/>
        <v>#REF!</v>
      </c>
      <c r="E121" s="296">
        <v>6371</v>
      </c>
    </row>
    <row r="122" spans="1:5" ht="14.25" x14ac:dyDescent="0.2">
      <c r="A122" s="297" t="s">
        <v>120</v>
      </c>
      <c r="B122" s="294">
        <v>2</v>
      </c>
      <c r="C122" s="295" t="e">
        <f>+VLOOKUP(A122,#REF!,3,0)</f>
        <v>#REF!</v>
      </c>
      <c r="D122" s="295" t="e">
        <f t="shared" si="1"/>
        <v>#REF!</v>
      </c>
      <c r="E122" s="296">
        <v>3105</v>
      </c>
    </row>
    <row r="123" spans="1:5" ht="14.25" x14ac:dyDescent="0.2">
      <c r="A123" s="297" t="s">
        <v>22</v>
      </c>
      <c r="B123" s="294">
        <v>5</v>
      </c>
      <c r="C123" s="295" t="e">
        <f>+VLOOKUP(A123,#REF!,3,0)</f>
        <v>#REF!</v>
      </c>
      <c r="D123" s="295" t="e">
        <f t="shared" si="1"/>
        <v>#REF!</v>
      </c>
      <c r="E123" s="296">
        <v>2594</v>
      </c>
    </row>
    <row r="124" spans="1:5" ht="14.25" x14ac:dyDescent="0.2">
      <c r="A124" s="298" t="s">
        <v>321</v>
      </c>
      <c r="B124" s="300">
        <v>5</v>
      </c>
      <c r="C124" s="295" t="e">
        <f>+VLOOKUP(A124,#REF!,3,0)</f>
        <v>#REF!</v>
      </c>
      <c r="D124" s="295" t="e">
        <f t="shared" si="1"/>
        <v>#REF!</v>
      </c>
      <c r="E124" s="296">
        <v>27259</v>
      </c>
    </row>
    <row r="125" spans="1:5" ht="14.25" x14ac:dyDescent="0.2">
      <c r="A125" s="297" t="s">
        <v>585</v>
      </c>
      <c r="B125" s="294">
        <v>5</v>
      </c>
      <c r="C125" s="295" t="e">
        <f>+VLOOKUP(A125,#REF!,3,0)</f>
        <v>#REF!</v>
      </c>
      <c r="D125" s="295" t="e">
        <f t="shared" si="1"/>
        <v>#REF!</v>
      </c>
      <c r="E125" s="296">
        <v>1443</v>
      </c>
    </row>
    <row r="126" spans="1:5" ht="14.25" x14ac:dyDescent="0.2">
      <c r="A126" s="297" t="s">
        <v>586</v>
      </c>
      <c r="B126" s="294">
        <v>2</v>
      </c>
      <c r="C126" s="295" t="e">
        <f>+VLOOKUP(A126,#REF!,3,0)</f>
        <v>#REF!</v>
      </c>
      <c r="D126" s="295" t="e">
        <f t="shared" si="1"/>
        <v>#REF!</v>
      </c>
      <c r="E126" s="296">
        <v>10950</v>
      </c>
    </row>
    <row r="127" spans="1:5" ht="14.25" x14ac:dyDescent="0.2">
      <c r="A127" s="298" t="s">
        <v>587</v>
      </c>
      <c r="B127" s="300">
        <v>5</v>
      </c>
      <c r="C127" s="295" t="e">
        <f>+VLOOKUP(A127,#REF!,3,0)</f>
        <v>#REF!</v>
      </c>
      <c r="D127" s="295" t="e">
        <f t="shared" si="1"/>
        <v>#REF!</v>
      </c>
      <c r="E127" s="296">
        <v>20987</v>
      </c>
    </row>
    <row r="128" spans="1:5" ht="14.25" x14ac:dyDescent="0.2">
      <c r="A128" s="297" t="s">
        <v>230</v>
      </c>
      <c r="B128" s="294">
        <v>4</v>
      </c>
      <c r="C128" s="295" t="e">
        <f>+VLOOKUP(A128,#REF!,3,0)</f>
        <v>#REF!</v>
      </c>
      <c r="D128" s="295" t="e">
        <f t="shared" si="1"/>
        <v>#REF!</v>
      </c>
      <c r="E128" s="296">
        <v>4850</v>
      </c>
    </row>
    <row r="129" spans="1:5" ht="14.25" x14ac:dyDescent="0.2">
      <c r="A129" s="297" t="s">
        <v>588</v>
      </c>
      <c r="B129" s="294">
        <v>2</v>
      </c>
      <c r="C129" s="295" t="e">
        <f>+VLOOKUP(A129,#REF!,3,0)</f>
        <v>#REF!</v>
      </c>
      <c r="D129" s="295" t="e">
        <f t="shared" si="1"/>
        <v>#REF!</v>
      </c>
      <c r="E129" s="296">
        <v>6521</v>
      </c>
    </row>
    <row r="130" spans="1:5" ht="14.25" x14ac:dyDescent="0.2">
      <c r="A130" s="249" t="s">
        <v>17</v>
      </c>
      <c r="B130" s="300">
        <v>5</v>
      </c>
      <c r="C130" s="295" t="e">
        <f>+VLOOKUP(A130,#REF!,3,0)</f>
        <v>#REF!</v>
      </c>
      <c r="D130" s="295" t="e">
        <f t="shared" ref="D130:D193" si="2">+C130-B130</f>
        <v>#REF!</v>
      </c>
      <c r="E130" s="296">
        <v>48398</v>
      </c>
    </row>
    <row r="131" spans="1:5" ht="14.25" x14ac:dyDescent="0.2">
      <c r="A131" s="297" t="s">
        <v>589</v>
      </c>
      <c r="B131" s="294">
        <v>2</v>
      </c>
      <c r="C131" s="295" t="e">
        <f>+VLOOKUP(A131,#REF!,3,0)</f>
        <v>#REF!</v>
      </c>
      <c r="D131" s="295" t="e">
        <f t="shared" si="2"/>
        <v>#REF!</v>
      </c>
      <c r="E131" s="296">
        <v>9512</v>
      </c>
    </row>
    <row r="132" spans="1:5" ht="14.25" x14ac:dyDescent="0.2">
      <c r="A132" s="298" t="s">
        <v>185</v>
      </c>
      <c r="B132" s="300">
        <v>7</v>
      </c>
      <c r="C132" s="295" t="e">
        <f>+VLOOKUP(A132,#REF!,3,0)</f>
        <v>#REF!</v>
      </c>
      <c r="D132" s="295" t="e">
        <f t="shared" si="2"/>
        <v>#REF!</v>
      </c>
      <c r="E132" s="296">
        <v>26524</v>
      </c>
    </row>
    <row r="133" spans="1:5" ht="14.25" x14ac:dyDescent="0.2">
      <c r="A133" s="298" t="s">
        <v>590</v>
      </c>
      <c r="B133" s="300">
        <v>3</v>
      </c>
      <c r="C133" s="295" t="e">
        <f>+VLOOKUP(A133,#REF!,3,0)</f>
        <v>#REF!</v>
      </c>
      <c r="D133" s="295" t="e">
        <f t="shared" si="2"/>
        <v>#REF!</v>
      </c>
      <c r="E133" s="296">
        <v>62706</v>
      </c>
    </row>
    <row r="134" spans="1:5" ht="14.25" x14ac:dyDescent="0.2">
      <c r="A134" s="298" t="s">
        <v>591</v>
      </c>
      <c r="B134" s="300">
        <v>5</v>
      </c>
      <c r="C134" s="295" t="e">
        <f>+VLOOKUP(A134,#REF!,3,0)</f>
        <v>#REF!</v>
      </c>
      <c r="D134" s="295" t="e">
        <f t="shared" si="2"/>
        <v>#REF!</v>
      </c>
      <c r="E134" s="296">
        <v>44166</v>
      </c>
    </row>
    <row r="135" spans="1:5" ht="14.25" x14ac:dyDescent="0.2">
      <c r="A135" s="298" t="s">
        <v>440</v>
      </c>
      <c r="B135" s="300">
        <v>7</v>
      </c>
      <c r="C135" s="295" t="e">
        <f>+VLOOKUP(A135,#REF!,3,0)</f>
        <v>#REF!</v>
      </c>
      <c r="D135" s="295" t="e">
        <f t="shared" si="2"/>
        <v>#REF!</v>
      </c>
      <c r="E135" s="296">
        <v>21161</v>
      </c>
    </row>
    <row r="136" spans="1:5" ht="14.25" x14ac:dyDescent="0.2">
      <c r="A136" s="298" t="s">
        <v>147</v>
      </c>
      <c r="B136" s="300">
        <v>3</v>
      </c>
      <c r="C136" s="295" t="e">
        <f>+VLOOKUP(A136,#REF!,3,0)</f>
        <v>#REF!</v>
      </c>
      <c r="D136" s="295" t="e">
        <f t="shared" si="2"/>
        <v>#REF!</v>
      </c>
      <c r="E136" s="296">
        <v>22902</v>
      </c>
    </row>
    <row r="137" spans="1:5" ht="14.25" x14ac:dyDescent="0.2">
      <c r="A137" s="298" t="s">
        <v>592</v>
      </c>
      <c r="B137" s="300">
        <v>5</v>
      </c>
      <c r="C137" s="295" t="e">
        <f>+VLOOKUP(A137,#REF!,3,0)</f>
        <v>#REF!</v>
      </c>
      <c r="D137" s="295" t="e">
        <f t="shared" si="2"/>
        <v>#REF!</v>
      </c>
      <c r="E137" s="296">
        <v>167051</v>
      </c>
    </row>
    <row r="138" spans="1:5" ht="14.25" x14ac:dyDescent="0.2">
      <c r="A138" s="297" t="s">
        <v>279</v>
      </c>
      <c r="B138" s="294">
        <v>3</v>
      </c>
      <c r="C138" s="295" t="e">
        <f>+VLOOKUP(A138,#REF!,3,0)</f>
        <v>#REF!</v>
      </c>
      <c r="D138" s="295" t="e">
        <f t="shared" si="2"/>
        <v>#REF!</v>
      </c>
      <c r="E138" s="296">
        <v>3396</v>
      </c>
    </row>
    <row r="139" spans="1:5" ht="14.25" x14ac:dyDescent="0.2">
      <c r="A139" s="249" t="s">
        <v>19</v>
      </c>
      <c r="B139" s="294">
        <v>10</v>
      </c>
      <c r="C139" s="295" t="e">
        <f>+VLOOKUP(A139,#REF!,3,0)</f>
        <v>#REF!</v>
      </c>
      <c r="D139" s="295" t="e">
        <f t="shared" si="2"/>
        <v>#REF!</v>
      </c>
      <c r="E139" s="296">
        <v>3238</v>
      </c>
    </row>
    <row r="140" spans="1:5" ht="14.25" x14ac:dyDescent="0.2">
      <c r="A140" s="297" t="s">
        <v>593</v>
      </c>
      <c r="B140" s="300">
        <v>2</v>
      </c>
      <c r="C140" s="295" t="e">
        <f>+VLOOKUP(A140,#REF!,3,0)</f>
        <v>#REF!</v>
      </c>
      <c r="D140" s="295" t="e">
        <f t="shared" si="2"/>
        <v>#REF!</v>
      </c>
      <c r="E140" s="296">
        <v>23224</v>
      </c>
    </row>
    <row r="141" spans="1:5" ht="14.25" x14ac:dyDescent="0.2">
      <c r="A141" s="297" t="s">
        <v>594</v>
      </c>
      <c r="B141" s="294" t="s">
        <v>595</v>
      </c>
      <c r="C141" s="295" t="e">
        <f>+VLOOKUP(A141,#REF!,3,0)</f>
        <v>#REF!</v>
      </c>
      <c r="D141" s="295" t="e">
        <f t="shared" si="2"/>
        <v>#REF!</v>
      </c>
      <c r="E141" s="296">
        <v>1905</v>
      </c>
    </row>
    <row r="142" spans="1:5" ht="14.25" x14ac:dyDescent="0.2">
      <c r="A142" s="297" t="s">
        <v>20</v>
      </c>
      <c r="B142" s="294">
        <v>10</v>
      </c>
      <c r="C142" s="295" t="e">
        <f>+VLOOKUP(A142,#REF!,3,0)</f>
        <v>#REF!</v>
      </c>
      <c r="D142" s="295" t="e">
        <f t="shared" si="2"/>
        <v>#REF!</v>
      </c>
      <c r="E142" s="296">
        <v>5906</v>
      </c>
    </row>
    <row r="143" spans="1:5" ht="14.25" x14ac:dyDescent="0.2">
      <c r="A143" s="297" t="s">
        <v>596</v>
      </c>
      <c r="B143" s="294">
        <v>4</v>
      </c>
      <c r="C143" s="295" t="e">
        <f>+VLOOKUP(A143,#REF!,3,0)</f>
        <v>#REF!</v>
      </c>
      <c r="D143" s="295" t="e">
        <f t="shared" si="2"/>
        <v>#REF!</v>
      </c>
      <c r="E143" s="296">
        <v>4139</v>
      </c>
    </row>
    <row r="144" spans="1:5" ht="14.25" x14ac:dyDescent="0.2">
      <c r="A144" s="297" t="s">
        <v>113</v>
      </c>
      <c r="B144" s="294">
        <v>2</v>
      </c>
      <c r="C144" s="295" t="e">
        <f>+VLOOKUP(A144,#REF!,3,0)</f>
        <v>#REF!</v>
      </c>
      <c r="D144" s="295" t="e">
        <f t="shared" si="2"/>
        <v>#REF!</v>
      </c>
      <c r="E144" s="296">
        <v>6192</v>
      </c>
    </row>
    <row r="145" spans="1:5" ht="14.25" x14ac:dyDescent="0.2">
      <c r="A145" s="297" t="s">
        <v>136</v>
      </c>
      <c r="B145" s="294">
        <v>2</v>
      </c>
      <c r="C145" s="295" t="e">
        <f>+VLOOKUP(A145,#REF!,3,0)</f>
        <v>#REF!</v>
      </c>
      <c r="D145" s="295" t="e">
        <f t="shared" si="2"/>
        <v>#REF!</v>
      </c>
      <c r="E145" s="296">
        <v>10136</v>
      </c>
    </row>
    <row r="146" spans="1:5" ht="14.25" x14ac:dyDescent="0.2">
      <c r="A146" s="293" t="s">
        <v>597</v>
      </c>
      <c r="B146" s="294">
        <v>2</v>
      </c>
      <c r="C146" s="295" t="e">
        <f>+VLOOKUP(A146,#REF!,3,0)</f>
        <v>#REF!</v>
      </c>
      <c r="D146" s="295" t="e">
        <f t="shared" si="2"/>
        <v>#REF!</v>
      </c>
      <c r="E146" s="296">
        <v>1758</v>
      </c>
    </row>
    <row r="147" spans="1:5" ht="14.25" x14ac:dyDescent="0.2">
      <c r="A147" s="298" t="s">
        <v>598</v>
      </c>
      <c r="B147" s="300">
        <v>4</v>
      </c>
      <c r="C147" s="295" t="e">
        <f>+VLOOKUP(A147,#REF!,3,0)</f>
        <v>#REF!</v>
      </c>
      <c r="D147" s="295" t="e">
        <f t="shared" si="2"/>
        <v>#REF!</v>
      </c>
      <c r="E147" s="296">
        <v>45639</v>
      </c>
    </row>
    <row r="148" spans="1:5" ht="14.25" x14ac:dyDescent="0.2">
      <c r="A148" s="297" t="s">
        <v>599</v>
      </c>
      <c r="B148" s="294">
        <v>2</v>
      </c>
      <c r="C148" s="295" t="e">
        <f>+VLOOKUP(A148,#REF!,3,0)</f>
        <v>#REF!</v>
      </c>
      <c r="D148" s="295" t="e">
        <f t="shared" si="2"/>
        <v>#REF!</v>
      </c>
      <c r="E148" s="296">
        <v>2455</v>
      </c>
    </row>
    <row r="149" spans="1:5" ht="14.25" x14ac:dyDescent="0.2">
      <c r="A149" s="249" t="s">
        <v>326</v>
      </c>
      <c r="B149" s="302">
        <v>4</v>
      </c>
      <c r="C149" s="295" t="e">
        <f>+VLOOKUP(A149,#REF!,3,0)</f>
        <v>#REF!</v>
      </c>
      <c r="D149" s="295" t="e">
        <f t="shared" si="2"/>
        <v>#REF!</v>
      </c>
      <c r="E149" s="296">
        <v>0</v>
      </c>
    </row>
    <row r="150" spans="1:5" ht="14.25" x14ac:dyDescent="0.2">
      <c r="A150" s="298" t="s">
        <v>140</v>
      </c>
      <c r="B150" s="300">
        <v>5</v>
      </c>
      <c r="C150" s="295" t="e">
        <f>+VLOOKUP(A150,#REF!,3,0)</f>
        <v>#REF!</v>
      </c>
      <c r="D150" s="295" t="e">
        <f t="shared" si="2"/>
        <v>#REF!</v>
      </c>
      <c r="E150" s="296">
        <v>38862</v>
      </c>
    </row>
    <row r="151" spans="1:5" ht="14.25" x14ac:dyDescent="0.2">
      <c r="A151" s="297" t="s">
        <v>159</v>
      </c>
      <c r="B151" s="294">
        <v>2</v>
      </c>
      <c r="C151" s="295" t="e">
        <f>+VLOOKUP(A151,#REF!,3,0)</f>
        <v>#REF!</v>
      </c>
      <c r="D151" s="295" t="e">
        <f t="shared" si="2"/>
        <v>#REF!</v>
      </c>
      <c r="E151" s="296">
        <v>18533</v>
      </c>
    </row>
    <row r="152" spans="1:5" ht="14.25" x14ac:dyDescent="0.2">
      <c r="A152" s="298" t="s">
        <v>600</v>
      </c>
      <c r="B152" s="300">
        <v>5</v>
      </c>
      <c r="C152" s="295" t="e">
        <f>+VLOOKUP(A152,#REF!,3,0)</f>
        <v>#REF!</v>
      </c>
      <c r="D152" s="295" t="e">
        <f t="shared" si="2"/>
        <v>#REF!</v>
      </c>
      <c r="E152" s="296">
        <v>24140</v>
      </c>
    </row>
    <row r="153" spans="1:5" ht="14.25" x14ac:dyDescent="0.2">
      <c r="A153" s="297" t="s">
        <v>601</v>
      </c>
      <c r="B153" s="294">
        <v>2</v>
      </c>
      <c r="C153" s="295" t="e">
        <f>+VLOOKUP(A153,#REF!,3,0)</f>
        <v>#REF!</v>
      </c>
      <c r="D153" s="295" t="e">
        <f t="shared" si="2"/>
        <v>#REF!</v>
      </c>
      <c r="E153" s="296">
        <v>14866</v>
      </c>
    </row>
    <row r="154" spans="1:5" ht="14.25" x14ac:dyDescent="0.2">
      <c r="A154" s="297" t="s">
        <v>250</v>
      </c>
      <c r="B154" s="294">
        <v>2</v>
      </c>
      <c r="C154" s="295" t="e">
        <f>+VLOOKUP(A154,#REF!,3,0)</f>
        <v>#REF!</v>
      </c>
      <c r="D154" s="295" t="e">
        <f t="shared" si="2"/>
        <v>#REF!</v>
      </c>
      <c r="E154" s="296">
        <v>11003</v>
      </c>
    </row>
    <row r="155" spans="1:5" ht="14.25" x14ac:dyDescent="0.2">
      <c r="A155" s="303" t="s">
        <v>373</v>
      </c>
      <c r="B155" s="294">
        <v>2</v>
      </c>
      <c r="C155" s="295" t="e">
        <f>+VLOOKUP(A155,#REF!,3,0)</f>
        <v>#REF!</v>
      </c>
      <c r="D155" s="295" t="e">
        <f t="shared" si="2"/>
        <v>#REF!</v>
      </c>
      <c r="E155" s="296">
        <v>9562</v>
      </c>
    </row>
    <row r="156" spans="1:5" ht="14.25" x14ac:dyDescent="0.2">
      <c r="A156" s="297" t="s">
        <v>602</v>
      </c>
      <c r="B156" s="294">
        <v>4</v>
      </c>
      <c r="C156" s="295" t="e">
        <f>+VLOOKUP(A156,#REF!,3,0)</f>
        <v>#REF!</v>
      </c>
      <c r="D156" s="295" t="e">
        <f t="shared" si="2"/>
        <v>#REF!</v>
      </c>
      <c r="E156" s="296">
        <v>2881</v>
      </c>
    </row>
    <row r="157" spans="1:5" ht="14.25" x14ac:dyDescent="0.2">
      <c r="A157" s="297" t="s">
        <v>603</v>
      </c>
      <c r="B157" s="294">
        <v>4</v>
      </c>
      <c r="C157" s="295" t="e">
        <f>+VLOOKUP(A157,#REF!,3,0)</f>
        <v>#REF!</v>
      </c>
      <c r="D157" s="295" t="e">
        <f t="shared" si="2"/>
        <v>#REF!</v>
      </c>
      <c r="E157" s="296">
        <v>4854</v>
      </c>
    </row>
    <row r="158" spans="1:5" ht="14.25" x14ac:dyDescent="0.2">
      <c r="A158" s="297" t="s">
        <v>411</v>
      </c>
      <c r="B158" s="294">
        <v>6</v>
      </c>
      <c r="C158" s="295" t="e">
        <f>+VLOOKUP(A158,#REF!,3,0)</f>
        <v>#REF!</v>
      </c>
      <c r="D158" s="295" t="e">
        <f t="shared" si="2"/>
        <v>#REF!</v>
      </c>
      <c r="E158" s="296">
        <v>29034</v>
      </c>
    </row>
    <row r="159" spans="1:5" ht="14.25" x14ac:dyDescent="0.2">
      <c r="A159" s="297" t="s">
        <v>604</v>
      </c>
      <c r="B159" s="294">
        <v>6</v>
      </c>
      <c r="C159" s="295" t="e">
        <f>+VLOOKUP(A159,#REF!,3,0)</f>
        <v>#REF!</v>
      </c>
      <c r="D159" s="295" t="e">
        <f t="shared" si="2"/>
        <v>#REF!</v>
      </c>
      <c r="E159" s="296">
        <v>6032</v>
      </c>
    </row>
    <row r="160" spans="1:5" ht="14.25" x14ac:dyDescent="0.2">
      <c r="A160" s="297" t="s">
        <v>605</v>
      </c>
      <c r="B160" s="300">
        <v>6</v>
      </c>
      <c r="C160" s="295" t="e">
        <f>+VLOOKUP(A160,#REF!,3,0)</f>
        <v>#REF!</v>
      </c>
      <c r="D160" s="295" t="e">
        <f t="shared" si="2"/>
        <v>#REF!</v>
      </c>
      <c r="E160" s="296">
        <v>173823</v>
      </c>
    </row>
    <row r="161" spans="1:5" ht="14.25" x14ac:dyDescent="0.2">
      <c r="A161" s="298" t="s">
        <v>606</v>
      </c>
      <c r="B161" s="300">
        <v>4</v>
      </c>
      <c r="C161" s="295" t="e">
        <f>+VLOOKUP(A161,#REF!,3,0)</f>
        <v>#REF!</v>
      </c>
      <c r="D161" s="295" t="e">
        <f t="shared" si="2"/>
        <v>#REF!</v>
      </c>
      <c r="E161" s="296">
        <v>26790</v>
      </c>
    </row>
    <row r="162" spans="1:5" ht="14.25" x14ac:dyDescent="0.2">
      <c r="A162" s="297" t="s">
        <v>607</v>
      </c>
      <c r="B162" s="294">
        <v>5</v>
      </c>
      <c r="C162" s="295" t="e">
        <f>+VLOOKUP(A162,#REF!,3,0)</f>
        <v>#REF!</v>
      </c>
      <c r="D162" s="295" t="e">
        <f t="shared" si="2"/>
        <v>#REF!</v>
      </c>
      <c r="E162" s="296">
        <v>2934</v>
      </c>
    </row>
    <row r="163" spans="1:5" ht="14.25" x14ac:dyDescent="0.2">
      <c r="A163" s="297" t="s">
        <v>608</v>
      </c>
      <c r="B163" s="294">
        <v>7</v>
      </c>
      <c r="C163" s="295" t="e">
        <f>+VLOOKUP(A163,#REF!,3,0)</f>
        <v>#REF!</v>
      </c>
      <c r="D163" s="295" t="e">
        <f t="shared" si="2"/>
        <v>#REF!</v>
      </c>
      <c r="E163" s="296">
        <v>15258</v>
      </c>
    </row>
    <row r="164" spans="1:5" ht="14.25" x14ac:dyDescent="0.2">
      <c r="A164" s="293" t="s">
        <v>8</v>
      </c>
      <c r="B164" s="300">
        <v>2</v>
      </c>
      <c r="C164" s="295" t="e">
        <f>+VLOOKUP(A164,#REF!,3,0)</f>
        <v>#REF!</v>
      </c>
      <c r="D164" s="295" t="e">
        <f t="shared" si="2"/>
        <v>#REF!</v>
      </c>
      <c r="E164" s="296">
        <v>15919</v>
      </c>
    </row>
    <row r="165" spans="1:5" ht="14.25" x14ac:dyDescent="0.2">
      <c r="A165" s="297" t="s">
        <v>313</v>
      </c>
      <c r="B165" s="294">
        <v>7</v>
      </c>
      <c r="C165" s="295" t="e">
        <f>+VLOOKUP(A165,#REF!,3,0)</f>
        <v>#REF!</v>
      </c>
      <c r="D165" s="295" t="e">
        <f t="shared" si="2"/>
        <v>#REF!</v>
      </c>
      <c r="E165" s="296">
        <v>3600</v>
      </c>
    </row>
    <row r="166" spans="1:5" ht="14.25" x14ac:dyDescent="0.2">
      <c r="A166" s="297" t="s">
        <v>119</v>
      </c>
      <c r="B166" s="294">
        <v>5</v>
      </c>
      <c r="C166" s="295" t="e">
        <f>+VLOOKUP(A166,#REF!,3,0)</f>
        <v>#REF!</v>
      </c>
      <c r="D166" s="295" t="e">
        <f t="shared" si="2"/>
        <v>#REF!</v>
      </c>
      <c r="E166" s="296">
        <v>6288</v>
      </c>
    </row>
    <row r="167" spans="1:5" ht="14.25" x14ac:dyDescent="0.2">
      <c r="A167" s="297" t="s">
        <v>609</v>
      </c>
      <c r="B167" s="300">
        <v>8</v>
      </c>
      <c r="C167" s="295" t="e">
        <f>+VLOOKUP(A167,#REF!,3,0)</f>
        <v>#REF!</v>
      </c>
      <c r="D167" s="295" t="e">
        <f t="shared" si="2"/>
        <v>#REF!</v>
      </c>
      <c r="E167" s="296">
        <v>24269</v>
      </c>
    </row>
    <row r="168" spans="1:5" ht="14.25" x14ac:dyDescent="0.2">
      <c r="A168" s="297" t="s">
        <v>610</v>
      </c>
      <c r="B168" s="294">
        <v>4</v>
      </c>
      <c r="C168" s="295" t="e">
        <f>+VLOOKUP(A168,#REF!,3,0)</f>
        <v>#REF!</v>
      </c>
      <c r="D168" s="295" t="e">
        <f t="shared" si="2"/>
        <v>#REF!</v>
      </c>
      <c r="E168" s="296">
        <v>6605</v>
      </c>
    </row>
    <row r="169" spans="1:5" ht="14.25" x14ac:dyDescent="0.2">
      <c r="A169" s="298" t="s">
        <v>611</v>
      </c>
      <c r="B169" s="300">
        <v>5</v>
      </c>
      <c r="C169" s="295" t="e">
        <f>+VLOOKUP(A169,#REF!,3,0)</f>
        <v>#REF!</v>
      </c>
      <c r="D169" s="295" t="e">
        <f t="shared" si="2"/>
        <v>#REF!</v>
      </c>
      <c r="E169" s="296">
        <v>48894</v>
      </c>
    </row>
    <row r="170" spans="1:5" ht="14.25" x14ac:dyDescent="0.2">
      <c r="A170" s="298" t="s">
        <v>612</v>
      </c>
      <c r="B170" s="300">
        <v>6</v>
      </c>
      <c r="C170" s="295" t="e">
        <f>+VLOOKUP(A170,#REF!,3,0)</f>
        <v>#REF!</v>
      </c>
      <c r="D170" s="295" t="e">
        <f t="shared" si="2"/>
        <v>#REF!</v>
      </c>
      <c r="E170" s="296">
        <v>37092</v>
      </c>
    </row>
    <row r="171" spans="1:5" ht="14.25" x14ac:dyDescent="0.2">
      <c r="A171" s="298" t="s">
        <v>613</v>
      </c>
      <c r="B171" s="300">
        <v>4</v>
      </c>
      <c r="C171" s="295" t="e">
        <f>+VLOOKUP(A171,#REF!,3,0)</f>
        <v>#REF!</v>
      </c>
      <c r="D171" s="295" t="e">
        <f t="shared" si="2"/>
        <v>#REF!</v>
      </c>
      <c r="E171" s="296">
        <v>48255</v>
      </c>
    </row>
    <row r="172" spans="1:5" ht="14.25" x14ac:dyDescent="0.2">
      <c r="A172" s="297" t="s">
        <v>614</v>
      </c>
      <c r="B172" s="294">
        <v>8</v>
      </c>
      <c r="C172" s="295" t="e">
        <f>+VLOOKUP(A172,#REF!,3,0)</f>
        <v>#REF!</v>
      </c>
      <c r="D172" s="295" t="e">
        <f t="shared" si="2"/>
        <v>#REF!</v>
      </c>
      <c r="E172" s="296">
        <v>13402</v>
      </c>
    </row>
    <row r="173" spans="1:5" ht="14.25" x14ac:dyDescent="0.2">
      <c r="A173" s="298" t="s">
        <v>615</v>
      </c>
      <c r="B173" s="300">
        <v>5</v>
      </c>
      <c r="C173" s="295" t="e">
        <f>+VLOOKUP(A173,#REF!,3,0)</f>
        <v>#REF!</v>
      </c>
      <c r="D173" s="295" t="e">
        <f t="shared" si="2"/>
        <v>#REF!</v>
      </c>
      <c r="E173" s="296">
        <v>38371</v>
      </c>
    </row>
    <row r="174" spans="1:5" ht="14.25" x14ac:dyDescent="0.2">
      <c r="A174" s="249" t="s">
        <v>510</v>
      </c>
      <c r="B174" s="294">
        <v>3</v>
      </c>
      <c r="C174" s="295" t="e">
        <f>+VLOOKUP(A174,#REF!,3,0)</f>
        <v>#REF!</v>
      </c>
      <c r="D174" s="295" t="e">
        <f t="shared" si="2"/>
        <v>#REF!</v>
      </c>
      <c r="E174" s="296">
        <v>2937</v>
      </c>
    </row>
    <row r="175" spans="1:5" ht="14.25" x14ac:dyDescent="0.2">
      <c r="A175" s="298" t="s">
        <v>616</v>
      </c>
      <c r="B175" s="300">
        <v>6</v>
      </c>
      <c r="C175" s="295" t="e">
        <f>+VLOOKUP(A175,#REF!,3,0)</f>
        <v>#REF!</v>
      </c>
      <c r="D175" s="295" t="e">
        <f t="shared" si="2"/>
        <v>#REF!</v>
      </c>
      <c r="E175" s="296">
        <v>39733</v>
      </c>
    </row>
    <row r="176" spans="1:5" ht="14.25" x14ac:dyDescent="0.2">
      <c r="A176" s="298" t="s">
        <v>9</v>
      </c>
      <c r="B176" s="300">
        <v>4</v>
      </c>
      <c r="C176" s="295" t="e">
        <f>+VLOOKUP(A176,#REF!,3,0)</f>
        <v>#REF!</v>
      </c>
      <c r="D176" s="295" t="e">
        <f t="shared" si="2"/>
        <v>#REF!</v>
      </c>
      <c r="E176" s="296">
        <v>19240</v>
      </c>
    </row>
    <row r="177" spans="1:5" ht="14.25" x14ac:dyDescent="0.2">
      <c r="A177" s="297" t="s">
        <v>617</v>
      </c>
      <c r="B177" s="294">
        <v>5</v>
      </c>
      <c r="C177" s="295" t="e">
        <f>+VLOOKUP(A177,#REF!,3,0)</f>
        <v>#REF!</v>
      </c>
      <c r="D177" s="295" t="e">
        <f t="shared" si="2"/>
        <v>#REF!</v>
      </c>
      <c r="E177" s="296">
        <v>9640</v>
      </c>
    </row>
    <row r="178" spans="1:5" ht="14.25" x14ac:dyDescent="0.2">
      <c r="A178" s="297" t="s">
        <v>118</v>
      </c>
      <c r="B178" s="300">
        <v>5</v>
      </c>
      <c r="C178" s="295" t="e">
        <f>+VLOOKUP(A178,#REF!,3,0)</f>
        <v>#REF!</v>
      </c>
      <c r="D178" s="295" t="e">
        <f t="shared" si="2"/>
        <v>#REF!</v>
      </c>
      <c r="E178" s="296">
        <v>22003</v>
      </c>
    </row>
    <row r="179" spans="1:5" ht="14.25" x14ac:dyDescent="0.2">
      <c r="A179" s="297" t="s">
        <v>126</v>
      </c>
      <c r="B179" s="294">
        <v>6</v>
      </c>
      <c r="C179" s="295" t="e">
        <f>+VLOOKUP(A179,#REF!,3,0)</f>
        <v>#REF!</v>
      </c>
      <c r="D179" s="295" t="e">
        <f t="shared" si="2"/>
        <v>#REF!</v>
      </c>
      <c r="E179" s="296">
        <v>6093</v>
      </c>
    </row>
    <row r="180" spans="1:5" ht="14.25" x14ac:dyDescent="0.2">
      <c r="A180" s="297" t="s">
        <v>618</v>
      </c>
      <c r="B180" s="294">
        <v>4</v>
      </c>
      <c r="C180" s="295" t="e">
        <f>+VLOOKUP(A180,#REF!,3,0)</f>
        <v>#REF!</v>
      </c>
      <c r="D180" s="295" t="e">
        <f t="shared" si="2"/>
        <v>#REF!</v>
      </c>
      <c r="E180" s="296">
        <v>7350</v>
      </c>
    </row>
    <row r="181" spans="1:5" ht="14.25" x14ac:dyDescent="0.2">
      <c r="A181" s="298" t="s">
        <v>265</v>
      </c>
      <c r="B181" s="300">
        <v>6</v>
      </c>
      <c r="C181" s="295" t="e">
        <f>+VLOOKUP(A181,#REF!,3,0)</f>
        <v>#REF!</v>
      </c>
      <c r="D181" s="295" t="e">
        <f t="shared" si="2"/>
        <v>#REF!</v>
      </c>
      <c r="E181" s="296">
        <v>35968</v>
      </c>
    </row>
    <row r="182" spans="1:5" ht="14.25" x14ac:dyDescent="0.2">
      <c r="A182" s="297" t="s">
        <v>24</v>
      </c>
      <c r="B182" s="294">
        <v>7</v>
      </c>
      <c r="C182" s="295" t="e">
        <f>+VLOOKUP(A182,#REF!,3,0)</f>
        <v>#REF!</v>
      </c>
      <c r="D182" s="295" t="e">
        <f t="shared" si="2"/>
        <v>#REF!</v>
      </c>
      <c r="E182" s="296">
        <v>2269</v>
      </c>
    </row>
    <row r="183" spans="1:5" ht="14.25" x14ac:dyDescent="0.2">
      <c r="A183" s="298" t="s">
        <v>619</v>
      </c>
      <c r="B183" s="300">
        <v>6</v>
      </c>
      <c r="C183" s="295" t="e">
        <f>+VLOOKUP(A183,#REF!,3,0)</f>
        <v>#REF!</v>
      </c>
      <c r="D183" s="295" t="e">
        <f t="shared" si="2"/>
        <v>#REF!</v>
      </c>
      <c r="E183" s="296">
        <v>214616</v>
      </c>
    </row>
    <row r="184" spans="1:5" ht="14.25" x14ac:dyDescent="0.2">
      <c r="A184" s="298" t="s">
        <v>620</v>
      </c>
      <c r="B184" s="300">
        <v>2</v>
      </c>
      <c r="C184" s="295" t="e">
        <f>+VLOOKUP(A184,#REF!,3,0)</f>
        <v>#REF!</v>
      </c>
      <c r="D184" s="295" t="e">
        <f t="shared" si="2"/>
        <v>#REF!</v>
      </c>
      <c r="E184" s="296">
        <v>35760</v>
      </c>
    </row>
    <row r="185" spans="1:5" ht="14.25" x14ac:dyDescent="0.2">
      <c r="A185" s="298" t="s">
        <v>409</v>
      </c>
      <c r="B185" s="300">
        <v>6</v>
      </c>
      <c r="C185" s="295" t="e">
        <f>+VLOOKUP(A185,#REF!,3,0)</f>
        <v>#REF!</v>
      </c>
      <c r="D185" s="295" t="e">
        <f t="shared" si="2"/>
        <v>#REF!</v>
      </c>
      <c r="E185" s="296">
        <v>100103</v>
      </c>
    </row>
    <row r="186" spans="1:5" ht="14.25" x14ac:dyDescent="0.2">
      <c r="A186" s="297" t="s">
        <v>621</v>
      </c>
      <c r="B186" s="294">
        <v>3</v>
      </c>
      <c r="C186" s="295" t="e">
        <f>+VLOOKUP(A186,#REF!,3,0)</f>
        <v>#REF!</v>
      </c>
      <c r="D186" s="295" t="e">
        <f t="shared" si="2"/>
        <v>#REF!</v>
      </c>
      <c r="E186" s="296">
        <v>15042</v>
      </c>
    </row>
    <row r="187" spans="1:5" ht="14.25" x14ac:dyDescent="0.2">
      <c r="A187" s="297" t="s">
        <v>288</v>
      </c>
      <c r="B187" s="294">
        <v>2</v>
      </c>
      <c r="C187" s="295" t="e">
        <f>+VLOOKUP(A187,#REF!,3,0)</f>
        <v>#REF!</v>
      </c>
      <c r="D187" s="295" t="e">
        <f t="shared" si="2"/>
        <v>#REF!</v>
      </c>
      <c r="E187" s="296">
        <v>8050</v>
      </c>
    </row>
    <row r="188" spans="1:5" ht="14.25" x14ac:dyDescent="0.2">
      <c r="A188" s="298" t="s">
        <v>292</v>
      </c>
      <c r="B188" s="300">
        <v>4</v>
      </c>
      <c r="C188" s="295" t="e">
        <f>+VLOOKUP(A188,#REF!,3,0)</f>
        <v>#REF!</v>
      </c>
      <c r="D188" s="295" t="e">
        <f t="shared" si="2"/>
        <v>#REF!</v>
      </c>
      <c r="E188" s="296">
        <v>63133</v>
      </c>
    </row>
    <row r="189" spans="1:5" ht="14.25" x14ac:dyDescent="0.2">
      <c r="A189" s="298" t="s">
        <v>195</v>
      </c>
      <c r="B189" s="300">
        <v>7</v>
      </c>
      <c r="C189" s="295" t="e">
        <f>+VLOOKUP(A189,#REF!,3,0)</f>
        <v>#REF!</v>
      </c>
      <c r="D189" s="295" t="e">
        <f t="shared" si="2"/>
        <v>#REF!</v>
      </c>
      <c r="E189" s="296">
        <v>126547</v>
      </c>
    </row>
    <row r="190" spans="1:5" ht="14.25" x14ac:dyDescent="0.2">
      <c r="A190" s="298" t="s">
        <v>622</v>
      </c>
      <c r="B190" s="300">
        <v>9</v>
      </c>
      <c r="C190" s="295" t="e">
        <f>+VLOOKUP(A190,#REF!,3,0)</f>
        <v>#REF!</v>
      </c>
      <c r="D190" s="295" t="e">
        <f t="shared" si="2"/>
        <v>#REF!</v>
      </c>
      <c r="E190" s="296">
        <v>35587</v>
      </c>
    </row>
    <row r="191" spans="1:5" ht="14.25" x14ac:dyDescent="0.2">
      <c r="A191" s="297" t="s">
        <v>234</v>
      </c>
      <c r="B191" s="294">
        <v>8</v>
      </c>
      <c r="C191" s="295" t="e">
        <f>+VLOOKUP(A191,#REF!,3,0)</f>
        <v>#REF!</v>
      </c>
      <c r="D191" s="295" t="e">
        <f t="shared" si="2"/>
        <v>#REF!</v>
      </c>
      <c r="E191" s="296">
        <v>5358</v>
      </c>
    </row>
    <row r="192" spans="1:5" ht="14.25" x14ac:dyDescent="0.2">
      <c r="A192" s="298" t="s">
        <v>197</v>
      </c>
      <c r="B192" s="300">
        <v>8</v>
      </c>
      <c r="C192" s="295" t="e">
        <f>+VLOOKUP(A192,#REF!,3,0)</f>
        <v>#REF!</v>
      </c>
      <c r="D192" s="295" t="e">
        <f t="shared" si="2"/>
        <v>#REF!</v>
      </c>
      <c r="E192" s="296">
        <v>69657</v>
      </c>
    </row>
    <row r="193" spans="1:5" ht="14.25" x14ac:dyDescent="0.2">
      <c r="A193" s="298" t="s">
        <v>623</v>
      </c>
      <c r="B193" s="294">
        <v>2</v>
      </c>
      <c r="C193" s="295" t="e">
        <f>+VLOOKUP(A193,#REF!,3,0)</f>
        <v>#REF!</v>
      </c>
      <c r="D193" s="295" t="e">
        <f t="shared" si="2"/>
        <v>#REF!</v>
      </c>
      <c r="E193" s="296">
        <v>4572</v>
      </c>
    </row>
    <row r="194" spans="1:5" ht="14.25" x14ac:dyDescent="0.2">
      <c r="A194" s="298" t="s">
        <v>252</v>
      </c>
      <c r="B194" s="294">
        <v>2</v>
      </c>
      <c r="C194" s="295" t="e">
        <f>+VLOOKUP(A194,#REF!,3,0)</f>
        <v>#REF!</v>
      </c>
      <c r="D194" s="295" t="e">
        <f t="shared" ref="D194:D202" si="3">+C194-B194</f>
        <v>#REF!</v>
      </c>
      <c r="E194" s="296">
        <v>5495</v>
      </c>
    </row>
    <row r="195" spans="1:5" ht="14.25" x14ac:dyDescent="0.2">
      <c r="A195" s="298" t="s">
        <v>21</v>
      </c>
      <c r="B195" s="300">
        <v>4</v>
      </c>
      <c r="C195" s="295" t="e">
        <f>+VLOOKUP(A195,#REF!,3,0)</f>
        <v>#REF!</v>
      </c>
      <c r="D195" s="295" t="e">
        <f t="shared" si="3"/>
        <v>#REF!</v>
      </c>
      <c r="E195" s="296">
        <v>19826</v>
      </c>
    </row>
    <row r="196" spans="1:5" ht="14.25" x14ac:dyDescent="0.2">
      <c r="A196" s="297" t="s">
        <v>12</v>
      </c>
      <c r="B196" s="294">
        <v>8</v>
      </c>
      <c r="C196" s="295" t="e">
        <f>+VLOOKUP(A196,#REF!,3,0)</f>
        <v>#REF!</v>
      </c>
      <c r="D196" s="295" t="e">
        <f t="shared" si="3"/>
        <v>#REF!</v>
      </c>
      <c r="E196" s="296">
        <v>16597</v>
      </c>
    </row>
    <row r="197" spans="1:5" ht="14.25" x14ac:dyDescent="0.2">
      <c r="A197" s="297" t="s">
        <v>624</v>
      </c>
      <c r="B197" s="294">
        <v>5</v>
      </c>
      <c r="C197" s="295" t="e">
        <f>+VLOOKUP(A197,#REF!,3,0)</f>
        <v>#REF!</v>
      </c>
      <c r="D197" s="295" t="e">
        <f t="shared" si="3"/>
        <v>#REF!</v>
      </c>
      <c r="E197" s="296">
        <v>5181</v>
      </c>
    </row>
    <row r="198" spans="1:5" ht="14.25" x14ac:dyDescent="0.2">
      <c r="A198" s="297" t="s">
        <v>257</v>
      </c>
      <c r="B198" s="294">
        <v>2</v>
      </c>
      <c r="C198" s="295" t="e">
        <f>+VLOOKUP(A198,#REF!,3,0)</f>
        <v>#REF!</v>
      </c>
      <c r="D198" s="295" t="e">
        <f t="shared" si="3"/>
        <v>#REF!</v>
      </c>
      <c r="E198" s="296">
        <v>5619</v>
      </c>
    </row>
    <row r="199" spans="1:5" ht="14.25" x14ac:dyDescent="0.2">
      <c r="A199" s="297" t="s">
        <v>258</v>
      </c>
      <c r="B199" s="300">
        <v>3</v>
      </c>
      <c r="C199" s="295" t="e">
        <f>+VLOOKUP(A199,#REF!,3,0)</f>
        <v>#REF!</v>
      </c>
      <c r="D199" s="295" t="e">
        <f t="shared" si="3"/>
        <v>#REF!</v>
      </c>
      <c r="E199" s="296">
        <v>31173</v>
      </c>
    </row>
    <row r="200" spans="1:5" ht="14.25" x14ac:dyDescent="0.2">
      <c r="A200" s="298" t="s">
        <v>625</v>
      </c>
      <c r="B200" s="300">
        <v>8</v>
      </c>
      <c r="C200" s="295" t="e">
        <f>+VLOOKUP(A200,#REF!,3,0)</f>
        <v>#REF!</v>
      </c>
      <c r="D200" s="295" t="e">
        <f t="shared" si="3"/>
        <v>#REF!</v>
      </c>
      <c r="E200" s="296">
        <v>363387</v>
      </c>
    </row>
    <row r="201" spans="1:5" ht="14.25" x14ac:dyDescent="0.2">
      <c r="A201" s="297" t="s">
        <v>626</v>
      </c>
      <c r="B201" s="294">
        <v>9</v>
      </c>
      <c r="C201" s="295" t="e">
        <f>+VLOOKUP(A201,#REF!,3,0)</f>
        <v>#REF!</v>
      </c>
      <c r="D201" s="295" t="e">
        <f t="shared" si="3"/>
        <v>#REF!</v>
      </c>
      <c r="E201" s="296">
        <v>7854</v>
      </c>
    </row>
    <row r="202" spans="1:5" ht="14.25" x14ac:dyDescent="0.2">
      <c r="A202" s="297" t="s">
        <v>247</v>
      </c>
      <c r="B202" s="294">
        <v>1</v>
      </c>
      <c r="C202" s="295" t="e">
        <f>+VLOOKUP(A202,#REF!,3,0)</f>
        <v>#REF!</v>
      </c>
      <c r="D202" s="295" t="e">
        <f t="shared" si="3"/>
        <v>#REF!</v>
      </c>
      <c r="E202" s="296">
        <v>11916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קבצים להורדה" ma:contentTypeID="0x0101009B062CC07971A94494097F37B7CF51C70073D90BEFD4AAD3478D802B7FD2C15ACE" ma:contentTypeVersion="13" ma:contentTypeDescription="" ma:contentTypeScope="" ma:versionID="f0aeed38f181ddea05cafba8a5bae5f8">
  <xsd:schema xmlns:xsd="http://www.w3.org/2001/XMLSchema" xmlns:p="http://schemas.microsoft.com/office/2006/metadata/properties" xmlns:ns2="7c9e7d92-4d2e-4d6f-8ea5-12e4091e13b4" targetNamespace="http://schemas.microsoft.com/office/2006/metadata/properties" ma:root="true" ma:fieldsID="e5c9ff000327c0f228d934ef27bfe234" ns2:_="">
    <xsd:import namespace="7c9e7d92-4d2e-4d6f-8ea5-12e4091e13b4"/>
    <xsd:element name="properties">
      <xsd:complexType>
        <xsd:sequence>
          <xsd:element name="documentManagement">
            <xsd:complexType>
              <xsd:all>
                <xsd:element ref="ns2:Description"/>
                <xsd:element ref="ns2:FileGroup" minOccurs="0"/>
                <xsd:element ref="ns2:ToPublish" minOccurs="0"/>
                <xsd:element ref="ns2:PublishStartDate" minOccurs="0"/>
                <xsd:element ref="ns2:PublishEndDate" minOccurs="0"/>
                <xsd:element ref="ns2:OrderIndex"/>
              </xsd:all>
            </xsd:complexType>
          </xsd:element>
        </xsd:sequence>
      </xsd:complexType>
    </xsd:element>
  </xsd:schema>
  <xsd:schema xmlns:xsd="http://www.w3.org/2001/XMLSchema" xmlns:dms="http://schemas.microsoft.com/office/2006/documentManagement/types" targetNamespace="7c9e7d92-4d2e-4d6f-8ea5-12e4091e13b4" elementFormDefault="qualified">
    <xsd:import namespace="http://schemas.microsoft.com/office/2006/documentManagement/types"/>
    <xsd:element name="Description" ma:index="2" ma:displayName="תאור" ma:internalName="Description">
      <xsd:simpleType>
        <xsd:restriction base="dms:Note"/>
      </xsd:simpleType>
    </xsd:element>
    <xsd:element name="FileGroup" ma:index="3" nillable="true" ma:displayName="נושא המסמך" ma:list="{1d967b34-d578-438a-8871-0342ca02cdc7}" ma:internalName="FileGroup" ma:showField="Title" ma:web="7c9e7d92-4d2e-4d6f-8ea5-12e4091e13b4">
      <xsd:simpleType>
        <xsd:restriction base="dms:Lookup"/>
      </xsd:simpleType>
    </xsd:element>
    <xsd:element name="ToPublish" ma:index="4" nillable="true" ma:displayName="לפרסום" ma:default="1" ma:internalName="ToPublish">
      <xsd:simpleType>
        <xsd:restriction base="dms:Boolean"/>
      </xsd:simpleType>
    </xsd:element>
    <xsd:element name="PublishStartDate" ma:index="5" nillable="true" ma:displayName="תאריך תחילת פרסום" ma:format="DateTime" ma:internalName="PublishStartDate">
      <xsd:simpleType>
        <xsd:restriction base="dms:DateTime"/>
      </xsd:simpleType>
    </xsd:element>
    <xsd:element name="PublishEndDate" ma:index="6" nillable="true" ma:displayName="תאריך סיום פרסום" ma:format="DateTime" ma:internalName="PublishEndDate">
      <xsd:simpleType>
        <xsd:restriction base="dms:DateTime"/>
      </xsd:simpleType>
    </xsd:element>
    <xsd:element name="OrderIndex" ma:index="7" ma:displayName="סדר הצגה" ma:internalName="OrderIndex" ma:percentage="FALSE">
      <xsd:simpleType>
        <xsd:restriction base="dms:Number"/>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סוג תוכן"/>
        <xsd:element ref="dc:title" minOccurs="0" maxOccurs="1" ma:index="1"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ublishStartDate xmlns="7c9e7d92-4d2e-4d6f-8ea5-12e4091e13b4" xsi:nil="true"/>
    <OrderIndex xmlns="7c9e7d92-4d2e-4d6f-8ea5-12e4091e13b4">4</OrderIndex>
    <Description xmlns="7c9e7d92-4d2e-4d6f-8ea5-12e4091e13b4"/>
    <ToPublish xmlns="7c9e7d92-4d2e-4d6f-8ea5-12e4091e13b4">true</ToPublish>
    <PublishEndDate xmlns="7c9e7d92-4d2e-4d6f-8ea5-12e4091e13b4" xsi:nil="true"/>
    <FileGroup xmlns="7c9e7d92-4d2e-4d6f-8ea5-12e4091e13b4" xsi:nil="true"/>
  </documentManagement>
</p:properties>
</file>

<file path=customXml/itemProps1.xml><?xml version="1.0" encoding="utf-8"?>
<ds:datastoreItem xmlns:ds="http://schemas.openxmlformats.org/officeDocument/2006/customXml" ds:itemID="{6221F2F7-EB3D-44BB-A192-9BF609383C0E}"/>
</file>

<file path=customXml/itemProps2.xml><?xml version="1.0" encoding="utf-8"?>
<ds:datastoreItem xmlns:ds="http://schemas.openxmlformats.org/officeDocument/2006/customXml" ds:itemID="{48E09E12-0664-40E2-89D8-6A1D9D2175B9}"/>
</file>

<file path=customXml/itemProps3.xml><?xml version="1.0" encoding="utf-8"?>
<ds:datastoreItem xmlns:ds="http://schemas.openxmlformats.org/officeDocument/2006/customXml" ds:itemID="{99205B8D-FC73-4B25-8B09-B8BE08750B4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10</vt:i4>
      </vt:variant>
      <vt:variant>
        <vt:lpstr>טווחים בעלי שם</vt:lpstr>
      </vt:variant>
      <vt:variant>
        <vt:i4>2</vt:i4>
      </vt:variant>
    </vt:vector>
  </HeadingPairs>
  <TitlesOfParts>
    <vt:vector size="12" baseType="lpstr">
      <vt:lpstr>תעריף ביוב רשויות </vt:lpstr>
      <vt:lpstr>תעריף רכישה רשויות </vt:lpstr>
      <vt:lpstr>תעריף כמות מוכרת</vt:lpstr>
      <vt:lpstr>תעריף מים לכמות נוספת</vt:lpstr>
      <vt:lpstr>תחשיב הכרה בעלויות </vt:lpstr>
      <vt:lpstr>מדדים</vt:lpstr>
      <vt:lpstr>כמויות 2013</vt:lpstr>
      <vt:lpstr>אגרות ביוב</vt:lpstr>
      <vt:lpstr>מטש</vt:lpstr>
      <vt:lpstr>אשכול חברתי</vt:lpstr>
      <vt:lpstr>מדדים!WPrint_Area_W</vt:lpstr>
      <vt:lpstr>מדדים!WPrint_TitlesW</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קובץ לתחשיב רשויות מקומיות שחייבות בתיאגוד</dc:title>
  <dc:creator>ilan1958</dc:creator>
  <cp:lastModifiedBy>BackUp</cp:lastModifiedBy>
  <dcterms:created xsi:type="dcterms:W3CDTF">2015-03-23T08:06:50Z</dcterms:created>
  <dcterms:modified xsi:type="dcterms:W3CDTF">2016-01-07T11:29:50Z</dcterms:modified>
  <cp:contentType>קבצים להורדה</cp:contentTyp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0x0101009B062CC07971A94494097F37B7CF51C70073D90BEFD4AAD3478D802B7FD2C15ACE</vt:lpwstr>
  </property>
</Properties>
</file>