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75" windowWidth="17115" windowHeight="8640" activeTab="1"/>
  </bookViews>
  <sheets>
    <sheet name="נתוני תכן וחישובי עזר " sheetId="2" r:id="rId1"/>
    <sheet name="סימולאטור" sheetId="3" r:id="rId2"/>
    <sheet name="טופס הודעת חיוב" sheetId="5" r:id="rId3"/>
  </sheets>
  <definedNames>
    <definedName name="_xlnm._FilterDatabase" localSheetId="1" hidden="1">סימולאטור!$A$4:$D$20</definedName>
    <definedName name="_xlnm.Print_Area" localSheetId="2">'טופס הודעת חיוב'!$A$1:$H$89</definedName>
    <definedName name="_xlnm.Print_Area" localSheetId="0">'נתוני תכן וחישובי עזר '!$A$1:$H$96</definedName>
    <definedName name="_xlnm.Print_Area" localSheetId="1">סימולאטור!$A$1:$C$39</definedName>
  </definedNames>
  <calcPr calcId="145621"/>
</workbook>
</file>

<file path=xl/calcChain.xml><?xml version="1.0" encoding="utf-8"?>
<calcChain xmlns="http://schemas.openxmlformats.org/spreadsheetml/2006/main">
  <c r="F53" i="2" l="1"/>
  <c r="C46" i="2" l="1"/>
  <c r="D52" i="2" s="1"/>
  <c r="C45" i="2"/>
  <c r="C52" i="2" s="1"/>
  <c r="C18" i="2"/>
  <c r="C16" i="2"/>
  <c r="C19" i="2"/>
  <c r="C48" i="2" s="1"/>
  <c r="F52" i="2" s="1"/>
  <c r="C17" i="2"/>
  <c r="C47" i="2" s="1"/>
  <c r="E52" i="2" s="1"/>
  <c r="D87" i="2" l="1"/>
  <c r="E87" i="2"/>
  <c r="F87" i="2"/>
  <c r="C87" i="2"/>
  <c r="D12" i="5" l="1"/>
  <c r="C24" i="3" l="1"/>
  <c r="C25" i="3"/>
  <c r="C26" i="3"/>
  <c r="C16" i="3" l="1"/>
  <c r="C35" i="3" s="1"/>
  <c r="C15" i="3"/>
  <c r="B22" i="3"/>
  <c r="C22" i="3"/>
  <c r="C17" i="3" l="1"/>
  <c r="E64" i="5"/>
  <c r="B68" i="5" l="1"/>
  <c r="C49" i="5"/>
  <c r="E68" i="5" l="1"/>
  <c r="D4" i="2" l="1"/>
  <c r="G34" i="5" l="1"/>
  <c r="E47" i="2"/>
  <c r="C23" i="3"/>
  <c r="E72" i="5" l="1"/>
  <c r="E48" i="2"/>
  <c r="E46" i="2"/>
  <c r="E45" i="2"/>
  <c r="C34" i="5"/>
  <c r="B24" i="3" l="1"/>
  <c r="B25" i="3"/>
  <c r="B26" i="3"/>
  <c r="B23" i="3"/>
  <c r="C28" i="3" l="1"/>
  <c r="A20" i="3"/>
  <c r="F45" i="2"/>
  <c r="E36" i="2"/>
  <c r="E33" i="2"/>
  <c r="F47" i="2"/>
  <c r="F46" i="2"/>
  <c r="F48" i="2"/>
  <c r="E35" i="2" l="1"/>
  <c r="E53" i="2"/>
  <c r="E85" i="2" s="1"/>
  <c r="C53" i="2"/>
  <c r="C85" i="2" s="1"/>
  <c r="C86" i="2" s="1"/>
  <c r="D53" i="2"/>
  <c r="D85" i="2" s="1"/>
  <c r="D86" i="2" s="1"/>
  <c r="B82" i="2"/>
  <c r="F85" i="2" l="1"/>
  <c r="F86" i="2" s="1"/>
  <c r="E86" i="2"/>
  <c r="G86" i="2" l="1"/>
  <c r="G85" i="2"/>
  <c r="C19" i="3" s="1"/>
  <c r="C20" i="3" l="1"/>
  <c r="G42" i="5" s="1"/>
  <c r="G38" i="5"/>
  <c r="C34" i="3" l="1"/>
  <c r="C37" i="3" s="1"/>
  <c r="E70" i="5" l="1"/>
  <c r="E74" i="5" s="1"/>
  <c r="E79" i="5" s="1"/>
</calcChain>
</file>

<file path=xl/sharedStrings.xml><?xml version="1.0" encoding="utf-8"?>
<sst xmlns="http://schemas.openxmlformats.org/spreadsheetml/2006/main" count="173" uniqueCount="144">
  <si>
    <t>המרכיב</t>
  </si>
  <si>
    <t xml:space="preserve">צריכת חמצן כימית (COD) </t>
  </si>
  <si>
    <t>כלל מוצקים מרחפים (TSS)</t>
  </si>
  <si>
    <t>חנקן קילדל</t>
  </si>
  <si>
    <t>זרחן כ-P</t>
  </si>
  <si>
    <t xml:space="preserve">עלות כוללת למפעל בש"ח למ"ק שפכים ממוצע  </t>
  </si>
  <si>
    <t>סה"כ למט"ש באיכות להשקייה ללא מגבלות</t>
  </si>
  <si>
    <t>סה"כ למט"ש באיכות שניונית</t>
  </si>
  <si>
    <t>שפכי המט"ש</t>
  </si>
  <si>
    <t>קולחי המט"ש</t>
  </si>
  <si>
    <t>צריכת אנרגיה סגולית</t>
  </si>
  <si>
    <t>קווט"ש למ"ק</t>
  </si>
  <si>
    <t>ספיקת שפכים</t>
  </si>
  <si>
    <t>מ"ק ליום</t>
  </si>
  <si>
    <t>מג"ל</t>
  </si>
  <si>
    <t>פקטורי חישוב לחלוקת העלות לפי מזהם</t>
  </si>
  <si>
    <t>המזהם</t>
  </si>
  <si>
    <t>אנרגיה</t>
  </si>
  <si>
    <t>כימיקלים/ייצור בוצה</t>
  </si>
  <si>
    <t>החזר הון\הוצאות קבועות</t>
  </si>
  <si>
    <t>פקטור חישוב לאיכות לפי ענבר</t>
  </si>
  <si>
    <t>האיכות הנדרשת</t>
  </si>
  <si>
    <t>הפקטור הכולל</t>
  </si>
  <si>
    <t>איכות להשקייה ללא מגבלות</t>
  </si>
  <si>
    <t>איכות נמוכה מההשקייה ללא מגבלות</t>
  </si>
  <si>
    <t>נתוני עלות</t>
  </si>
  <si>
    <t>ממוצע תעו"ז מתח גבוה</t>
  </si>
  <si>
    <t>₪ לקווט"ש</t>
  </si>
  <si>
    <t>מחיר כימיקל</t>
  </si>
  <si>
    <t>₪ לק'"ג</t>
  </si>
  <si>
    <t>עלות פינוי בוצה</t>
  </si>
  <si>
    <t>₪ לטון</t>
  </si>
  <si>
    <t>השקעה לפי נוסחת עלות כתלות בספיקה (50% מההשקעה ילקחו בחשבון)</t>
  </si>
  <si>
    <t>₪</t>
  </si>
  <si>
    <t>מקדם החזר הון</t>
  </si>
  <si>
    <t>עשרוני</t>
  </si>
  <si>
    <t>החזר הון</t>
  </si>
  <si>
    <t>₪ לשנה</t>
  </si>
  <si>
    <t>עלויות קבועות למט"ש לפי נוסחת עלות כתלות בספיקה</t>
  </si>
  <si>
    <t>₪ למ"ק</t>
  </si>
  <si>
    <t>CF להשקעה ולהוצאות הקבועות</t>
  </si>
  <si>
    <t>נוסחת השקעה</t>
  </si>
  <si>
    <t>0.05*(QdWWTP)^0.68*10^6</t>
  </si>
  <si>
    <t>נוסחת חישוב עלות קבועה</t>
  </si>
  <si>
    <t>5.19*(QdWWTP)^-0.26</t>
  </si>
  <si>
    <t>חישובי עומסי מזהמים להרחקה</t>
  </si>
  <si>
    <t>עומס זיהום להרחקה משפכי היצרן</t>
  </si>
  <si>
    <t>עומס זיהום מסולק במט"ש</t>
  </si>
  <si>
    <t>חישוב מרכיבי העלות</t>
  </si>
  <si>
    <r>
      <t>P</t>
    </r>
    <r>
      <rPr>
        <b/>
        <vertAlign val="subscript"/>
        <sz val="12"/>
        <color indexed="8"/>
        <rFont val="Times New Roman"/>
        <family val="1"/>
      </rPr>
      <t>factor</t>
    </r>
  </si>
  <si>
    <r>
      <t>C</t>
    </r>
    <r>
      <rPr>
        <b/>
        <vertAlign val="subscript"/>
        <sz val="12"/>
        <color indexed="8"/>
        <rFont val="Times New Roman"/>
        <family val="1"/>
      </rPr>
      <t>factor</t>
    </r>
  </si>
  <si>
    <r>
      <t>INV</t>
    </r>
    <r>
      <rPr>
        <b/>
        <vertAlign val="subscript"/>
        <sz val="12"/>
        <color indexed="8"/>
        <rFont val="Times New Roman"/>
        <family val="1"/>
      </rPr>
      <t>factor</t>
    </r>
  </si>
  <si>
    <t>סימולאטור עזר לחיוב חשבון הצרכן בהתאם לכללי שפכי מפעלים:</t>
  </si>
  <si>
    <t>(תא בירוק - נתונים שיש להשלימם)</t>
  </si>
  <si>
    <t>ק"ג ליום</t>
  </si>
  <si>
    <t>כן</t>
  </si>
  <si>
    <t>חיוב בגין שפכים חריגים</t>
  </si>
  <si>
    <t>סה"כ החיוב למפעל בגין הזרמת השפכים (חריגים ואסורים)</t>
  </si>
  <si>
    <t>חיוב בגין שפכים אסורים</t>
  </si>
  <si>
    <r>
      <t>הערות:</t>
    </r>
    <r>
      <rPr>
        <sz val="11"/>
        <color indexed="8"/>
        <rFont val="Arial"/>
        <family val="2"/>
        <charset val="177"/>
      </rPr>
      <t xml:space="preserve">
</t>
    </r>
  </si>
  <si>
    <t>1. יתכנו שינויים במונחים בין הכללים כפי שמתפרסמים ברשומות לבין המינוחים המקצועיים להלן. בכל מקרה של סתירה יגברו המונחים המופיעים בכללים.</t>
  </si>
  <si>
    <t>זרחן</t>
  </si>
  <si>
    <t>תאריך</t>
  </si>
  <si>
    <t>סה"כ כמות מים/שפכים לחיוב לתקופה</t>
  </si>
  <si>
    <t>תאריך ביצוע הדגימה</t>
  </si>
  <si>
    <t>עלות כוללת למפעל בש"ח למ"ק שפכים ממוצע לפי סוג המט"ש
(יש לבחור לפי מים או ביוב מבין 2 האפשרויות)</t>
  </si>
  <si>
    <t>במידה ויש שפכים אסורים יש לבחור את הדירוג המתאים לשם חישוב החיוב (2/4/6)</t>
  </si>
  <si>
    <t>חנקן</t>
  </si>
  <si>
    <t>חריגים בהסדר:</t>
  </si>
  <si>
    <t>חריגים לא בהסדר:</t>
  </si>
  <si>
    <t>האם יש שפכים האסורים להזרמה (בחר)</t>
  </si>
  <si>
    <t>נוסחאות החישוב לפי הכללים</t>
  </si>
  <si>
    <t>עלות כוללת למזהם</t>
  </si>
  <si>
    <t>חיוב לפי כמות (מים/שפכים)*</t>
  </si>
  <si>
    <t>מכפלת תעריף לחריגים לפי מ"ק מים למפעל הנדגם בזרם תעשייתי (אחרת 0.7)</t>
  </si>
  <si>
    <t>איכות להזרמה לביוב טור ב' בכללים</t>
  </si>
  <si>
    <t>טור א' - מרכיבים</t>
  </si>
  <si>
    <t>יחידת מדידה</t>
  </si>
  <si>
    <t>לכבוד</t>
  </si>
  <si>
    <t>נמצאו שפכים</t>
  </si>
  <si>
    <t>לפי המפורט בטבלה שלהלן:</t>
  </si>
  <si>
    <t>שפכים חריגים:</t>
  </si>
  <si>
    <t>הרני להודיעך, כי בדיגום שנערך במפעל בתאריך</t>
  </si>
  <si>
    <t>מרכיב נבדק</t>
  </si>
  <si>
    <t>יחידות</t>
  </si>
  <si>
    <t>ערך בשפכי המט"ש</t>
  </si>
  <si>
    <t>ערך בקולחים היוצאים מהמט"ש</t>
  </si>
  <si>
    <t>בעד החריגות המפורטות לעיל, על המפעל לשלם את התעריפים הבאים לפי הפרוט שלהלן:</t>
  </si>
  <si>
    <t>ספיקת השפכים בכניסה למט"ש:</t>
  </si>
  <si>
    <t>מ"ק ליום.</t>
  </si>
  <si>
    <t xml:space="preserve">התעריף שפכים חריגים לחיוב לפי הנוסחה בפרט 2 בתוספת השלישית לכללי תאגידי מים וביוב (תעריפים לשירותי </t>
  </si>
  <si>
    <t>מים וביוב והקמת מערכות מים או ביוב), התשע"ה-2009 (להלן כללי התעריפים):</t>
  </si>
  <si>
    <t>ש''ח למ"ק.</t>
  </si>
  <si>
    <t>בסעיף 6 לכללים), לפי הנוסחה המפורטת בפרט 2 בתוספת השלישית בכללי התעריפים:</t>
  </si>
  <si>
    <t>תעריף שפכים אסורים לחיוב לפי הפרוט להלן:</t>
  </si>
  <si>
    <t>שפכים אסורים:</t>
  </si>
  <si>
    <t xml:space="preserve">תעריף הביוב של החברה:  </t>
  </si>
  <si>
    <t>ערך מרבי מותר להזרמה לביוב</t>
  </si>
  <si>
    <t>ערך שנמצא בדגימת השפכים</t>
  </si>
  <si>
    <t>תעריף הביוב לפי חריגה (2/4/6)</t>
  </si>
  <si>
    <t>אחוז חריגה מהמותר להזרמה בכללים</t>
  </si>
  <si>
    <t>ערך מרבי המותר להכפלה בתעריף הביוב</t>
  </si>
  <si>
    <t>תקופת החיוב</t>
  </si>
  <si>
    <t>עד</t>
  </si>
  <si>
    <t>סה"כ חיוב על הזרמת שפכים חריגים:</t>
  </si>
  <si>
    <t>סה"כ חיוב על הזרמת שפכים אסורים:</t>
  </si>
  <si>
    <t>סה"כ לתשלום לתקופה</t>
  </si>
  <si>
    <t>לידיעתך, הנך רשאי להביא בפני החברה את טענותיך בכתב בעניין הודעת החיוב, בתוך 30 ימים מקבלת הודעה זו.</t>
  </si>
  <si>
    <r>
      <t xml:space="preserve">הנדון: </t>
    </r>
    <r>
      <rPr>
        <b/>
        <u/>
        <sz val="16"/>
        <color indexed="8"/>
        <rFont val="Arial"/>
        <family val="2"/>
      </rPr>
      <t>הודעת תשלום בעד הזרמת שפכי תעשייה</t>
    </r>
  </si>
  <si>
    <t>סה"כ לתשלום בגין שפכים חריגים ואסורים</t>
  </si>
  <si>
    <t>תאריך הדיגום הקודם (לפני מועד הדגימה הנוכחית)</t>
  </si>
  <si>
    <t>כמות יומית ממוצעת לחיוב במ"ק מים/שפכים</t>
  </si>
  <si>
    <t>% ההזרמה לביוב מכמות המים כפי שקבע מכון התקנים - אם אין, יש להשאיר 0%</t>
  </si>
  <si>
    <t>סך עלויות הדיגום בהתאם לכללי התעריפים*</t>
  </si>
  <si>
    <t>מ"ק</t>
  </si>
  <si>
    <t>שפכי היצרן (המפעל) שנדגמו</t>
  </si>
  <si>
    <t>ספיקת השפכים של המפעל:</t>
  </si>
  <si>
    <t>*לפי תכנית הדיגום הדו שנתית שאושרה.</t>
  </si>
  <si>
    <t>3. יש להזין את הנתונים של הערכים שבהסדר במידה וקיים רק אם הם עולים על הערכים בטור ג'.</t>
  </si>
  <si>
    <t>מס' ימים לחיוב או 90 ימים אחורה הקצר מבינהם</t>
  </si>
  <si>
    <t>תעריף השפכים החריגים (Px) בש"ח למ"ק שפכים לפי סוג המט"ש</t>
  </si>
  <si>
    <t>בדיקה האם היתה חריגה מהסדר עם הספק**</t>
  </si>
  <si>
    <t>כהגדרתם בכללי תאגידי מים וביוב (שפכי מפעלים המוזרמים למערכת הביוב), התשע"ד-2014 (להלן הכללים),</t>
  </si>
  <si>
    <t>חריגים ואסורים</t>
  </si>
  <si>
    <t>חישוב תעריף עבור שפכים חריגים</t>
  </si>
  <si>
    <t>תא ירוק להשלמת נתונים. יש להשלים נתונים גם בגיליון 'סימולאטור'</t>
  </si>
  <si>
    <t xml:space="preserve">2. התעריף שמתקבל מהנוסחה מייצג את תעריף העלות בגין הרחקת המזהם למ"ק שפכים. לצורף חישוב התעריף לפי מ"ק מים יש להכפיל את התוצאה של הנוסחה ב- 0.7. הדבר נובע מקביעת תעריף הביוב, המתבסס על כמויות המים, כאשר הנחת העבודה היתה ש- 70% מכמויות המים הנצרכות מגיעות לביוב. לכן, אם תעריף המים 10 ש"ח לקוב, תעריף הביוב 14.29 ש"ח לקוב מים (10/0.7). מאחר ותוצאת הנוסחה בכללים הינה התעריף בגין הרחקת המזהם לקוב ביוב, כדי להגיע לתעריף לחיוב לפי קוב מים יש להכפילו ב- 0.7. בכל מקרה, הסימולאטור עושה זאת אוט'. </t>
  </si>
  <si>
    <t>4. הגיליון נעול ללא סיסמא, כדי למנוע מניעת מחיקת נתונים/נוסחאות בטעות.</t>
  </si>
  <si>
    <t>ערכי טור ג' בכללים או ערכים שאושרו הגבוהים מטור ג'</t>
  </si>
  <si>
    <t xml:space="preserve">*הסימולאטור בודק האם הערכים שנקבעו הינם במגבלת הערכים של טור ג' או קיבלו אישור (להלן: ההסדר) ובהתאם לכך נקבעים הערכים.
</t>
  </si>
  <si>
    <t xml:space="preserve"> בכל מקרה, הערכים עד לטור ג' נחשבים כחלק מההסדר.</t>
  </si>
  <si>
    <t>כמות שנקראה בשעון המים/מד השפכים וחויבה בחשבון הקודם</t>
  </si>
  <si>
    <t>מספר הימים שחויבו בחשבון הקודם (לצורך חישוב הממוצע היומי)</t>
  </si>
  <si>
    <t>טופס הודעת חיוב (לפי סעיף 11(ה) לכללים)</t>
  </si>
  <si>
    <t xml:space="preserve">תעריך לשפכים חריגים לפי כמויות צריכת המים/השפכים לפי מיקום נקדת הדיגום (כלל השפכים או זרם תעשייתי אחוד, כמפורט </t>
  </si>
  <si>
    <t>תעריף חרג מההסדר</t>
  </si>
  <si>
    <t>העלות מחויבת לפי נתוני ההסכם או הדיגום הנמוך מבינהם.</t>
  </si>
  <si>
    <t xml:space="preserve"> המט"ש מרחיק:</t>
  </si>
  <si>
    <t>מים</t>
  </si>
  <si>
    <t>תאגיד</t>
  </si>
  <si>
    <t>לא</t>
  </si>
  <si>
    <r>
      <rPr>
        <b/>
        <u/>
        <sz val="10"/>
        <color indexed="8"/>
        <rFont val="Arial"/>
        <family val="2"/>
      </rPr>
      <t>הערות:</t>
    </r>
    <r>
      <rPr>
        <b/>
        <sz val="10"/>
        <color indexed="8"/>
        <rFont val="Arial"/>
        <family val="2"/>
      </rPr>
      <t xml:space="preserve">
1. התשלום למפעל נקבע לפי הערכים שנדגמו בפועל. יש להזין את ערכי ההסדר רק אם הם גבוהים מטור ג'. 
2. במידה והערכים שנדגמו גבוהים מאלו שבהסדר או מטור ג' הסימולאטור מחשב את העלות ההחרגה לכל רכיב לפי הנוסחה השניה בכללים שכוללת תוספת של פינוי בוצה ושל עלות אנרגיה בלתי מתוכננות.
3. במידה ונתגלו שפכים אסורים וישנם גם שפכים חריגים, יתווסף לתשלום השפכים החריגים (אם בהסדר ואם לא בהתאם) תשלום של פי 2,4,6 בהתאם (להלן: הפקטור) מאגרת הביוב עבור השפכים האסורים (קביעת הפקטור תעשה בהתאם לערך החריגה המקסימלי שיצא בדיגום).
4. הגיליון נעול ללא סיסמא, כדי למנוע מחיקת נתונים/סיסמאות בטעות.
* במידה ויש מד שפכים יש לבחור ביוב. במידה ויש אישור מכון התקנים יש לבחור בחיוב לפי מים ולהזין את היחס שקבע מכון התקנים בתא המתאים.
**הסימולאטור בודק האם הערכים שנקבעו הינם במסגרת ההסדר ובהתאם לכך נקבע תעריף ה- Px כמפורט בהערה 2.
</t>
    </r>
  </si>
  <si>
    <t>יש לבחור את סוג הספק</t>
  </si>
  <si>
    <t>תעריף הביוב לפי מ"ק מים</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</si>
</sst>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
    <numFmt numFmtId="165" formatCode="0.000"/>
    <numFmt numFmtId="166" formatCode="#,##0.0000_ ;[Red]\-#,##0.0000\ "/>
    <numFmt numFmtId="167" formatCode="_ * #,##0_ ;_ * \-#,##0_ ;_ * &quot;-&quot;??_ ;_ @_ "/>
    <numFmt numFmtId="168" formatCode="0.000000"/>
    <numFmt numFmtId="169" formatCode="_ * #,##0.000_ ;_ * \-#,##0.000_ ;_ * &quot;-&quot;??_ ;_ @_ "/>
  </numFmts>
  <fonts count="31" x14ac:knownFonts="1">
    <font>
      <sz val="11"/>
      <color indexed="8"/>
      <name val="Arial"/>
      <family val="2"/>
      <charset val="177"/>
    </font>
    <font>
      <sz val="11"/>
      <color theme="1"/>
      <name val="Arial"/>
      <family val="2"/>
      <charset val="177"/>
      <scheme val="minor"/>
    </font>
    <font>
      <sz val="11"/>
      <color indexed="8"/>
      <name val="Arial"/>
      <family val="2"/>
      <charset val="177"/>
    </font>
    <font>
      <sz val="8"/>
      <name val="Arial"/>
      <family val="2"/>
      <charset val="177"/>
    </font>
    <font>
      <b/>
      <u/>
      <sz val="11"/>
      <color indexed="8"/>
      <name val="Arial"/>
      <family val="2"/>
    </font>
    <font>
      <b/>
      <sz val="12"/>
      <color indexed="8"/>
      <name val="Times New Roman"/>
      <family val="1"/>
    </font>
    <font>
      <sz val="12"/>
      <color indexed="8"/>
      <name val="Times New Roman"/>
      <family val="1"/>
    </font>
    <font>
      <b/>
      <u/>
      <sz val="14"/>
      <color indexed="8"/>
      <name val="Arial"/>
      <family val="2"/>
    </font>
    <font>
      <b/>
      <u/>
      <sz val="20"/>
      <color indexed="8"/>
      <name val="Times New Roman"/>
      <family val="1"/>
    </font>
    <font>
      <b/>
      <u/>
      <sz val="12"/>
      <color indexed="8"/>
      <name val="Times New Roman"/>
      <family val="1"/>
    </font>
    <font>
      <b/>
      <vertAlign val="subscript"/>
      <sz val="12"/>
      <color indexed="8"/>
      <name val="Times New Roman"/>
      <family val="1"/>
    </font>
    <font>
      <sz val="10"/>
      <color indexed="8"/>
      <name val="Arial"/>
      <family val="2"/>
    </font>
    <font>
      <b/>
      <sz val="11"/>
      <color indexed="8"/>
      <name val="Arial"/>
      <family val="2"/>
    </font>
    <font>
      <b/>
      <sz val="12"/>
      <color indexed="8"/>
      <name val="Arial"/>
      <family val="2"/>
    </font>
    <font>
      <b/>
      <sz val="12"/>
      <color rgb="FFFF0000"/>
      <name val="Arial"/>
      <family val="2"/>
    </font>
    <font>
      <sz val="11"/>
      <color theme="0"/>
      <name val="Arial"/>
      <family val="2"/>
      <charset val="177"/>
    </font>
    <font>
      <sz val="11"/>
      <color rgb="FFFF0000"/>
      <name val="Arial"/>
      <family val="2"/>
      <charset val="177"/>
    </font>
    <font>
      <b/>
      <sz val="10"/>
      <color indexed="8"/>
      <name val="Arial"/>
      <family val="2"/>
    </font>
    <font>
      <sz val="10"/>
      <name val="Arial"/>
      <family val="2"/>
    </font>
    <font>
      <b/>
      <sz val="11"/>
      <name val="Arial"/>
      <family val="2"/>
    </font>
    <font>
      <b/>
      <sz val="22"/>
      <color indexed="8"/>
      <name val="Times New Roman"/>
      <family val="1"/>
    </font>
    <font>
      <sz val="11"/>
      <name val="Arial"/>
      <family val="2"/>
      <charset val="177"/>
    </font>
    <font>
      <sz val="14"/>
      <color indexed="8"/>
      <name val="Times New Roman"/>
      <family val="1"/>
    </font>
    <font>
      <b/>
      <u/>
      <sz val="10"/>
      <color indexed="8"/>
      <name val="Arial"/>
      <family val="2"/>
    </font>
    <font>
      <b/>
      <sz val="16"/>
      <color indexed="8"/>
      <name val="Arial"/>
      <family val="2"/>
    </font>
    <font>
      <b/>
      <u/>
      <sz val="18"/>
      <color indexed="8"/>
      <name val="Arial"/>
      <family val="2"/>
    </font>
    <font>
      <b/>
      <u/>
      <sz val="16"/>
      <color indexed="8"/>
      <name val="Arial"/>
      <family val="2"/>
    </font>
    <font>
      <b/>
      <sz val="18"/>
      <color indexed="8"/>
      <name val="Arial"/>
      <family val="2"/>
    </font>
    <font>
      <sz val="16"/>
      <color indexed="8"/>
      <name val="Arial"/>
      <family val="2"/>
    </font>
    <font>
      <b/>
      <sz val="11"/>
      <color indexed="8"/>
      <name val="Times New Roman"/>
      <family val="1"/>
    </font>
    <font>
      <sz val="10"/>
      <color indexed="8"/>
      <name val="Times New Roman"/>
      <family val="1"/>
    </font>
  </fonts>
  <fills count="6">
    <fill>
      <patternFill patternType="none"/>
    </fill>
    <fill>
      <patternFill patternType="gray125"/>
    </fill>
    <fill>
      <patternFill patternType="solid">
        <fgColor indexed="13"/>
        <bgColor indexed="64"/>
      </patternFill>
    </fill>
    <fill>
      <patternFill patternType="solid">
        <fgColor indexed="9"/>
        <bgColor indexed="64"/>
      </patternFill>
    </fill>
    <fill>
      <patternFill patternType="solid">
        <fgColor rgb="FF92D050"/>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s>
  <cellStyleXfs count="7">
    <xf numFmtId="0" fontId="0" fillId="0" borderId="0"/>
    <xf numFmtId="43" fontId="2" fillId="0" borderId="0" applyFont="0" applyFill="0" applyBorder="0" applyAlignment="0" applyProtection="0"/>
    <xf numFmtId="0" fontId="1" fillId="0" borderId="0"/>
    <xf numFmtId="43" fontId="1" fillId="0" borderId="0" applyFont="0" applyFill="0" applyBorder="0" applyAlignment="0" applyProtection="0"/>
    <xf numFmtId="0" fontId="18" fillId="0" borderId="0"/>
    <xf numFmtId="43" fontId="18" fillId="0" borderId="0" applyFont="0" applyFill="0" applyBorder="0" applyAlignment="0" applyProtection="0"/>
    <xf numFmtId="9" fontId="2" fillId="0" borderId="0" applyFont="0" applyFill="0" applyBorder="0" applyAlignment="0" applyProtection="0"/>
  </cellStyleXfs>
  <cellXfs count="186">
    <xf numFmtId="0" fontId="0" fillId="0" borderId="0" xfId="0"/>
    <xf numFmtId="0" fontId="12" fillId="0" borderId="0" xfId="0" applyFont="1"/>
    <xf numFmtId="0" fontId="0" fillId="0" borderId="0" xfId="0" applyAlignment="1">
      <alignment horizontal="center"/>
    </xf>
    <xf numFmtId="0" fontId="0" fillId="0" borderId="0" xfId="0" applyAlignment="1">
      <alignment horizontal="right"/>
    </xf>
    <xf numFmtId="1" fontId="6" fillId="4" borderId="1" xfId="0" applyNumberFormat="1" applyFont="1" applyFill="1" applyBorder="1" applyAlignment="1" applyProtection="1">
      <alignment horizontal="center"/>
      <protection locked="0"/>
    </xf>
    <xf numFmtId="0" fontId="12" fillId="4" borderId="0" xfId="0" applyFont="1" applyFill="1" applyAlignment="1" applyProtection="1">
      <alignment horizontal="center"/>
      <protection locked="0"/>
    </xf>
    <xf numFmtId="167" fontId="6" fillId="4" borderId="1" xfId="1" applyNumberFormat="1" applyFont="1" applyFill="1" applyBorder="1" applyAlignment="1" applyProtection="1">
      <alignment horizontal="center"/>
      <protection locked="0"/>
    </xf>
    <xf numFmtId="0" fontId="4" fillId="0" borderId="0" xfId="0" applyFont="1"/>
    <xf numFmtId="14" fontId="12" fillId="4" borderId="0" xfId="0" applyNumberFormat="1" applyFont="1" applyFill="1" applyAlignment="1" applyProtection="1">
      <alignment horizontal="center" vertical="center"/>
      <protection locked="0"/>
    </xf>
    <xf numFmtId="14" fontId="12" fillId="4" borderId="0" xfId="0" applyNumberFormat="1" applyFont="1" applyFill="1" applyAlignment="1" applyProtection="1">
      <alignment horizontal="center" vertical="center" wrapText="1"/>
      <protection locked="0"/>
    </xf>
    <xf numFmtId="0" fontId="12" fillId="4" borderId="0" xfId="0" applyFont="1" applyFill="1" applyAlignment="1" applyProtection="1">
      <alignment horizontal="center" vertical="top" wrapText="1"/>
      <protection locked="0"/>
    </xf>
    <xf numFmtId="0" fontId="0" fillId="0" borderId="0" xfId="0" applyAlignment="1">
      <alignment horizontal="right" readingOrder="2"/>
    </xf>
    <xf numFmtId="0" fontId="24" fillId="0" borderId="0" xfId="0" applyFont="1"/>
    <xf numFmtId="0" fontId="0" fillId="0" borderId="20" xfId="0" applyBorder="1"/>
    <xf numFmtId="0" fontId="0" fillId="0" borderId="1" xfId="0" applyBorder="1"/>
    <xf numFmtId="0" fontId="12" fillId="0" borderId="0" xfId="0" applyFont="1" applyAlignment="1">
      <alignment horizontal="center" vertical="top" wrapText="1"/>
    </xf>
    <xf numFmtId="0" fontId="12" fillId="0" borderId="0" xfId="0" applyFont="1" applyAlignment="1">
      <alignment horizontal="right"/>
    </xf>
    <xf numFmtId="43" fontId="0" fillId="0" borderId="20" xfId="0" applyNumberFormat="1" applyBorder="1" applyAlignment="1">
      <alignment horizontal="center"/>
    </xf>
    <xf numFmtId="0" fontId="0" fillId="0" borderId="20" xfId="0" applyBorder="1" applyAlignment="1">
      <alignment horizontal="center"/>
    </xf>
    <xf numFmtId="43" fontId="0" fillId="0" borderId="20" xfId="1" applyFont="1" applyBorder="1" applyAlignment="1">
      <alignment horizontal="center"/>
    </xf>
    <xf numFmtId="43" fontId="12" fillId="0" borderId="20" xfId="1" applyFont="1" applyBorder="1" applyAlignment="1">
      <alignment horizontal="center"/>
    </xf>
    <xf numFmtId="9" fontId="12" fillId="4" borderId="0" xfId="6" applyFont="1" applyFill="1" applyAlignment="1" applyProtection="1">
      <alignment horizontal="center"/>
      <protection locked="0"/>
    </xf>
    <xf numFmtId="14" fontId="0" fillId="4" borderId="20" xfId="0" applyNumberFormat="1" applyFill="1" applyBorder="1"/>
    <xf numFmtId="14" fontId="0" fillId="4" borderId="20" xfId="0" applyNumberFormat="1" applyFill="1" applyBorder="1" applyAlignment="1">
      <alignment horizontal="center"/>
    </xf>
    <xf numFmtId="0" fontId="12" fillId="5" borderId="1" xfId="0" applyFont="1" applyFill="1" applyBorder="1" applyAlignment="1">
      <alignment horizontal="center" vertical="top" wrapText="1"/>
    </xf>
    <xf numFmtId="0" fontId="27" fillId="0" borderId="0" xfId="0" applyFont="1"/>
    <xf numFmtId="0" fontId="0" fillId="4" borderId="0" xfId="0" applyFill="1" applyBorder="1"/>
    <xf numFmtId="0" fontId="25" fillId="0" borderId="0" xfId="0" applyFont="1" applyAlignment="1">
      <alignment horizontal="center"/>
    </xf>
    <xf numFmtId="0" fontId="0" fillId="0" borderId="0" xfId="0" applyProtection="1"/>
    <xf numFmtId="0" fontId="0" fillId="0" borderId="0" xfId="0" applyAlignment="1" applyProtection="1">
      <alignment horizontal="center"/>
    </xf>
    <xf numFmtId="0" fontId="16" fillId="0" borderId="0" xfId="0" applyFont="1" applyFill="1" applyAlignment="1" applyProtection="1">
      <alignment horizontal="center" vertical="top" wrapText="1"/>
    </xf>
    <xf numFmtId="0" fontId="0" fillId="0" borderId="0" xfId="0" applyAlignment="1" applyProtection="1">
      <alignment horizontal="center" vertical="top" wrapText="1"/>
    </xf>
    <xf numFmtId="0" fontId="15" fillId="0" borderId="0" xfId="0" applyFont="1" applyAlignment="1" applyProtection="1">
      <alignment horizontal="center" vertical="top" wrapText="1"/>
    </xf>
    <xf numFmtId="0" fontId="12" fillId="0" borderId="0" xfId="0" applyFont="1" applyAlignment="1" applyProtection="1">
      <alignment horizontal="right" vertical="top" wrapText="1"/>
    </xf>
    <xf numFmtId="0" fontId="12" fillId="0" borderId="0" xfId="0" applyFont="1" applyProtection="1"/>
    <xf numFmtId="0" fontId="12" fillId="0" borderId="0" xfId="0" applyFont="1" applyAlignment="1" applyProtection="1">
      <alignment horizontal="right" readingOrder="2"/>
    </xf>
    <xf numFmtId="167" fontId="12" fillId="0" borderId="0" xfId="1" applyNumberFormat="1" applyFont="1" applyAlignment="1" applyProtection="1">
      <alignment horizontal="center"/>
    </xf>
    <xf numFmtId="0" fontId="19" fillId="0" borderId="0" xfId="0" applyFont="1" applyAlignment="1" applyProtection="1">
      <alignment horizontal="right"/>
    </xf>
    <xf numFmtId="0" fontId="19" fillId="0" borderId="0" xfId="0" applyFont="1" applyAlignment="1" applyProtection="1">
      <alignment horizontal="right" vertical="top" wrapText="1"/>
    </xf>
    <xf numFmtId="0" fontId="0" fillId="0" borderId="0" xfId="0" applyAlignment="1" applyProtection="1">
      <alignment horizontal="right" vertical="top" wrapText="1"/>
    </xf>
    <xf numFmtId="0" fontId="12" fillId="0" borderId="0" xfId="0" applyFont="1" applyFill="1" applyAlignment="1" applyProtection="1">
      <alignment horizontal="right" readingOrder="2"/>
    </xf>
    <xf numFmtId="167" fontId="13" fillId="0" borderId="0" xfId="1" applyNumberFormat="1" applyFont="1" applyFill="1" applyAlignment="1" applyProtection="1">
      <alignment horizontal="right"/>
    </xf>
    <xf numFmtId="43" fontId="12" fillId="0" borderId="0" xfId="1" applyFont="1" applyAlignment="1" applyProtection="1">
      <alignment horizontal="center"/>
    </xf>
    <xf numFmtId="0" fontId="12" fillId="0" borderId="0" xfId="0" applyFont="1" applyFill="1" applyAlignment="1" applyProtection="1">
      <alignment horizontal="right"/>
    </xf>
    <xf numFmtId="167" fontId="13" fillId="0" borderId="0" xfId="0" applyNumberFormat="1" applyFont="1" applyFill="1" applyAlignment="1" applyProtection="1">
      <alignment horizontal="right"/>
    </xf>
    <xf numFmtId="43" fontId="13" fillId="0" borderId="0" xfId="1" quotePrefix="1" applyFont="1" applyAlignment="1" applyProtection="1">
      <alignment horizontal="center"/>
    </xf>
    <xf numFmtId="43" fontId="14" fillId="0" borderId="0" xfId="1" applyFont="1" applyAlignment="1" applyProtection="1">
      <alignment horizontal="center" vertical="center"/>
    </xf>
    <xf numFmtId="0" fontId="5" fillId="2" borderId="9" xfId="0" applyFont="1" applyFill="1" applyBorder="1" applyAlignment="1" applyProtection="1">
      <alignment horizontal="center" vertical="top" wrapText="1"/>
    </xf>
    <xf numFmtId="0" fontId="6" fillId="2" borderId="1" xfId="0" applyFont="1" applyFill="1" applyBorder="1" applyAlignment="1" applyProtection="1">
      <alignment horizontal="right" readingOrder="2"/>
    </xf>
    <xf numFmtId="0" fontId="6" fillId="2" borderId="1" xfId="0" applyFont="1" applyFill="1" applyBorder="1" applyAlignment="1" applyProtection="1">
      <alignment horizontal="center"/>
    </xf>
    <xf numFmtId="167" fontId="0" fillId="0" borderId="0" xfId="1" applyNumberFormat="1" applyFont="1" applyProtection="1"/>
    <xf numFmtId="0" fontId="6" fillId="2" borderId="1" xfId="0" applyFont="1" applyFill="1" applyBorder="1" applyAlignment="1" applyProtection="1">
      <alignment horizontal="right"/>
    </xf>
    <xf numFmtId="43" fontId="0" fillId="0" borderId="0" xfId="0" applyNumberFormat="1" applyProtection="1"/>
    <xf numFmtId="0" fontId="0" fillId="0" borderId="0" xfId="0" applyFill="1" applyProtection="1"/>
    <xf numFmtId="0" fontId="5" fillId="0" borderId="0" xfId="0" applyFont="1" applyFill="1" applyBorder="1" applyAlignment="1" applyProtection="1">
      <alignment horizontal="right"/>
    </xf>
    <xf numFmtId="0" fontId="14" fillId="0" borderId="0" xfId="0" applyFont="1" applyAlignment="1" applyProtection="1">
      <alignment horizontal="center"/>
    </xf>
    <xf numFmtId="0" fontId="15" fillId="0" borderId="0" xfId="0" applyFont="1" applyProtection="1"/>
    <xf numFmtId="0" fontId="16" fillId="0" borderId="0" xfId="0" applyFont="1" applyAlignment="1" applyProtection="1">
      <alignment horizontal="right"/>
    </xf>
    <xf numFmtId="0" fontId="0" fillId="0" borderId="0" xfId="0" applyAlignment="1" applyProtection="1">
      <alignment horizontal="right"/>
    </xf>
    <xf numFmtId="167" fontId="0" fillId="0" borderId="0" xfId="0" applyNumberFormat="1" applyProtection="1"/>
    <xf numFmtId="0" fontId="13" fillId="0" borderId="0" xfId="0" applyFont="1" applyAlignment="1" applyProtection="1">
      <alignment horizontal="center"/>
    </xf>
    <xf numFmtId="0" fontId="13" fillId="0" borderId="0" xfId="0" applyFont="1" applyAlignment="1" applyProtection="1">
      <alignment horizontal="right"/>
    </xf>
    <xf numFmtId="0" fontId="24" fillId="0" borderId="0" xfId="0" applyFont="1" applyProtection="1"/>
    <xf numFmtId="0" fontId="28" fillId="0" borderId="0" xfId="0" applyFont="1" applyProtection="1"/>
    <xf numFmtId="167" fontId="24" fillId="0" borderId="0" xfId="1" quotePrefix="1" applyNumberFormat="1" applyFont="1" applyAlignment="1" applyProtection="1">
      <alignment horizontal="right"/>
    </xf>
    <xf numFmtId="43" fontId="24" fillId="0" borderId="0" xfId="1" quotePrefix="1" applyFont="1" applyAlignment="1" applyProtection="1">
      <alignment horizontal="right"/>
    </xf>
    <xf numFmtId="0" fontId="24" fillId="5" borderId="15" xfId="0" applyFont="1" applyFill="1" applyBorder="1" applyProtection="1"/>
    <xf numFmtId="0" fontId="28" fillId="5" borderId="16" xfId="0" applyFont="1" applyFill="1" applyBorder="1" applyProtection="1"/>
    <xf numFmtId="167" fontId="24" fillId="5" borderId="17" xfId="1" applyNumberFormat="1" applyFont="1" applyFill="1" applyBorder="1" applyAlignment="1" applyProtection="1">
      <alignment horizontal="center"/>
    </xf>
    <xf numFmtId="0" fontId="0" fillId="0" borderId="0" xfId="0" applyAlignment="1" applyProtection="1">
      <alignment horizontal="right" readingOrder="2"/>
    </xf>
    <xf numFmtId="0" fontId="13" fillId="0" borderId="0" xfId="0" applyFont="1" applyFill="1" applyBorder="1" applyProtection="1"/>
    <xf numFmtId="0" fontId="6" fillId="0" borderId="0" xfId="0" applyFont="1" applyProtection="1"/>
    <xf numFmtId="0" fontId="6" fillId="5" borderId="1" xfId="0" applyFont="1" applyFill="1" applyBorder="1" applyAlignment="1" applyProtection="1">
      <alignment horizontal="center" vertical="top" wrapText="1"/>
    </xf>
    <xf numFmtId="0" fontId="6" fillId="5" borderId="9" xfId="0" applyFont="1" applyFill="1" applyBorder="1" applyAlignment="1" applyProtection="1">
      <alignment horizontal="center" vertical="top" wrapText="1"/>
    </xf>
    <xf numFmtId="0" fontId="6" fillId="0" borderId="1" xfId="0" applyFont="1" applyFill="1" applyBorder="1" applyAlignment="1" applyProtection="1">
      <alignment horizontal="right"/>
    </xf>
    <xf numFmtId="0" fontId="6" fillId="0" borderId="1" xfId="0" applyFont="1" applyFill="1" applyBorder="1" applyAlignment="1" applyProtection="1">
      <alignment horizontal="center"/>
    </xf>
    <xf numFmtId="43" fontId="6" fillId="0" borderId="1" xfId="1" applyFont="1" applyFill="1" applyBorder="1" applyAlignment="1" applyProtection="1">
      <alignment horizontal="center"/>
    </xf>
    <xf numFmtId="0" fontId="6" fillId="0" borderId="1" xfId="0" applyFont="1" applyFill="1" applyBorder="1" applyAlignment="1" applyProtection="1">
      <alignment horizontal="right" readingOrder="2"/>
    </xf>
    <xf numFmtId="0" fontId="6" fillId="0" borderId="0" xfId="0" applyFont="1" applyBorder="1" applyAlignment="1" applyProtection="1">
      <alignment horizontal="center"/>
    </xf>
    <xf numFmtId="0" fontId="6" fillId="4" borderId="19" xfId="0" applyFont="1" applyFill="1" applyBorder="1" applyProtection="1"/>
    <xf numFmtId="0" fontId="6" fillId="3" borderId="0" xfId="0" applyFont="1" applyFill="1" applyProtection="1"/>
    <xf numFmtId="0" fontId="6" fillId="0" borderId="0" xfId="0" applyFont="1" applyAlignment="1" applyProtection="1">
      <alignment horizontal="center"/>
    </xf>
    <xf numFmtId="0" fontId="6" fillId="0" borderId="2" xfId="0" applyFont="1" applyBorder="1" applyProtection="1"/>
    <xf numFmtId="0" fontId="6" fillId="0" borderId="3" xfId="0" applyFont="1" applyBorder="1" applyAlignment="1" applyProtection="1">
      <alignment horizontal="center"/>
    </xf>
    <xf numFmtId="0" fontId="9" fillId="0" borderId="3" xfId="0" applyFont="1" applyBorder="1" applyAlignment="1" applyProtection="1"/>
    <xf numFmtId="0" fontId="6" fillId="0" borderId="4" xfId="0" applyFont="1" applyBorder="1" applyAlignment="1" applyProtection="1">
      <alignment horizontal="center"/>
    </xf>
    <xf numFmtId="0" fontId="6" fillId="0" borderId="5" xfId="0" applyFont="1" applyBorder="1" applyProtection="1"/>
    <xf numFmtId="0" fontId="6" fillId="0" borderId="0" xfId="0" applyFont="1" applyBorder="1" applyProtection="1"/>
    <xf numFmtId="0" fontId="6" fillId="0" borderId="6" xfId="0" applyFont="1" applyBorder="1" applyProtection="1"/>
    <xf numFmtId="0" fontId="5" fillId="0" borderId="1" xfId="0" applyFont="1" applyBorder="1" applyAlignment="1" applyProtection="1">
      <alignment horizontal="center"/>
    </xf>
    <xf numFmtId="0" fontId="5" fillId="0" borderId="7" xfId="0" applyFont="1" applyBorder="1" applyAlignment="1" applyProtection="1">
      <alignment horizontal="center" wrapText="1"/>
    </xf>
    <xf numFmtId="0" fontId="5" fillId="0" borderId="1" xfId="0" applyFont="1" applyBorder="1" applyAlignment="1" applyProtection="1">
      <alignment horizontal="center" wrapText="1"/>
    </xf>
    <xf numFmtId="0" fontId="5" fillId="0" borderId="0" xfId="0" applyFont="1" applyBorder="1" applyAlignment="1" applyProtection="1">
      <alignment horizontal="center" wrapText="1"/>
    </xf>
    <xf numFmtId="0" fontId="5" fillId="0" borderId="6" xfId="0" applyFont="1" applyBorder="1" applyAlignment="1" applyProtection="1">
      <alignment horizontal="center" wrapText="1"/>
    </xf>
    <xf numFmtId="0" fontId="5" fillId="0" borderId="8" xfId="0" applyFont="1" applyBorder="1" applyAlignment="1" applyProtection="1">
      <alignment horizontal="center" vertical="top" wrapText="1" readingOrder="2"/>
    </xf>
    <xf numFmtId="0" fontId="5" fillId="0" borderId="9" xfId="0" applyFont="1" applyBorder="1" applyAlignment="1" applyProtection="1">
      <alignment horizontal="center" vertical="top" wrapText="1" readingOrder="2"/>
    </xf>
    <xf numFmtId="0" fontId="5" fillId="0" borderId="0" xfId="0" applyFont="1" applyBorder="1" applyAlignment="1" applyProtection="1">
      <alignment horizontal="center" vertical="top" wrapText="1" readingOrder="2"/>
    </xf>
    <xf numFmtId="0" fontId="5" fillId="0" borderId="6" xfId="0" applyFont="1" applyBorder="1" applyAlignment="1" applyProtection="1">
      <alignment horizontal="center" vertical="top" wrapText="1" readingOrder="2"/>
    </xf>
    <xf numFmtId="0" fontId="6" fillId="0" borderId="7" xfId="0" applyFont="1" applyBorder="1" applyAlignment="1" applyProtection="1">
      <alignment horizontal="right" vertical="top" wrapText="1" readingOrder="2"/>
    </xf>
    <xf numFmtId="0" fontId="6" fillId="0" borderId="1" xfId="0" applyFont="1" applyBorder="1" applyAlignment="1" applyProtection="1">
      <alignment horizontal="center" vertical="top" wrapText="1" readingOrder="2"/>
    </xf>
    <xf numFmtId="0" fontId="6" fillId="0" borderId="10" xfId="0" applyFont="1" applyBorder="1" applyAlignment="1" applyProtection="1">
      <alignment horizontal="center" vertical="top" wrapText="1" readingOrder="2"/>
    </xf>
    <xf numFmtId="0" fontId="6" fillId="0" borderId="0" xfId="0" applyFont="1" applyBorder="1" applyAlignment="1" applyProtection="1">
      <alignment horizontal="center" vertical="top" wrapText="1" readingOrder="2"/>
    </xf>
    <xf numFmtId="0" fontId="6" fillId="0" borderId="6" xfId="0" applyFont="1" applyBorder="1" applyAlignment="1" applyProtection="1">
      <alignment horizontal="center" vertical="top" wrapText="1" readingOrder="2"/>
    </xf>
    <xf numFmtId="0" fontId="6" fillId="0" borderId="0" xfId="0" applyFont="1" applyFill="1" applyBorder="1" applyAlignment="1" applyProtection="1">
      <alignment horizontal="right" vertical="top" wrapText="1" readingOrder="2"/>
    </xf>
    <xf numFmtId="164" fontId="6" fillId="0" borderId="0" xfId="0" applyNumberFormat="1" applyFont="1" applyBorder="1" applyAlignment="1" applyProtection="1">
      <alignment horizontal="center"/>
    </xf>
    <xf numFmtId="164" fontId="6" fillId="0" borderId="6" xfId="0" applyNumberFormat="1" applyFont="1" applyBorder="1" applyAlignment="1" applyProtection="1">
      <alignment horizontal="center"/>
    </xf>
    <xf numFmtId="0" fontId="6" fillId="0" borderId="1" xfId="0" applyFont="1" applyFill="1" applyBorder="1" applyAlignment="1" applyProtection="1">
      <alignment horizontal="right" vertical="top" wrapText="1" readingOrder="2"/>
    </xf>
    <xf numFmtId="0" fontId="6" fillId="0" borderId="1" xfId="0" applyFont="1" applyBorder="1" applyAlignment="1" applyProtection="1">
      <alignment horizontal="center"/>
    </xf>
    <xf numFmtId="0" fontId="6" fillId="0" borderId="1" xfId="0" applyFont="1" applyFill="1" applyBorder="1" applyAlignment="1" applyProtection="1">
      <alignment horizontal="right" wrapText="1"/>
    </xf>
    <xf numFmtId="169" fontId="6" fillId="0" borderId="1" xfId="1" applyNumberFormat="1" applyFont="1" applyBorder="1" applyAlignment="1" applyProtection="1">
      <alignment horizontal="left"/>
    </xf>
    <xf numFmtId="0" fontId="6" fillId="0" borderId="1" xfId="0" applyFont="1" applyBorder="1" applyAlignment="1" applyProtection="1">
      <alignment horizontal="right"/>
    </xf>
    <xf numFmtId="0" fontId="6" fillId="0" borderId="1" xfId="0" applyFont="1" applyBorder="1" applyAlignment="1" applyProtection="1">
      <alignment horizontal="right" readingOrder="2"/>
    </xf>
    <xf numFmtId="43" fontId="6" fillId="0" borderId="1" xfId="1" applyFont="1" applyBorder="1" applyAlignment="1" applyProtection="1">
      <alignment horizontal="left"/>
    </xf>
    <xf numFmtId="168" fontId="6" fillId="0" borderId="0" xfId="0" applyNumberFormat="1" applyFont="1" applyBorder="1" applyProtection="1"/>
    <xf numFmtId="0" fontId="6" fillId="0" borderId="1" xfId="0" applyFont="1" applyBorder="1" applyAlignment="1" applyProtection="1">
      <alignment horizontal="right" wrapText="1" readingOrder="2"/>
    </xf>
    <xf numFmtId="3" fontId="6" fillId="0" borderId="1" xfId="0" applyNumberFormat="1" applyFont="1" applyBorder="1" applyAlignment="1" applyProtection="1">
      <alignment horizontal="center"/>
    </xf>
    <xf numFmtId="166" fontId="6" fillId="0" borderId="1" xfId="0" applyNumberFormat="1" applyFont="1" applyBorder="1" applyAlignment="1" applyProtection="1">
      <alignment horizontal="center"/>
    </xf>
    <xf numFmtId="2" fontId="6" fillId="0" borderId="1" xfId="0" applyNumberFormat="1" applyFont="1" applyBorder="1" applyAlignment="1" applyProtection="1">
      <alignment horizontal="center"/>
    </xf>
    <xf numFmtId="0" fontId="6" fillId="0" borderId="1" xfId="0" applyFont="1" applyFill="1" applyBorder="1" applyAlignment="1" applyProtection="1">
      <alignment horizontal="right" wrapText="1" readingOrder="2"/>
    </xf>
    <xf numFmtId="0" fontId="6" fillId="0" borderId="11" xfId="0" applyFont="1" applyBorder="1" applyProtection="1"/>
    <xf numFmtId="0" fontId="6" fillId="0" borderId="12" xfId="0" applyFont="1" applyFill="1" applyBorder="1" applyAlignment="1" applyProtection="1">
      <alignment horizontal="right"/>
    </xf>
    <xf numFmtId="0" fontId="6" fillId="0" borderId="12" xfId="0" applyFont="1" applyBorder="1" applyAlignment="1" applyProtection="1">
      <alignment horizontal="center"/>
    </xf>
    <xf numFmtId="0" fontId="6" fillId="0" borderId="12" xfId="0" applyFont="1" applyBorder="1" applyProtection="1"/>
    <xf numFmtId="0" fontId="6" fillId="0" borderId="13" xfId="0" applyFont="1" applyBorder="1" applyProtection="1"/>
    <xf numFmtId="0" fontId="6" fillId="0" borderId="0" xfId="0" applyFont="1" applyFill="1" applyBorder="1" applyAlignment="1" applyProtection="1">
      <alignment horizontal="right"/>
    </xf>
    <xf numFmtId="0" fontId="6" fillId="0" borderId="1" xfId="0" applyFont="1" applyFill="1" applyBorder="1" applyProtection="1"/>
    <xf numFmtId="0" fontId="6" fillId="0" borderId="1" xfId="0" applyFont="1" applyFill="1" applyBorder="1" applyAlignment="1" applyProtection="1">
      <alignment horizontal="center" wrapText="1"/>
    </xf>
    <xf numFmtId="0" fontId="0" fillId="0" borderId="0" xfId="0" applyBorder="1" applyProtection="1"/>
    <xf numFmtId="0" fontId="0" fillId="0" borderId="6" xfId="0" applyBorder="1" applyProtection="1"/>
    <xf numFmtId="43" fontId="6" fillId="0" borderId="1" xfId="1" applyNumberFormat="1" applyFont="1" applyFill="1" applyBorder="1" applyAlignment="1" applyProtection="1">
      <alignment horizontal="center"/>
    </xf>
    <xf numFmtId="167" fontId="6" fillId="0" borderId="1" xfId="1" applyNumberFormat="1" applyFont="1" applyFill="1" applyBorder="1" applyAlignment="1" applyProtection="1">
      <alignment horizontal="center"/>
    </xf>
    <xf numFmtId="0" fontId="6" fillId="0" borderId="0" xfId="0" applyFont="1" applyFill="1" applyBorder="1" applyAlignment="1" applyProtection="1">
      <alignment horizontal="center"/>
    </xf>
    <xf numFmtId="0" fontId="5" fillId="0" borderId="14" xfId="0" applyFont="1" applyBorder="1" applyAlignment="1" applyProtection="1">
      <alignment wrapText="1"/>
    </xf>
    <xf numFmtId="0" fontId="6" fillId="0" borderId="14" xfId="0" applyFont="1" applyBorder="1" applyAlignment="1" applyProtection="1">
      <alignment wrapText="1"/>
    </xf>
    <xf numFmtId="165" fontId="6" fillId="0" borderId="1" xfId="0" applyNumberFormat="1" applyFont="1" applyBorder="1" applyAlignment="1" applyProtection="1">
      <alignment horizontal="center"/>
    </xf>
    <xf numFmtId="169" fontId="0" fillId="0" borderId="0" xfId="1" applyNumberFormat="1" applyFont="1" applyProtection="1"/>
    <xf numFmtId="0" fontId="6" fillId="0" borderId="11" xfId="0" applyFont="1" applyBorder="1" applyAlignment="1" applyProtection="1">
      <alignment horizontal="right" readingOrder="2"/>
    </xf>
    <xf numFmtId="0" fontId="6" fillId="0" borderId="13" xfId="0" applyFont="1" applyBorder="1" applyAlignment="1" applyProtection="1">
      <alignment horizontal="center"/>
    </xf>
    <xf numFmtId="43" fontId="0" fillId="0" borderId="0" xfId="1" applyFont="1" applyProtection="1"/>
    <xf numFmtId="0" fontId="7" fillId="0" borderId="0" xfId="0" applyFont="1" applyProtection="1"/>
    <xf numFmtId="0" fontId="20" fillId="0" borderId="1" xfId="0" applyFont="1" applyBorder="1" applyAlignment="1" applyProtection="1">
      <alignment horizontal="right" wrapText="1"/>
    </xf>
    <xf numFmtId="0" fontId="5" fillId="0" borderId="1" xfId="0" applyFont="1" applyFill="1" applyBorder="1" applyAlignment="1" applyProtection="1">
      <alignment horizontal="center" wrapText="1" readingOrder="2"/>
    </xf>
    <xf numFmtId="0" fontId="5" fillId="0" borderId="1" xfId="0" applyFont="1" applyFill="1" applyBorder="1" applyAlignment="1" applyProtection="1">
      <alignment horizontal="center" wrapText="1"/>
    </xf>
    <xf numFmtId="0" fontId="5" fillId="2" borderId="1" xfId="0" applyFont="1" applyFill="1" applyBorder="1" applyAlignment="1" applyProtection="1">
      <alignment wrapText="1"/>
    </xf>
    <xf numFmtId="0" fontId="21" fillId="0" borderId="0" xfId="0" applyFont="1" applyProtection="1"/>
    <xf numFmtId="0" fontId="0" fillId="0" borderId="0" xfId="0" applyAlignment="1" applyProtection="1">
      <alignment horizontal="right" wrapText="1" readingOrder="2"/>
    </xf>
    <xf numFmtId="0" fontId="21" fillId="0" borderId="0" xfId="0" applyFont="1" applyAlignment="1" applyProtection="1">
      <alignment readingOrder="2"/>
    </xf>
    <xf numFmtId="0" fontId="22" fillId="4" borderId="12" xfId="0" applyFont="1" applyFill="1" applyBorder="1" applyAlignment="1" applyProtection="1">
      <alignment horizontal="center"/>
      <protection locked="0"/>
    </xf>
    <xf numFmtId="43" fontId="13" fillId="0" borderId="20" xfId="1" applyFont="1" applyBorder="1" applyAlignment="1">
      <alignment horizontal="center"/>
    </xf>
    <xf numFmtId="43" fontId="0" fillId="4" borderId="20" xfId="1" applyFont="1" applyFill="1" applyBorder="1" applyAlignment="1">
      <alignment horizontal="center"/>
    </xf>
    <xf numFmtId="10" fontId="0" fillId="0" borderId="1" xfId="6" applyNumberFormat="1" applyFont="1" applyBorder="1"/>
    <xf numFmtId="43" fontId="0" fillId="0" borderId="1" xfId="1" applyFont="1" applyBorder="1"/>
    <xf numFmtId="167" fontId="0" fillId="0" borderId="20" xfId="0" applyNumberFormat="1" applyBorder="1" applyAlignment="1">
      <alignment horizontal="center"/>
    </xf>
    <xf numFmtId="165" fontId="6" fillId="2" borderId="1" xfId="0" applyNumberFormat="1" applyFont="1" applyFill="1" applyBorder="1" applyAlignment="1" applyProtection="1">
      <alignment horizontal="center" vertical="center"/>
    </xf>
    <xf numFmtId="2" fontId="6" fillId="2" borderId="1" xfId="0" applyNumberFormat="1" applyFont="1" applyFill="1" applyBorder="1" applyAlignment="1" applyProtection="1">
      <alignment horizontal="center" vertical="center"/>
    </xf>
    <xf numFmtId="0" fontId="21" fillId="0" borderId="0" xfId="0" applyFont="1" applyAlignment="1" applyProtection="1">
      <alignment horizontal="right" readingOrder="2"/>
    </xf>
    <xf numFmtId="0" fontId="6" fillId="0" borderId="3" xfId="0" applyFont="1" applyBorder="1" applyProtection="1"/>
    <xf numFmtId="0" fontId="6" fillId="0" borderId="4" xfId="0" applyFont="1" applyBorder="1" applyProtection="1"/>
    <xf numFmtId="0" fontId="9" fillId="0" borderId="3" xfId="0" applyFont="1" applyBorder="1" applyAlignment="1" applyProtection="1">
      <alignment horizontal="right"/>
    </xf>
    <xf numFmtId="0" fontId="9" fillId="0" borderId="0" xfId="0" applyFont="1" applyBorder="1" applyAlignment="1" applyProtection="1"/>
    <xf numFmtId="14" fontId="0" fillId="0" borderId="20" xfId="0" applyNumberFormat="1" applyBorder="1"/>
    <xf numFmtId="0" fontId="0" fillId="5" borderId="1" xfId="0" applyFill="1" applyBorder="1" applyAlignment="1" applyProtection="1">
      <alignment horizontal="center"/>
    </xf>
    <xf numFmtId="0" fontId="6" fillId="0" borderId="12" xfId="0" applyFont="1" applyBorder="1" applyAlignment="1" applyProtection="1">
      <alignment horizontal="left"/>
    </xf>
    <xf numFmtId="0" fontId="19" fillId="5" borderId="1" xfId="0" applyFont="1" applyFill="1" applyBorder="1" applyProtection="1"/>
    <xf numFmtId="0" fontId="30" fillId="0" borderId="1" xfId="0" applyFont="1" applyBorder="1" applyAlignment="1" applyProtection="1">
      <alignment horizontal="center" readingOrder="2"/>
    </xf>
    <xf numFmtId="0" fontId="30" fillId="0" borderId="1" xfId="0" applyFont="1" applyBorder="1" applyAlignment="1" applyProtection="1">
      <alignment horizontal="center"/>
    </xf>
    <xf numFmtId="0" fontId="8" fillId="0" borderId="0" xfId="0" applyFont="1" applyAlignment="1" applyProtection="1">
      <alignment horizontal="center"/>
    </xf>
    <xf numFmtId="0" fontId="6" fillId="0" borderId="16" xfId="0" applyFont="1" applyBorder="1" applyAlignment="1" applyProtection="1">
      <alignment horizontal="center"/>
    </xf>
    <xf numFmtId="0" fontId="6" fillId="0" borderId="17" xfId="0" applyFont="1" applyBorder="1" applyAlignment="1" applyProtection="1">
      <alignment horizontal="center"/>
    </xf>
    <xf numFmtId="0" fontId="7" fillId="0" borderId="0" xfId="0" applyFont="1" applyAlignment="1" applyProtection="1">
      <alignment horizontal="center"/>
    </xf>
    <xf numFmtId="0" fontId="11" fillId="0" borderId="0" xfId="0" applyFont="1" applyAlignment="1" applyProtection="1">
      <alignment horizontal="right" vertical="top" wrapText="1" readingOrder="2"/>
    </xf>
    <xf numFmtId="0" fontId="6" fillId="5" borderId="9" xfId="0" applyFont="1" applyFill="1" applyBorder="1" applyAlignment="1" applyProtection="1">
      <alignment horizontal="center" vertical="top" wrapText="1"/>
    </xf>
    <xf numFmtId="0" fontId="6" fillId="5" borderId="18" xfId="0" applyFont="1" applyFill="1" applyBorder="1" applyAlignment="1" applyProtection="1">
      <alignment horizontal="center" vertical="top" wrapText="1"/>
    </xf>
    <xf numFmtId="0" fontId="5" fillId="0" borderId="1" xfId="0" applyFont="1" applyBorder="1" applyAlignment="1" applyProtection="1">
      <alignment horizontal="center" vertical="top" wrapText="1" readingOrder="2"/>
    </xf>
    <xf numFmtId="0" fontId="9" fillId="0" borderId="3" xfId="0" applyFont="1" applyFill="1" applyBorder="1" applyAlignment="1" applyProtection="1">
      <alignment horizontal="center"/>
    </xf>
    <xf numFmtId="0" fontId="4" fillId="0" borderId="0" xfId="0" applyFont="1" applyAlignment="1" applyProtection="1">
      <alignment horizontal="right"/>
    </xf>
    <xf numFmtId="0" fontId="4" fillId="0" borderId="0" xfId="0" applyFont="1" applyAlignment="1" applyProtection="1">
      <alignment horizontal="right" vertical="top" wrapText="1" readingOrder="2"/>
    </xf>
    <xf numFmtId="0" fontId="9" fillId="0" borderId="0" xfId="0" applyFont="1" applyFill="1" applyBorder="1" applyAlignment="1" applyProtection="1">
      <alignment horizontal="center"/>
    </xf>
    <xf numFmtId="0" fontId="5" fillId="0" borderId="1" xfId="0" applyFont="1" applyFill="1" applyBorder="1" applyAlignment="1" applyProtection="1">
      <alignment horizontal="center" wrapText="1"/>
    </xf>
    <xf numFmtId="2" fontId="29" fillId="2" borderId="1" xfId="0" applyNumberFormat="1" applyFont="1" applyFill="1" applyBorder="1" applyAlignment="1" applyProtection="1">
      <alignment horizontal="center" vertical="center"/>
    </xf>
    <xf numFmtId="0" fontId="6" fillId="0" borderId="1" xfId="0" applyFont="1" applyBorder="1" applyAlignment="1" applyProtection="1">
      <alignment horizontal="center"/>
    </xf>
    <xf numFmtId="0" fontId="0" fillId="0" borderId="0" xfId="0" applyFill="1" applyBorder="1" applyAlignment="1" applyProtection="1">
      <alignment horizontal="center"/>
    </xf>
    <xf numFmtId="0" fontId="12" fillId="0" borderId="0" xfId="0" applyFont="1" applyAlignment="1" applyProtection="1">
      <alignment horizontal="right" vertical="top" wrapText="1"/>
    </xf>
    <xf numFmtId="0" fontId="17" fillId="0" borderId="0" xfId="0" applyFont="1" applyFill="1" applyBorder="1" applyAlignment="1" applyProtection="1">
      <alignment horizontal="right" vertical="top" wrapText="1"/>
    </xf>
    <xf numFmtId="0" fontId="12" fillId="0" borderId="0" xfId="0" applyFont="1" applyAlignment="1" applyProtection="1">
      <alignment horizontal="center"/>
    </xf>
    <xf numFmtId="0" fontId="25" fillId="0" borderId="0" xfId="0" applyFont="1" applyAlignment="1">
      <alignment horizontal="center"/>
    </xf>
  </cellXfs>
  <cellStyles count="7">
    <cellStyle name="Comma" xfId="1" builtinId="3"/>
    <cellStyle name="Comma 2" xfId="3"/>
    <cellStyle name="Comma 3" xfId="5"/>
    <cellStyle name="Normal" xfId="0" builtinId="0"/>
    <cellStyle name="Normal 2" xfId="2"/>
    <cellStyle name="Normal 3" xfId="4"/>
    <cellStyle name="Percent" xfId="6" builtinId="5"/>
  </cellStyles>
  <dxfs count="1">
    <dxf>
      <font>
        <color rgb="FF9C0006"/>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57150</xdr:colOff>
          <xdr:row>58</xdr:row>
          <xdr:rowOff>133350</xdr:rowOff>
        </xdr:from>
        <xdr:to>
          <xdr:col>7</xdr:col>
          <xdr:colOff>171450</xdr:colOff>
          <xdr:row>65</xdr:row>
          <xdr:rowOff>142875</xdr:rowOff>
        </xdr:to>
        <xdr:sp macro="" textlink="">
          <xdr:nvSpPr>
            <xdr:cNvPr id="2050" name="Object 2" hidden="1">
              <a:extLst>
                <a:ext uri="{63B3BB69-23CF-44E3-9099-C40C66FF867C}">
                  <a14:compatExt spid="_x0000_s20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38100</xdr:colOff>
          <xdr:row>70</xdr:row>
          <xdr:rowOff>95250</xdr:rowOff>
        </xdr:from>
        <xdr:to>
          <xdr:col>7</xdr:col>
          <xdr:colOff>171450</xdr:colOff>
          <xdr:row>79</xdr:row>
          <xdr:rowOff>28575</xdr:rowOff>
        </xdr:to>
        <xdr:sp macro="" textlink="">
          <xdr:nvSpPr>
            <xdr:cNvPr id="2051" name="Object 3" hidden="1">
              <a:extLst>
                <a:ext uri="{63B3BB69-23CF-44E3-9099-C40C66FF867C}">
                  <a14:compatExt spid="_x0000_s2051"/>
                </a:ext>
              </a:extLst>
            </xdr:cNvPr>
            <xdr:cNvSpPr/>
          </xdr:nvSpPr>
          <xdr:spPr>
            <a:xfrm>
              <a:off x="0" y="0"/>
              <a:ext cx="0" cy="0"/>
            </a:xfrm>
            <a:prstGeom prst="rect">
              <a:avLst/>
            </a:prstGeom>
          </xdr:spPr>
        </xdr:sp>
        <xdr:clientData/>
      </xdr:twoCellAnchor>
    </mc:Choice>
    <mc:Fallback/>
  </mc:AlternateContent>
  <xdr:twoCellAnchor editAs="oneCell">
    <xdr:from>
      <xdr:col>5</xdr:col>
      <xdr:colOff>228600</xdr:colOff>
      <xdr:row>19</xdr:row>
      <xdr:rowOff>85725</xdr:rowOff>
    </xdr:from>
    <xdr:to>
      <xdr:col>7</xdr:col>
      <xdr:colOff>742950</xdr:colOff>
      <xdr:row>26</xdr:row>
      <xdr:rowOff>180975</xdr:rowOff>
    </xdr:to>
    <xdr:pic>
      <xdr:nvPicPr>
        <xdr:cNvPr id="4" name="תמונה 3"/>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230946550" y="5238750"/>
          <a:ext cx="2114550" cy="1866900"/>
        </a:xfrm>
        <a:prstGeom prst="rect">
          <a:avLst/>
        </a:prstGeom>
      </xdr:spPr>
    </xdr:pic>
    <xdr:clientData/>
  </xdr:twoCellAnchor>
</xdr:wsDr>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oleObject" Target="../embeddings/oleObject2.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1"/>
  <dimension ref="B1:J102"/>
  <sheetViews>
    <sheetView showGridLines="0" rightToLeft="1" zoomScaleNormal="100" zoomScalePageLayoutView="40" workbookViewId="0">
      <selection activeCell="H17" sqref="H17"/>
    </sheetView>
  </sheetViews>
  <sheetFormatPr defaultRowHeight="14.25" x14ac:dyDescent="0.2"/>
  <cols>
    <col min="1" max="1" width="2.5" style="28" customWidth="1"/>
    <col min="2" max="2" width="23.125" style="28" customWidth="1"/>
    <col min="3" max="3" width="18.625" style="28" customWidth="1"/>
    <col min="4" max="4" width="16.625" style="28" customWidth="1"/>
    <col min="5" max="5" width="13.125" style="28" customWidth="1"/>
    <col min="6" max="6" width="9.25" style="28" customWidth="1"/>
    <col min="7" max="7" width="11.75" style="28" customWidth="1"/>
    <col min="8" max="8" width="13.5" style="28" customWidth="1"/>
    <col min="9" max="16384" width="9" style="28"/>
  </cols>
  <sheetData>
    <row r="1" spans="2:8" ht="25.5" x14ac:dyDescent="0.35">
      <c r="B1" s="166" t="s">
        <v>124</v>
      </c>
      <c r="C1" s="166"/>
      <c r="D1" s="166"/>
      <c r="E1" s="166"/>
      <c r="F1" s="166"/>
      <c r="G1" s="166"/>
      <c r="H1" s="166"/>
    </row>
    <row r="2" spans="2:8" ht="9.75" customHeight="1" x14ac:dyDescent="0.25">
      <c r="B2" s="71"/>
      <c r="C2" s="71"/>
      <c r="D2" s="71"/>
      <c r="E2" s="71"/>
      <c r="F2" s="71"/>
      <c r="G2" s="71"/>
    </row>
    <row r="3" spans="2:8" s="31" customFormat="1" ht="51.75" customHeight="1" x14ac:dyDescent="0.2">
      <c r="B3" s="72" t="s">
        <v>76</v>
      </c>
      <c r="C3" s="72" t="s">
        <v>77</v>
      </c>
      <c r="D3" s="73" t="s">
        <v>115</v>
      </c>
      <c r="E3" s="72" t="s">
        <v>8</v>
      </c>
      <c r="F3" s="171" t="s">
        <v>9</v>
      </c>
      <c r="G3" s="171" t="s">
        <v>75</v>
      </c>
      <c r="H3" s="171" t="s">
        <v>128</v>
      </c>
    </row>
    <row r="4" spans="2:8" ht="15.75" x14ac:dyDescent="0.25">
      <c r="B4" s="74" t="s">
        <v>12</v>
      </c>
      <c r="C4" s="75" t="s">
        <v>13</v>
      </c>
      <c r="D4" s="76">
        <f>סימולאטור!C16</f>
        <v>50.847457627118644</v>
      </c>
      <c r="E4" s="6">
        <v>20000</v>
      </c>
      <c r="F4" s="172"/>
      <c r="G4" s="172"/>
      <c r="H4" s="172"/>
    </row>
    <row r="5" spans="2:8" ht="15.75" x14ac:dyDescent="0.25">
      <c r="B5" s="77" t="s">
        <v>1</v>
      </c>
      <c r="C5" s="75" t="s">
        <v>14</v>
      </c>
      <c r="D5" s="6">
        <v>2700</v>
      </c>
      <c r="E5" s="6">
        <v>1000</v>
      </c>
      <c r="F5" s="4">
        <v>40</v>
      </c>
      <c r="G5" s="75">
        <v>800</v>
      </c>
      <c r="H5" s="4">
        <v>2000</v>
      </c>
    </row>
    <row r="6" spans="2:8" ht="15.75" x14ac:dyDescent="0.25">
      <c r="B6" s="77" t="s">
        <v>2</v>
      </c>
      <c r="C6" s="75" t="s">
        <v>14</v>
      </c>
      <c r="D6" s="6">
        <v>1000</v>
      </c>
      <c r="E6" s="6">
        <v>470</v>
      </c>
      <c r="F6" s="4">
        <v>15</v>
      </c>
      <c r="G6" s="75">
        <v>400</v>
      </c>
      <c r="H6" s="4">
        <v>1000</v>
      </c>
    </row>
    <row r="7" spans="2:8" ht="15.75" x14ac:dyDescent="0.25">
      <c r="B7" s="74" t="s">
        <v>3</v>
      </c>
      <c r="C7" s="75" t="s">
        <v>14</v>
      </c>
      <c r="D7" s="6">
        <v>80</v>
      </c>
      <c r="E7" s="6">
        <v>70</v>
      </c>
      <c r="F7" s="4">
        <v>5</v>
      </c>
      <c r="G7" s="75">
        <v>50</v>
      </c>
      <c r="H7" s="4">
        <v>100</v>
      </c>
    </row>
    <row r="8" spans="2:8" ht="15.75" x14ac:dyDescent="0.25">
      <c r="B8" s="74" t="s">
        <v>4</v>
      </c>
      <c r="C8" s="75" t="s">
        <v>14</v>
      </c>
      <c r="D8" s="6">
        <v>10</v>
      </c>
      <c r="E8" s="6">
        <v>15</v>
      </c>
      <c r="F8" s="4">
        <v>5</v>
      </c>
      <c r="G8" s="75">
        <v>15</v>
      </c>
      <c r="H8" s="4">
        <v>30</v>
      </c>
    </row>
    <row r="9" spans="2:8" ht="16.5" thickBot="1" x14ac:dyDescent="0.3">
      <c r="B9" s="71"/>
      <c r="C9" s="78"/>
      <c r="D9" s="78"/>
      <c r="E9" s="78"/>
      <c r="F9" s="78"/>
    </row>
    <row r="10" spans="2:8" ht="16.5" thickBot="1" x14ac:dyDescent="0.3">
      <c r="B10" s="71"/>
      <c r="C10" s="79"/>
      <c r="D10" s="167" t="s">
        <v>125</v>
      </c>
      <c r="E10" s="167"/>
      <c r="F10" s="167"/>
      <c r="G10" s="168"/>
    </row>
    <row r="11" spans="2:8" ht="16.5" thickBot="1" x14ac:dyDescent="0.3">
      <c r="B11" s="71"/>
      <c r="C11" s="78"/>
      <c r="D11" s="80"/>
      <c r="E11" s="81"/>
      <c r="F11" s="81"/>
      <c r="G11" s="81"/>
    </row>
    <row r="12" spans="2:8" ht="15.75" x14ac:dyDescent="0.25">
      <c r="B12" s="82"/>
      <c r="C12" s="158" t="s">
        <v>15</v>
      </c>
      <c r="D12" s="84"/>
      <c r="E12" s="84"/>
      <c r="F12" s="83"/>
      <c r="G12" s="83"/>
      <c r="H12" s="85"/>
    </row>
    <row r="13" spans="2:8" ht="15.75" x14ac:dyDescent="0.25">
      <c r="B13" s="86"/>
      <c r="C13" s="87"/>
      <c r="D13" s="87"/>
      <c r="E13" s="87"/>
      <c r="F13" s="87"/>
      <c r="G13" s="87"/>
      <c r="H13" s="88"/>
    </row>
    <row r="14" spans="2:8" ht="47.25" x14ac:dyDescent="0.25">
      <c r="B14" s="86"/>
      <c r="C14" s="173" t="s">
        <v>16</v>
      </c>
      <c r="D14" s="89" t="s">
        <v>17</v>
      </c>
      <c r="E14" s="90" t="s">
        <v>18</v>
      </c>
      <c r="F14" s="91" t="s">
        <v>19</v>
      </c>
      <c r="G14" s="92"/>
      <c r="H14" s="93"/>
    </row>
    <row r="15" spans="2:8" ht="17.25" x14ac:dyDescent="0.25">
      <c r="B15" s="86"/>
      <c r="C15" s="173"/>
      <c r="D15" s="94" t="s">
        <v>49</v>
      </c>
      <c r="E15" s="94" t="s">
        <v>50</v>
      </c>
      <c r="F15" s="95" t="s">
        <v>51</v>
      </c>
      <c r="G15" s="96"/>
      <c r="H15" s="97"/>
    </row>
    <row r="16" spans="2:8" ht="31.5" x14ac:dyDescent="0.25">
      <c r="B16" s="86"/>
      <c r="C16" s="98" t="str">
        <f>B5</f>
        <v xml:space="preserve">צריכת חמצן כימית (COD) </v>
      </c>
      <c r="D16" s="99">
        <v>0.55000000000000004</v>
      </c>
      <c r="E16" s="100">
        <v>0.33</v>
      </c>
      <c r="F16" s="100">
        <v>0.41</v>
      </c>
      <c r="G16" s="101"/>
      <c r="H16" s="102"/>
    </row>
    <row r="17" spans="2:8" ht="15.75" x14ac:dyDescent="0.25">
      <c r="B17" s="86"/>
      <c r="C17" s="98" t="str">
        <f>B7</f>
        <v>חנקן קילדל</v>
      </c>
      <c r="D17" s="99">
        <v>0.18</v>
      </c>
      <c r="E17" s="100">
        <v>0.02</v>
      </c>
      <c r="F17" s="100">
        <v>0.09</v>
      </c>
      <c r="G17" s="101"/>
      <c r="H17" s="102"/>
    </row>
    <row r="18" spans="2:8" ht="31.5" x14ac:dyDescent="0.25">
      <c r="B18" s="86"/>
      <c r="C18" s="98" t="str">
        <f>B6</f>
        <v>כלל מוצקים מרחפים (TSS)</v>
      </c>
      <c r="D18" s="99">
        <v>0.1</v>
      </c>
      <c r="E18" s="100">
        <v>0.55000000000000004</v>
      </c>
      <c r="F18" s="100">
        <v>0.4</v>
      </c>
      <c r="G18" s="101"/>
      <c r="H18" s="102"/>
    </row>
    <row r="19" spans="2:8" ht="15.75" x14ac:dyDescent="0.25">
      <c r="B19" s="86"/>
      <c r="C19" s="98" t="str">
        <f>B8</f>
        <v>זרחן כ-P</v>
      </c>
      <c r="D19" s="99">
        <v>0.05</v>
      </c>
      <c r="E19" s="100">
        <v>0.05</v>
      </c>
      <c r="F19" s="100">
        <v>0.05</v>
      </c>
      <c r="G19" s="101"/>
      <c r="H19" s="102"/>
    </row>
    <row r="20" spans="2:8" ht="15.75" x14ac:dyDescent="0.25">
      <c r="B20" s="86"/>
      <c r="C20" s="103"/>
      <c r="D20" s="78"/>
      <c r="E20" s="104"/>
      <c r="F20" s="104"/>
      <c r="G20" s="104"/>
      <c r="H20" s="105"/>
    </row>
    <row r="21" spans="2:8" ht="13.5" customHeight="1" x14ac:dyDescent="0.25">
      <c r="B21" s="86"/>
      <c r="C21" s="159" t="s">
        <v>20</v>
      </c>
      <c r="D21" s="159"/>
      <c r="E21" s="159"/>
      <c r="F21" s="159"/>
      <c r="G21" s="104"/>
      <c r="H21" s="105"/>
    </row>
    <row r="22" spans="2:8" ht="15.75" x14ac:dyDescent="0.25">
      <c r="B22" s="86"/>
      <c r="C22" s="103"/>
      <c r="D22" s="78"/>
      <c r="E22" s="104"/>
      <c r="F22" s="104"/>
      <c r="G22" s="104"/>
      <c r="H22" s="105"/>
    </row>
    <row r="23" spans="2:8" ht="15.75" x14ac:dyDescent="0.25">
      <c r="B23" s="86"/>
      <c r="C23" s="106" t="s">
        <v>21</v>
      </c>
      <c r="D23" s="107" t="s">
        <v>22</v>
      </c>
      <c r="E23" s="104"/>
      <c r="F23" s="104"/>
      <c r="G23" s="104"/>
      <c r="H23" s="105"/>
    </row>
    <row r="24" spans="2:8" ht="31.5" x14ac:dyDescent="0.25">
      <c r="B24" s="86"/>
      <c r="C24" s="106" t="s">
        <v>23</v>
      </c>
      <c r="D24" s="107">
        <v>1.23</v>
      </c>
      <c r="E24" s="104"/>
      <c r="F24" s="104"/>
      <c r="G24" s="104"/>
      <c r="H24" s="105"/>
    </row>
    <row r="25" spans="2:8" ht="31.5" x14ac:dyDescent="0.25">
      <c r="B25" s="86"/>
      <c r="C25" s="106" t="s">
        <v>24</v>
      </c>
      <c r="D25" s="107">
        <v>1</v>
      </c>
      <c r="E25" s="104"/>
      <c r="F25" s="104"/>
      <c r="G25" s="104"/>
      <c r="H25" s="105"/>
    </row>
    <row r="26" spans="2:8" ht="15.75" x14ac:dyDescent="0.25">
      <c r="B26" s="86"/>
      <c r="C26" s="103"/>
      <c r="D26" s="78"/>
      <c r="E26" s="104"/>
      <c r="F26" s="104"/>
      <c r="G26" s="104"/>
      <c r="H26" s="105"/>
    </row>
    <row r="27" spans="2:8" ht="15.75" x14ac:dyDescent="0.25">
      <c r="B27" s="86"/>
      <c r="C27" s="159" t="s">
        <v>25</v>
      </c>
      <c r="D27" s="159"/>
      <c r="E27" s="159"/>
      <c r="F27" s="87"/>
      <c r="G27" s="87"/>
      <c r="H27" s="88"/>
    </row>
    <row r="28" spans="2:8" ht="15.75" x14ac:dyDescent="0.25">
      <c r="B28" s="86"/>
      <c r="C28" s="87"/>
      <c r="D28" s="87"/>
      <c r="E28" s="87"/>
      <c r="F28" s="87"/>
      <c r="G28" s="87"/>
      <c r="H28" s="88"/>
    </row>
    <row r="29" spans="2:8" ht="15.75" x14ac:dyDescent="0.25">
      <c r="B29" s="86"/>
      <c r="C29" s="108" t="s">
        <v>10</v>
      </c>
      <c r="D29" s="108" t="s">
        <v>11</v>
      </c>
      <c r="E29" s="109">
        <v>0.65</v>
      </c>
      <c r="F29" s="87"/>
      <c r="G29" s="87"/>
      <c r="H29" s="88"/>
    </row>
    <row r="30" spans="2:8" ht="15.75" x14ac:dyDescent="0.25">
      <c r="B30" s="86"/>
      <c r="C30" s="108" t="s">
        <v>26</v>
      </c>
      <c r="D30" s="108" t="s">
        <v>27</v>
      </c>
      <c r="E30" s="109">
        <v>0.33</v>
      </c>
      <c r="F30" s="87"/>
      <c r="G30" s="87"/>
      <c r="H30" s="88"/>
    </row>
    <row r="31" spans="2:8" ht="15.75" x14ac:dyDescent="0.25">
      <c r="B31" s="86"/>
      <c r="C31" s="110" t="s">
        <v>28</v>
      </c>
      <c r="D31" s="111" t="s">
        <v>29</v>
      </c>
      <c r="E31" s="112">
        <v>15.43</v>
      </c>
      <c r="F31" s="87"/>
      <c r="G31" s="87"/>
      <c r="H31" s="88"/>
    </row>
    <row r="32" spans="2:8" ht="15.75" x14ac:dyDescent="0.25">
      <c r="B32" s="86"/>
      <c r="C32" s="110" t="s">
        <v>30</v>
      </c>
      <c r="D32" s="111" t="s">
        <v>31</v>
      </c>
      <c r="E32" s="112">
        <v>154.16999999999999</v>
      </c>
      <c r="F32" s="113"/>
      <c r="G32" s="87"/>
      <c r="H32" s="88"/>
    </row>
    <row r="33" spans="2:8" ht="63" x14ac:dyDescent="0.25">
      <c r="B33" s="86"/>
      <c r="C33" s="114" t="s">
        <v>32</v>
      </c>
      <c r="D33" s="110" t="s">
        <v>33</v>
      </c>
      <c r="E33" s="115">
        <f>0.05*(E4)^0.68*10^6</f>
        <v>42040744.794040591</v>
      </c>
      <c r="F33" s="87"/>
      <c r="G33" s="87"/>
      <c r="H33" s="88"/>
    </row>
    <row r="34" spans="2:8" ht="15.75" x14ac:dyDescent="0.25">
      <c r="B34" s="86"/>
      <c r="C34" s="74" t="s">
        <v>34</v>
      </c>
      <c r="D34" s="110" t="s">
        <v>35</v>
      </c>
      <c r="E34" s="116">
        <v>9.5000000000000001E-2</v>
      </c>
      <c r="F34" s="87"/>
      <c r="G34" s="87"/>
      <c r="H34" s="88"/>
    </row>
    <row r="35" spans="2:8" ht="15.75" x14ac:dyDescent="0.25">
      <c r="B35" s="86"/>
      <c r="C35" s="74" t="s">
        <v>36</v>
      </c>
      <c r="D35" s="111" t="s">
        <v>37</v>
      </c>
      <c r="E35" s="115">
        <f>E34*E33</f>
        <v>3993870.755433856</v>
      </c>
      <c r="F35" s="87"/>
      <c r="G35" s="87"/>
      <c r="H35" s="88"/>
    </row>
    <row r="36" spans="2:8" ht="47.25" x14ac:dyDescent="0.25">
      <c r="B36" s="86"/>
      <c r="C36" s="108" t="s">
        <v>38</v>
      </c>
      <c r="D36" s="111" t="s">
        <v>39</v>
      </c>
      <c r="E36" s="117">
        <f>5.19*(E4)^-0.26</f>
        <v>0.39527519261926702</v>
      </c>
      <c r="F36" s="87"/>
      <c r="G36" s="87"/>
      <c r="H36" s="88"/>
    </row>
    <row r="37" spans="2:8" ht="31.5" x14ac:dyDescent="0.25">
      <c r="B37" s="86"/>
      <c r="C37" s="118" t="s">
        <v>40</v>
      </c>
      <c r="D37" s="111" t="s">
        <v>35</v>
      </c>
      <c r="E37" s="117">
        <v>0.85</v>
      </c>
      <c r="F37" s="87"/>
      <c r="G37" s="87"/>
      <c r="H37" s="88"/>
    </row>
    <row r="38" spans="2:8" ht="15.75" x14ac:dyDescent="0.25">
      <c r="B38" s="86"/>
      <c r="C38" s="87"/>
      <c r="D38" s="87"/>
      <c r="E38" s="87"/>
      <c r="F38" s="87"/>
      <c r="G38" s="87"/>
      <c r="H38" s="88"/>
    </row>
    <row r="39" spans="2:8" ht="15.75" x14ac:dyDescent="0.25">
      <c r="B39" s="86"/>
      <c r="C39" s="74" t="s">
        <v>41</v>
      </c>
      <c r="D39" s="180" t="s">
        <v>42</v>
      </c>
      <c r="E39" s="180"/>
      <c r="F39" s="180"/>
      <c r="G39" s="87"/>
      <c r="H39" s="88"/>
    </row>
    <row r="40" spans="2:8" ht="15.75" x14ac:dyDescent="0.25">
      <c r="B40" s="86"/>
      <c r="C40" s="74" t="s">
        <v>43</v>
      </c>
      <c r="D40" s="180" t="s">
        <v>44</v>
      </c>
      <c r="E40" s="180"/>
      <c r="F40" s="180"/>
      <c r="G40" s="87"/>
      <c r="H40" s="88"/>
    </row>
    <row r="41" spans="2:8" ht="16.5" thickBot="1" x14ac:dyDescent="0.3">
      <c r="B41" s="119"/>
      <c r="C41" s="120"/>
      <c r="D41" s="121"/>
      <c r="E41" s="121"/>
      <c r="F41" s="121"/>
      <c r="G41" s="122"/>
      <c r="H41" s="123"/>
    </row>
    <row r="42" spans="2:8" ht="15.75" x14ac:dyDescent="0.25">
      <c r="B42" s="82"/>
      <c r="C42" s="174" t="s">
        <v>45</v>
      </c>
      <c r="D42" s="174"/>
      <c r="E42" s="174"/>
      <c r="F42" s="83"/>
      <c r="G42" s="156"/>
      <c r="H42" s="157"/>
    </row>
    <row r="43" spans="2:8" ht="15.75" x14ac:dyDescent="0.25">
      <c r="B43" s="86"/>
      <c r="C43" s="124"/>
      <c r="D43" s="78"/>
      <c r="E43" s="78"/>
      <c r="F43" s="78"/>
      <c r="G43" s="87"/>
      <c r="H43" s="88"/>
    </row>
    <row r="44" spans="2:8" ht="47.25" x14ac:dyDescent="0.25">
      <c r="B44" s="86"/>
      <c r="C44" s="125"/>
      <c r="D44" s="125"/>
      <c r="E44" s="126" t="s">
        <v>46</v>
      </c>
      <c r="F44" s="126" t="s">
        <v>47</v>
      </c>
      <c r="G44" s="127"/>
      <c r="H44" s="128"/>
    </row>
    <row r="45" spans="2:8" ht="15.75" x14ac:dyDescent="0.25">
      <c r="B45" s="86"/>
      <c r="C45" s="77" t="str">
        <f>C16</f>
        <v xml:space="preserve">צריכת חמצן כימית (COD) </v>
      </c>
      <c r="D45" s="75" t="s">
        <v>54</v>
      </c>
      <c r="E45" s="129">
        <f>(D5-G5)*$D$4*10^-3</f>
        <v>96.610169491525426</v>
      </c>
      <c r="F45" s="130">
        <f>(E5-F5)*$E$4*10^-3</f>
        <v>19200</v>
      </c>
      <c r="G45" s="127"/>
      <c r="H45" s="128"/>
    </row>
    <row r="46" spans="2:8" ht="15.75" x14ac:dyDescent="0.25">
      <c r="B46" s="86"/>
      <c r="C46" s="77" t="str">
        <f>C18</f>
        <v>כלל מוצקים מרחפים (TSS)</v>
      </c>
      <c r="D46" s="75" t="s">
        <v>54</v>
      </c>
      <c r="E46" s="129">
        <f>(D6-G6)*$D$4*10^-3</f>
        <v>30.508474576271187</v>
      </c>
      <c r="F46" s="130">
        <f>(E6-F6)*$E$4*10^-3</f>
        <v>9100</v>
      </c>
      <c r="G46" s="127"/>
      <c r="H46" s="128"/>
    </row>
    <row r="47" spans="2:8" ht="15.75" x14ac:dyDescent="0.25">
      <c r="B47" s="86"/>
      <c r="C47" s="74" t="str">
        <f>C17</f>
        <v>חנקן קילדל</v>
      </c>
      <c r="D47" s="75" t="s">
        <v>54</v>
      </c>
      <c r="E47" s="129">
        <f>(D7-G7)*$D$4*10^-3</f>
        <v>1.5254237288135595</v>
      </c>
      <c r="F47" s="130">
        <f>(E7-F7)*$E$4*10^-3</f>
        <v>1300</v>
      </c>
      <c r="G47" s="127"/>
      <c r="H47" s="128"/>
    </row>
    <row r="48" spans="2:8" ht="15.75" x14ac:dyDescent="0.25">
      <c r="B48" s="86"/>
      <c r="C48" s="74" t="str">
        <f>C19</f>
        <v>זרחן כ-P</v>
      </c>
      <c r="D48" s="75" t="s">
        <v>54</v>
      </c>
      <c r="E48" s="129">
        <f>(D8-G8)*$D$4*10^-3</f>
        <v>-0.25423728813559321</v>
      </c>
      <c r="F48" s="130">
        <f>(E8-F8)*$E$4*10^-3</f>
        <v>200</v>
      </c>
      <c r="G48" s="127"/>
      <c r="H48" s="128"/>
    </row>
    <row r="49" spans="2:10" ht="6" customHeight="1" x14ac:dyDescent="0.25">
      <c r="B49" s="86"/>
      <c r="C49" s="131"/>
      <c r="D49" s="131"/>
      <c r="E49" s="131"/>
      <c r="F49" s="131"/>
      <c r="G49" s="87"/>
      <c r="H49" s="88"/>
    </row>
    <row r="50" spans="2:10" ht="15.75" x14ac:dyDescent="0.25">
      <c r="B50" s="86"/>
      <c r="C50" s="177" t="s">
        <v>48</v>
      </c>
      <c r="D50" s="177"/>
      <c r="E50" s="177"/>
      <c r="F50" s="131"/>
      <c r="G50" s="87"/>
      <c r="H50" s="88"/>
    </row>
    <row r="51" spans="2:10" ht="15.75" x14ac:dyDescent="0.25">
      <c r="B51" s="86"/>
      <c r="C51" s="131"/>
      <c r="D51" s="131"/>
      <c r="E51" s="131" t="s">
        <v>67</v>
      </c>
      <c r="F51" s="131" t="s">
        <v>61</v>
      </c>
      <c r="G51" s="87"/>
      <c r="H51" s="88"/>
    </row>
    <row r="52" spans="2:10" ht="15.75" x14ac:dyDescent="0.25">
      <c r="B52" s="132" t="s">
        <v>0</v>
      </c>
      <c r="C52" s="164" t="str">
        <f>C45</f>
        <v xml:space="preserve">צריכת חמצן כימית (COD) </v>
      </c>
      <c r="D52" s="164" t="str">
        <f>C46</f>
        <v>כלל מוצקים מרחפים (TSS)</v>
      </c>
      <c r="E52" s="165" t="str">
        <f>C47</f>
        <v>חנקן קילדל</v>
      </c>
      <c r="F52" s="165" t="str">
        <f>C48</f>
        <v>זרחן כ-P</v>
      </c>
      <c r="G52" s="87"/>
      <c r="H52" s="88"/>
    </row>
    <row r="53" spans="2:10" ht="15.75" x14ac:dyDescent="0.25">
      <c r="B53" s="133" t="s">
        <v>72</v>
      </c>
      <c r="C53" s="117">
        <f>IF(D5&lt;=G5,0,IF(D5&lt;=H5,((D5-G5)/(E5-F5))*(($E$29*D16*$E$30)+(0.007*E16*$E$31)+(0.5*$E$34*$E$33*F16*$E$37/(365*$E$4))+($E$36*$E$37*F16)+(0.002*E16*$E$32))*D24,((D5-G5)/(E5-F5))*(($E$29*D16*$E$30*2)+(0.007*E16*$E$31)+(0.5*$E$34*$E$33*F16*$E$37/(365*$E$4))+($E$36*$E$37*F16)+(0.002*E16*$E$32*1.2))*D24))</f>
        <v>1.5258236300687722</v>
      </c>
      <c r="D53" s="117">
        <f>IF(D6&lt;=G6,0,IF(D6&lt;=H6,((D6-G6)/(E6-F6))*(($E$29*D18*$E$30)+(0.007*E18*$E$31)+(0.5*$E$34*$E$33*F18*$E$37/(365*$E$4))+($E$36*$E$37*F18)+(0.002*E18*$E$32))*D24,((D6-G6)/(E6-F6))*(($E$29*D18*$E$30*2)+(0.007*E18*$E$31)+(0.5*$E$34*$E$33*F18*$E$37/(365*$E$4))+($E$36*$E$37*F18)+(0.002*E18*$E$32*1.2))*D24))</f>
        <v>0.77505248959823125</v>
      </c>
      <c r="E53" s="134">
        <f>IF(OR(E54="לא",D7&lt;=G7),0,IF(D7&lt;=H7,((D7-G7)/(E7-F7))*(($E$29*D17*$E$30)+(0.007*E17*$E$31)+(0.5*$E$34*$E$33*F17*$E$37/(365*$E$4))+($E$36*$E$37*F17)+(0.002*E17*$E$32))*D24,((D7-G7)/(E7-F7))*(($E$29*D17*$E$30*2)+(0.007*E17*$E$31)+(0.5*$E$34*$E$33*F17*$E$37/(365*$E$4))+($E$36*$E$37*F17)+(0.002*E17*$E$32*1.2))*D24))</f>
        <v>5.5691944228937633E-2</v>
      </c>
      <c r="F53" s="134">
        <f>IF(OR(F54="לא",D8&lt;=G8),0,IF(D8&lt;=H8,((D8-G8)/(E8-F8))*(($E$29*D19*$E$30)+(0.007*E19*$E$31)+(0.5*$E$34*$E$33*F19*$E$37/(365*$E$4))+($E$36*$E$37*F19)+(0.002*E19*$E$32))*D24,((D8-G8)/(E8-F8))*(($E$29*D19*$E$30*2)+(0.007*E19*$E$31)+(0.5*$E$34*$E$33*F19*$E$37/(365*$E$4))+($E$36*$E$37*F19)+(0.002*E19*$E$32*1.2))*D24))</f>
        <v>0</v>
      </c>
      <c r="G53" s="87"/>
      <c r="H53" s="88"/>
      <c r="I53" s="135"/>
      <c r="J53" s="135"/>
    </row>
    <row r="54" spans="2:10" ht="21.75" customHeight="1" thickBot="1" x14ac:dyDescent="0.35">
      <c r="B54" s="136" t="s">
        <v>136</v>
      </c>
      <c r="C54" s="120"/>
      <c r="D54" s="162" t="s">
        <v>137</v>
      </c>
      <c r="E54" s="147" t="s">
        <v>55</v>
      </c>
      <c r="F54" s="147" t="s">
        <v>55</v>
      </c>
      <c r="G54" s="121"/>
      <c r="H54" s="137"/>
      <c r="I54" s="135"/>
      <c r="J54" s="135"/>
    </row>
    <row r="55" spans="2:10" ht="6" customHeight="1" x14ac:dyDescent="0.25">
      <c r="B55" s="87"/>
      <c r="C55" s="87"/>
      <c r="D55" s="87"/>
      <c r="E55" s="87"/>
      <c r="F55" s="87"/>
      <c r="G55" s="87"/>
      <c r="I55" s="135"/>
      <c r="J55" s="135"/>
    </row>
    <row r="56" spans="2:10" ht="18" x14ac:dyDescent="0.25">
      <c r="C56" s="169" t="s">
        <v>71</v>
      </c>
      <c r="D56" s="169"/>
      <c r="E56" s="71"/>
      <c r="F56" s="71"/>
      <c r="G56" s="71"/>
      <c r="I56" s="138"/>
      <c r="J56" s="138"/>
    </row>
    <row r="57" spans="2:10" ht="6.75" customHeight="1" x14ac:dyDescent="0.25">
      <c r="B57" s="139"/>
      <c r="C57" s="71"/>
      <c r="D57" s="71"/>
      <c r="E57" s="71"/>
      <c r="F57" s="71"/>
      <c r="G57" s="71"/>
      <c r="I57" s="138"/>
      <c r="J57" s="138"/>
    </row>
    <row r="58" spans="2:10" ht="18" x14ac:dyDescent="0.25">
      <c r="B58" s="139" t="s">
        <v>68</v>
      </c>
      <c r="C58" s="71"/>
      <c r="D58" s="71"/>
      <c r="E58" s="71"/>
      <c r="F58" s="71"/>
      <c r="G58" s="71"/>
      <c r="I58" s="138"/>
      <c r="J58" s="138"/>
    </row>
    <row r="59" spans="2:10" ht="15.75" x14ac:dyDescent="0.25">
      <c r="B59" s="71"/>
      <c r="C59" s="71"/>
      <c r="D59" s="71"/>
      <c r="E59" s="71"/>
      <c r="F59" s="71"/>
      <c r="G59" s="71"/>
    </row>
    <row r="60" spans="2:10" ht="15.75" x14ac:dyDescent="0.25">
      <c r="B60" s="71"/>
      <c r="C60" s="71"/>
      <c r="D60" s="71"/>
      <c r="E60" s="71"/>
      <c r="F60" s="71"/>
      <c r="G60" s="71"/>
    </row>
    <row r="61" spans="2:10" ht="15.75" x14ac:dyDescent="0.25">
      <c r="B61" s="71"/>
      <c r="C61" s="71"/>
      <c r="D61" s="71"/>
      <c r="E61" s="71"/>
      <c r="F61" s="71"/>
      <c r="G61" s="71"/>
    </row>
    <row r="69" spans="2:2" ht="18" x14ac:dyDescent="0.25">
      <c r="B69" s="139" t="s">
        <v>69</v>
      </c>
    </row>
    <row r="82" spans="2:8" ht="15" x14ac:dyDescent="0.25">
      <c r="B82" s="175" t="str">
        <f>"חישוב מרכיבי עלות כתלות במזהם בשקלים חדשים למ''ק ממוצע של שפכי היצרן"&amp;" - "&amp;סימולאטור!C28&amp;"*"</f>
        <v>חישוב מרכיבי עלות כתלות במזהם בשקלים חדשים למ''ק ממוצע של שפכי היצרן - חרג מההסדר*</v>
      </c>
      <c r="C82" s="175"/>
      <c r="D82" s="175"/>
      <c r="E82" s="175"/>
      <c r="F82" s="175"/>
      <c r="G82" s="175"/>
      <c r="H82" s="175"/>
    </row>
    <row r="83" spans="2:8" ht="6.75" customHeight="1" x14ac:dyDescent="0.2"/>
    <row r="84" spans="2:8" ht="33" x14ac:dyDescent="0.35">
      <c r="B84" s="140" t="s">
        <v>0</v>
      </c>
      <c r="C84" s="141" t="s">
        <v>1</v>
      </c>
      <c r="D84" s="141" t="s">
        <v>2</v>
      </c>
      <c r="E84" s="142" t="s">
        <v>3</v>
      </c>
      <c r="F84" s="142" t="s">
        <v>4</v>
      </c>
      <c r="G84" s="178" t="s">
        <v>5</v>
      </c>
      <c r="H84" s="178"/>
    </row>
    <row r="85" spans="2:8" ht="31.5" x14ac:dyDescent="0.25">
      <c r="B85" s="143" t="s">
        <v>6</v>
      </c>
      <c r="C85" s="153">
        <f>IF('נתוני תכן וחישובי עזר '!C53&gt;0,'נתוני תכן וחישובי עזר '!C53,0)</f>
        <v>1.5258236300687722</v>
      </c>
      <c r="D85" s="153">
        <f>IF('נתוני תכן וחישובי עזר '!D53&gt;0,'נתוני תכן וחישובי עזר '!D53,0)</f>
        <v>0.77505248959823125</v>
      </c>
      <c r="E85" s="153">
        <f>E53</f>
        <v>5.5691944228937633E-2</v>
      </c>
      <c r="F85" s="153">
        <f>F53</f>
        <v>0</v>
      </c>
      <c r="G85" s="179">
        <f>SUM(C85:F85)</f>
        <v>2.3565680638959412</v>
      </c>
      <c r="H85" s="179"/>
    </row>
    <row r="86" spans="2:8" ht="15.75" x14ac:dyDescent="0.25">
      <c r="B86" s="143" t="s">
        <v>7</v>
      </c>
      <c r="C86" s="154">
        <f>C85/'נתוני תכן וחישובי עזר '!$D$24</f>
        <v>1.240507016316075</v>
      </c>
      <c r="D86" s="154">
        <f>D85/'נתוני תכן וחישובי עזר '!$D$24</f>
        <v>0.63012397528311481</v>
      </c>
      <c r="E86" s="154">
        <f>E85/'נתוני תכן וחישובי עזר '!$D$24</f>
        <v>4.5278003438160679E-2</v>
      </c>
      <c r="F86" s="154">
        <f>F85/'נתוני תכן וחישובי עזר '!$D$24</f>
        <v>0</v>
      </c>
      <c r="G86" s="179">
        <f>SUM(C86:F86)</f>
        <v>1.9159089950373502</v>
      </c>
      <c r="H86" s="179"/>
    </row>
    <row r="87" spans="2:8" ht="18.75" customHeight="1" x14ac:dyDescent="0.25">
      <c r="B87" s="163" t="s">
        <v>135</v>
      </c>
      <c r="C87" s="161" t="str">
        <f>IF(D5&gt;H5,"כן","לא")</f>
        <v>כן</v>
      </c>
      <c r="D87" s="161" t="str">
        <f>IF(D6&gt;H6,"כן","לא")</f>
        <v>לא</v>
      </c>
      <c r="E87" s="161" t="str">
        <f>IF(D7&gt;H7,"כן","לא")</f>
        <v>לא</v>
      </c>
      <c r="F87" s="161" t="str">
        <f>IF(D8&gt;H8,"כן","לא")</f>
        <v>לא</v>
      </c>
      <c r="G87" s="181"/>
      <c r="H87" s="181"/>
    </row>
    <row r="88" spans="2:8" ht="6" customHeight="1" x14ac:dyDescent="0.2">
      <c r="B88" s="144"/>
      <c r="C88" s="29"/>
      <c r="D88" s="29"/>
      <c r="E88" s="29"/>
      <c r="F88" s="29"/>
    </row>
    <row r="89" spans="2:8" s="144" customFormat="1" ht="14.25" customHeight="1" x14ac:dyDescent="0.2">
      <c r="B89" s="155" t="s">
        <v>129</v>
      </c>
      <c r="C89" s="146"/>
      <c r="D89" s="146"/>
      <c r="E89" s="146"/>
      <c r="F89" s="146"/>
      <c r="G89" s="146"/>
      <c r="H89" s="146"/>
    </row>
    <row r="90" spans="2:8" x14ac:dyDescent="0.2">
      <c r="B90" s="146" t="s">
        <v>130</v>
      </c>
      <c r="C90" s="145"/>
      <c r="D90" s="145"/>
      <c r="E90" s="145"/>
      <c r="F90" s="145"/>
      <c r="G90" s="145"/>
      <c r="H90" s="145"/>
    </row>
    <row r="92" spans="2:8" ht="15" x14ac:dyDescent="0.2">
      <c r="B92" s="176" t="s">
        <v>59</v>
      </c>
      <c r="C92" s="176"/>
      <c r="D92" s="176"/>
      <c r="E92" s="176"/>
      <c r="F92" s="176"/>
      <c r="G92" s="176"/>
      <c r="H92" s="176"/>
    </row>
    <row r="93" spans="2:8" s="39" customFormat="1" x14ac:dyDescent="0.2">
      <c r="B93" s="170" t="s">
        <v>60</v>
      </c>
      <c r="C93" s="170"/>
      <c r="D93" s="170"/>
      <c r="E93" s="170"/>
      <c r="F93" s="170"/>
      <c r="G93" s="170"/>
      <c r="H93" s="170"/>
    </row>
    <row r="94" spans="2:8" s="39" customFormat="1" ht="51" customHeight="1" x14ac:dyDescent="0.2">
      <c r="B94" s="170" t="s">
        <v>126</v>
      </c>
      <c r="C94" s="170"/>
      <c r="D94" s="170"/>
      <c r="E94" s="170"/>
      <c r="F94" s="170"/>
      <c r="G94" s="170"/>
      <c r="H94" s="170"/>
    </row>
    <row r="95" spans="2:8" s="39" customFormat="1" x14ac:dyDescent="0.2">
      <c r="B95" s="170" t="s">
        <v>118</v>
      </c>
      <c r="C95" s="170"/>
      <c r="D95" s="170"/>
      <c r="E95" s="170"/>
      <c r="F95" s="170"/>
      <c r="G95" s="170"/>
      <c r="H95" s="170"/>
    </row>
    <row r="96" spans="2:8" x14ac:dyDescent="0.2">
      <c r="B96" s="170" t="s">
        <v>127</v>
      </c>
      <c r="C96" s="170"/>
      <c r="D96" s="170"/>
      <c r="E96" s="170"/>
      <c r="F96" s="170"/>
      <c r="G96" s="170"/>
      <c r="H96" s="170"/>
    </row>
    <row r="102" spans="3:3" x14ac:dyDescent="0.2">
      <c r="C102" s="29"/>
    </row>
  </sheetData>
  <sheetProtection sheet="1" objects="1" scenarios="1"/>
  <mergeCells count="21">
    <mergeCell ref="B96:H96"/>
    <mergeCell ref="B95:H95"/>
    <mergeCell ref="B93:H93"/>
    <mergeCell ref="D39:F39"/>
    <mergeCell ref="D40:F40"/>
    <mergeCell ref="G86:H86"/>
    <mergeCell ref="G87:H87"/>
    <mergeCell ref="B1:H1"/>
    <mergeCell ref="D10:G10"/>
    <mergeCell ref="C56:D56"/>
    <mergeCell ref="B94:H94"/>
    <mergeCell ref="F3:F4"/>
    <mergeCell ref="H3:H4"/>
    <mergeCell ref="G3:G4"/>
    <mergeCell ref="C14:C15"/>
    <mergeCell ref="C42:E42"/>
    <mergeCell ref="B82:H82"/>
    <mergeCell ref="B92:H92"/>
    <mergeCell ref="C50:E50"/>
    <mergeCell ref="G84:H84"/>
    <mergeCell ref="G85:H85"/>
  </mergeCells>
  <phoneticPr fontId="3" type="noConversion"/>
  <dataValidations count="1">
    <dataValidation type="list" allowBlank="1" showInputMessage="1" showErrorMessage="1" sqref="E54:F54">
      <formula1>"כן,לא"</formula1>
    </dataValidation>
  </dataValidations>
  <pageMargins left="0.70866141732283472" right="0.70866141732283472" top="1.0236220472440944" bottom="0.74803149606299213" header="0.31496062992125984" footer="0.31496062992125984"/>
  <pageSetup scale="76" orientation="portrait" r:id="rId1"/>
  <headerFooter>
    <oddHeader>&amp;R&amp;16לוגו של הספק</oddHeader>
  </headerFooter>
  <rowBreaks count="1" manualBreakCount="1">
    <brk id="41" max="7" man="1"/>
  </rowBreaks>
  <drawing r:id="rId2"/>
  <legacyDrawing r:id="rId3"/>
  <oleObjects>
    <mc:AlternateContent xmlns:mc="http://schemas.openxmlformats.org/markup-compatibility/2006">
      <mc:Choice Requires="x14">
        <oleObject progId="Equation.3" shapeId="2050" r:id="rId4">
          <objectPr defaultSize="0" autoPict="0" r:id="rId5">
            <anchor moveWithCells="1" sizeWithCells="1">
              <from>
                <xdr:col>1</xdr:col>
                <xdr:colOff>57150</xdr:colOff>
                <xdr:row>58</xdr:row>
                <xdr:rowOff>133350</xdr:rowOff>
              </from>
              <to>
                <xdr:col>7</xdr:col>
                <xdr:colOff>171450</xdr:colOff>
                <xdr:row>65</xdr:row>
                <xdr:rowOff>142875</xdr:rowOff>
              </to>
            </anchor>
          </objectPr>
        </oleObject>
      </mc:Choice>
      <mc:Fallback>
        <oleObject progId="Equation.3" shapeId="2050" r:id="rId4"/>
      </mc:Fallback>
    </mc:AlternateContent>
    <mc:AlternateContent xmlns:mc="http://schemas.openxmlformats.org/markup-compatibility/2006">
      <mc:Choice Requires="x14">
        <oleObject progId="Equation.3" shapeId="2051" r:id="rId6">
          <objectPr defaultSize="0" autoPict="0" r:id="rId7">
            <anchor moveWithCells="1" sizeWithCells="1">
              <from>
                <xdr:col>1</xdr:col>
                <xdr:colOff>38100</xdr:colOff>
                <xdr:row>70</xdr:row>
                <xdr:rowOff>95250</xdr:rowOff>
              </from>
              <to>
                <xdr:col>7</xdr:col>
                <xdr:colOff>171450</xdr:colOff>
                <xdr:row>79</xdr:row>
                <xdr:rowOff>28575</xdr:rowOff>
              </to>
            </anchor>
          </objectPr>
        </oleObject>
      </mc:Choice>
      <mc:Fallback>
        <oleObject progId="Equation.3" shapeId="2051" r:id="rId6"/>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rightToLeft="1" tabSelected="1" topLeftCell="A13" zoomScaleNormal="100" workbookViewId="0">
      <selection activeCell="A31" sqref="A31"/>
    </sheetView>
  </sheetViews>
  <sheetFormatPr defaultRowHeight="14.25" x14ac:dyDescent="0.2"/>
  <cols>
    <col min="1" max="1" width="50.375" style="28" customWidth="1"/>
    <col min="2" max="2" width="14" style="28" customWidth="1"/>
    <col min="3" max="3" width="21" style="28" customWidth="1"/>
    <col min="4" max="4" width="13.125" style="28" customWidth="1"/>
    <col min="5" max="5" width="9" style="28"/>
    <col min="6" max="6" width="12.375" style="28" bestFit="1" customWidth="1"/>
    <col min="7" max="7" width="31.875" style="28" bestFit="1" customWidth="1"/>
    <col min="8" max="16384" width="9" style="28"/>
  </cols>
  <sheetData>
    <row r="1" spans="1:7" ht="18" x14ac:dyDescent="0.25">
      <c r="A1" s="169" t="s">
        <v>52</v>
      </c>
      <c r="B1" s="169"/>
      <c r="C1" s="169"/>
    </row>
    <row r="2" spans="1:7" ht="15" x14ac:dyDescent="0.25">
      <c r="A2" s="184" t="s">
        <v>53</v>
      </c>
      <c r="B2" s="184"/>
      <c r="C2" s="184"/>
    </row>
    <row r="3" spans="1:7" ht="5.25" customHeight="1" x14ac:dyDescent="0.2">
      <c r="C3" s="29"/>
    </row>
    <row r="4" spans="1:7" s="31" customFormat="1" ht="30" x14ac:dyDescent="0.2">
      <c r="A4" s="182" t="s">
        <v>65</v>
      </c>
      <c r="B4" s="182"/>
      <c r="C4" s="10" t="s">
        <v>6</v>
      </c>
      <c r="D4" s="30"/>
      <c r="G4" s="32"/>
    </row>
    <row r="5" spans="1:7" s="31" customFormat="1" ht="15" x14ac:dyDescent="0.2">
      <c r="A5" s="33"/>
      <c r="B5" s="33"/>
      <c r="C5" s="33"/>
      <c r="D5" s="30"/>
      <c r="G5" s="32"/>
    </row>
    <row r="6" spans="1:7" ht="15" x14ac:dyDescent="0.25">
      <c r="A6" s="34" t="s">
        <v>73</v>
      </c>
      <c r="C6" s="5" t="s">
        <v>138</v>
      </c>
    </row>
    <row r="7" spans="1:7" ht="15" x14ac:dyDescent="0.25">
      <c r="A7" s="34" t="s">
        <v>74</v>
      </c>
      <c r="C7" s="5">
        <v>0.7</v>
      </c>
    </row>
    <row r="8" spans="1:7" ht="15" x14ac:dyDescent="0.25">
      <c r="A8" s="35" t="s">
        <v>112</v>
      </c>
      <c r="C8" s="21">
        <v>0</v>
      </c>
    </row>
    <row r="9" spans="1:7" ht="15" x14ac:dyDescent="0.25">
      <c r="C9" s="36"/>
    </row>
    <row r="10" spans="1:7" ht="15" x14ac:dyDescent="0.25">
      <c r="A10" s="37" t="s">
        <v>64</v>
      </c>
      <c r="C10" s="8">
        <v>41791</v>
      </c>
    </row>
    <row r="11" spans="1:7" s="39" customFormat="1" ht="15" x14ac:dyDescent="0.2">
      <c r="A11" s="38" t="s">
        <v>110</v>
      </c>
      <c r="C11" s="9">
        <v>41734</v>
      </c>
    </row>
    <row r="12" spans="1:7" ht="15" x14ac:dyDescent="0.25">
      <c r="A12" s="33" t="s">
        <v>131</v>
      </c>
      <c r="C12" s="5">
        <v>3000</v>
      </c>
    </row>
    <row r="13" spans="1:7" ht="30" x14ac:dyDescent="0.25">
      <c r="A13" s="33" t="s">
        <v>132</v>
      </c>
      <c r="C13" s="5">
        <v>59</v>
      </c>
    </row>
    <row r="14" spans="1:7" ht="15" x14ac:dyDescent="0.2">
      <c r="A14" s="33"/>
    </row>
    <row r="15" spans="1:7" ht="15.75" x14ac:dyDescent="0.25">
      <c r="A15" s="40" t="s">
        <v>119</v>
      </c>
      <c r="C15" s="41">
        <f>IF(C10-C11&gt;90,90,C10-C11)</f>
        <v>57</v>
      </c>
    </row>
    <row r="16" spans="1:7" ht="15" x14ac:dyDescent="0.25">
      <c r="A16" s="34" t="s">
        <v>111</v>
      </c>
      <c r="C16" s="42">
        <f>C12/C13</f>
        <v>50.847457627118644</v>
      </c>
    </row>
    <row r="17" spans="1:7" ht="15.75" x14ac:dyDescent="0.25">
      <c r="A17" s="43" t="s">
        <v>63</v>
      </c>
      <c r="C17" s="44">
        <f>C15*C16</f>
        <v>2898.3050847457625</v>
      </c>
    </row>
    <row r="18" spans="1:7" ht="15.75" x14ac:dyDescent="0.25">
      <c r="A18" s="43"/>
      <c r="C18" s="44"/>
    </row>
    <row r="19" spans="1:7" ht="15.75" x14ac:dyDescent="0.25">
      <c r="A19" s="34" t="s">
        <v>120</v>
      </c>
      <c r="C19" s="45">
        <f>VLOOKUP(C4,'נתוני תכן וחישובי עזר '!B85:G86,6,0)</f>
        <v>2.3565680638959412</v>
      </c>
    </row>
    <row r="20" spans="1:7" ht="15.75" x14ac:dyDescent="0.25">
      <c r="A20" s="34" t="str">
        <f>"תעריף השפכים החריגים לחיוב בש''ח למ''ק"&amp;" "&amp;C6</f>
        <v>תעריף השפכים החריגים לחיוב בש''ח למ''ק מים</v>
      </c>
      <c r="C20" s="46">
        <f>IF(C6="מים",IF(C8&lt;&gt;0,C8*C19,C7*C19),C19)</f>
        <v>1.6495976447271588</v>
      </c>
    </row>
    <row r="21" spans="1:7" ht="15" x14ac:dyDescent="0.25">
      <c r="B21" s="34"/>
    </row>
    <row r="22" spans="1:7" ht="51" customHeight="1" x14ac:dyDescent="0.2">
      <c r="B22" s="47" t="str">
        <f>'נתוני תכן וחישובי עזר '!D3</f>
        <v>שפכי היצרן (המפעל) שנדגמו</v>
      </c>
      <c r="C22" s="47" t="str">
        <f>'נתוני תכן וחישובי עזר '!H3</f>
        <v>ערכי טור ג' בכללים או ערכים שאושרו הגבוהים מטור ג'</v>
      </c>
    </row>
    <row r="23" spans="1:7" ht="15.75" x14ac:dyDescent="0.25">
      <c r="A23" s="48" t="s">
        <v>1</v>
      </c>
      <c r="B23" s="49">
        <f>'נתוני תכן וחישובי עזר '!D5</f>
        <v>2700</v>
      </c>
      <c r="C23" s="49">
        <f>'נתוני תכן וחישובי עזר '!H5</f>
        <v>2000</v>
      </c>
    </row>
    <row r="24" spans="1:7" ht="15.75" x14ac:dyDescent="0.25">
      <c r="A24" s="48" t="s">
        <v>2</v>
      </c>
      <c r="B24" s="49">
        <f>'נתוני תכן וחישובי עזר '!D6</f>
        <v>1000</v>
      </c>
      <c r="C24" s="49">
        <f>'נתוני תכן וחישובי עזר '!H6</f>
        <v>1000</v>
      </c>
      <c r="F24" s="50"/>
    </row>
    <row r="25" spans="1:7" ht="15.75" x14ac:dyDescent="0.25">
      <c r="A25" s="51" t="s">
        <v>3</v>
      </c>
      <c r="B25" s="49">
        <f>'נתוני תכן וחישובי עזר '!D7</f>
        <v>80</v>
      </c>
      <c r="C25" s="49">
        <f>'נתוני תכן וחישובי עזר '!H7</f>
        <v>100</v>
      </c>
      <c r="F25" s="52"/>
    </row>
    <row r="26" spans="1:7" ht="15.75" x14ac:dyDescent="0.25">
      <c r="A26" s="51" t="s">
        <v>4</v>
      </c>
      <c r="B26" s="49">
        <f>'נתוני תכן וחישובי עזר '!D8</f>
        <v>10</v>
      </c>
      <c r="C26" s="49">
        <f>'נתוני תכן וחישובי עזר '!H8</f>
        <v>30</v>
      </c>
      <c r="F26" s="52"/>
    </row>
    <row r="27" spans="1:7" ht="6.75" customHeight="1" x14ac:dyDescent="0.2">
      <c r="A27" s="53"/>
    </row>
    <row r="28" spans="1:7" ht="15.75" x14ac:dyDescent="0.25">
      <c r="A28" s="54" t="s">
        <v>121</v>
      </c>
      <c r="C28" s="55" t="str">
        <f>IF(OR(C23&lt;B23,C24&lt;B24,C25&lt;B25,C26&lt;B26),"חרג מההסדר","במסגרת ההסדר")</f>
        <v>חרג מההסדר</v>
      </c>
    </row>
    <row r="29" spans="1:7" ht="15.75" x14ac:dyDescent="0.25">
      <c r="A29" s="54" t="s">
        <v>142</v>
      </c>
      <c r="C29" s="5" t="s">
        <v>139</v>
      </c>
    </row>
    <row r="30" spans="1:7" ht="15.75" x14ac:dyDescent="0.25">
      <c r="A30" s="54" t="s">
        <v>143</v>
      </c>
      <c r="C30" s="5">
        <v>3.5</v>
      </c>
      <c r="G30" s="56"/>
    </row>
    <row r="31" spans="1:7" ht="15.75" x14ac:dyDescent="0.25">
      <c r="A31" s="54" t="s">
        <v>70</v>
      </c>
      <c r="B31" s="57"/>
      <c r="C31" s="5" t="s">
        <v>140</v>
      </c>
    </row>
    <row r="32" spans="1:7" ht="15.75" x14ac:dyDescent="0.25">
      <c r="A32" s="54" t="s">
        <v>66</v>
      </c>
      <c r="B32" s="58"/>
      <c r="C32" s="5">
        <v>2</v>
      </c>
      <c r="E32" s="59"/>
    </row>
    <row r="33" spans="1:3" ht="15.75" x14ac:dyDescent="0.25">
      <c r="B33" s="60"/>
      <c r="C33" s="61"/>
    </row>
    <row r="34" spans="1:3" s="63" customFormat="1" ht="20.25" x14ac:dyDescent="0.3">
      <c r="A34" s="62" t="s">
        <v>56</v>
      </c>
      <c r="C34" s="64">
        <f>C20*C16*C15</f>
        <v>4781.0372414973581</v>
      </c>
    </row>
    <row r="35" spans="1:3" s="63" customFormat="1" ht="20.25" x14ac:dyDescent="0.3">
      <c r="A35" s="62" t="s">
        <v>58</v>
      </c>
      <c r="C35" s="64">
        <f>IF(C31="כן",IF(C6="מים",1/0.7*IF(C8=0,C7,C8),IF(C29="תאגיד",1/0.7,1))*C32*C30*C16*C15,0)</f>
        <v>0</v>
      </c>
    </row>
    <row r="36" spans="1:3" s="63" customFormat="1" ht="7.5" customHeight="1" thickBot="1" x14ac:dyDescent="0.35">
      <c r="A36" s="62"/>
      <c r="C36" s="65"/>
    </row>
    <row r="37" spans="1:3" s="63" customFormat="1" ht="21" thickBot="1" x14ac:dyDescent="0.35">
      <c r="A37" s="66" t="s">
        <v>57</v>
      </c>
      <c r="B37" s="67"/>
      <c r="C37" s="68">
        <f>C35+C34</f>
        <v>4781.0372414973581</v>
      </c>
    </row>
    <row r="38" spans="1:3" ht="15" x14ac:dyDescent="0.25">
      <c r="A38" s="69"/>
      <c r="C38" s="36"/>
    </row>
    <row r="39" spans="1:3" ht="155.25" customHeight="1" x14ac:dyDescent="0.2">
      <c r="A39" s="183" t="s">
        <v>141</v>
      </c>
      <c r="B39" s="183"/>
      <c r="C39" s="183"/>
    </row>
    <row r="40" spans="1:3" ht="14.25" customHeight="1" x14ac:dyDescent="0.25">
      <c r="A40" s="70"/>
    </row>
  </sheetData>
  <sheetProtection sheet="1" objects="1" scenarios="1"/>
  <mergeCells count="4">
    <mergeCell ref="A4:B4"/>
    <mergeCell ref="A39:C39"/>
    <mergeCell ref="A1:C1"/>
    <mergeCell ref="A2:C2"/>
  </mergeCells>
  <conditionalFormatting sqref="C23:C26">
    <cfRule type="cellIs" dxfId="0" priority="1" operator="lessThan">
      <formula>B23</formula>
    </cfRule>
  </conditionalFormatting>
  <dataValidations count="9">
    <dataValidation type="list" allowBlank="1" showInputMessage="1" showErrorMessage="1" sqref="C6">
      <formula1>"מים,ביוב"</formula1>
    </dataValidation>
    <dataValidation type="list" allowBlank="1" showInputMessage="1" showErrorMessage="1" sqref="C31">
      <formula1>"כן, לא"</formula1>
    </dataValidation>
    <dataValidation type="decimal" allowBlank="1" showInputMessage="1" showErrorMessage="1" sqref="C15">
      <formula1>1</formula1>
      <formula2>180</formula2>
    </dataValidation>
    <dataValidation type="list" allowBlank="1" showInputMessage="1" showErrorMessage="1" sqref="C32">
      <formula1>"2,4,6"</formula1>
    </dataValidation>
    <dataValidation type="date" operator="lessThan" allowBlank="1" showInputMessage="1" showErrorMessage="1" errorTitle="תאריך אינו נכון" error="התאריך צריך להיות לפני תאריך ביצוע הדגימה" sqref="C11">
      <formula1>C10</formula1>
    </dataValidation>
    <dataValidation type="date" operator="lessThanOrEqual" allowBlank="1" showInputMessage="1" showErrorMessage="1" errorTitle="התאריך אינו נכון" error="התאריך צריך להיות לפני מועד הדיגום הקודם" sqref="C13:C14">
      <formula1>C11</formula1>
    </dataValidation>
    <dataValidation type="list" allowBlank="1" showInputMessage="1" showErrorMessage="1" sqref="C7">
      <formula1>"0.5,0.2, 0.7"</formula1>
    </dataValidation>
    <dataValidation type="list" allowBlank="1" showInputMessage="1" showErrorMessage="1" promptTitle="בחר" sqref="C5">
      <formula1>$G$4:$G$30</formula1>
    </dataValidation>
    <dataValidation type="list" allowBlank="1" showInputMessage="1" showErrorMessage="1" sqref="C29">
      <formula1>"מועצה אזורית, תאגיד"</formula1>
    </dataValidation>
  </dataValidations>
  <pageMargins left="0.7" right="0.7" top="0.75" bottom="0.75" header="0.3" footer="0.3"/>
  <pageSetup paperSize="9" scale="92"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Title="בחר">
          <x14:formula1>
            <xm:f>'נתוני תכן וחישובי עזר '!$B$85:$B$86</xm:f>
          </x14:formula1>
          <xm:sqref>C4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8"/>
  <sheetViews>
    <sheetView rightToLeft="1" topLeftCell="A10" zoomScaleNormal="100" zoomScaleSheetLayoutView="40" workbookViewId="0">
      <selection activeCell="G38" sqref="G38"/>
    </sheetView>
  </sheetViews>
  <sheetFormatPr defaultRowHeight="14.25" x14ac:dyDescent="0.2"/>
  <cols>
    <col min="1" max="1" width="10" customWidth="1"/>
    <col min="2" max="2" width="13.875" customWidth="1"/>
    <col min="3" max="3" width="10.125" customWidth="1"/>
    <col min="4" max="4" width="11.25" customWidth="1"/>
    <col min="5" max="5" width="12.875" customWidth="1"/>
    <col min="6" max="6" width="11.375" customWidth="1"/>
    <col min="7" max="7" width="10.875" customWidth="1"/>
    <col min="8" max="8" width="10.75" customWidth="1"/>
  </cols>
  <sheetData>
    <row r="1" spans="1:8" ht="23.25" x14ac:dyDescent="0.35">
      <c r="A1" s="185" t="s">
        <v>133</v>
      </c>
      <c r="B1" s="185"/>
      <c r="C1" s="185"/>
      <c r="D1" s="185"/>
      <c r="E1" s="185"/>
      <c r="F1" s="185"/>
      <c r="G1" s="185"/>
      <c r="H1" s="185"/>
    </row>
    <row r="2" spans="1:8" ht="23.25" x14ac:dyDescent="0.35">
      <c r="A2" s="27"/>
      <c r="B2" s="27"/>
      <c r="C2" s="27"/>
      <c r="D2" s="27"/>
      <c r="E2" s="27"/>
      <c r="F2" s="27"/>
      <c r="G2" s="27"/>
      <c r="H2" s="27"/>
    </row>
    <row r="4" spans="1:8" x14ac:dyDescent="0.2">
      <c r="G4" t="s">
        <v>62</v>
      </c>
      <c r="H4" s="13"/>
    </row>
    <row r="5" spans="1:8" x14ac:dyDescent="0.2">
      <c r="A5" t="s">
        <v>78</v>
      </c>
      <c r="B5" s="13"/>
    </row>
    <row r="10" spans="1:8" ht="20.25" x14ac:dyDescent="0.3">
      <c r="B10" s="12" t="s">
        <v>108</v>
      </c>
    </row>
    <row r="12" spans="1:8" x14ac:dyDescent="0.2">
      <c r="A12" t="s">
        <v>82</v>
      </c>
      <c r="D12" s="160">
        <f>סימולאטור!C10</f>
        <v>41791</v>
      </c>
      <c r="E12" t="s">
        <v>79</v>
      </c>
      <c r="F12" s="26" t="s">
        <v>123</v>
      </c>
    </row>
    <row r="13" spans="1:8" x14ac:dyDescent="0.2">
      <c r="A13" t="s">
        <v>122</v>
      </c>
    </row>
    <row r="14" spans="1:8" x14ac:dyDescent="0.2">
      <c r="A14" t="s">
        <v>80</v>
      </c>
    </row>
    <row r="16" spans="1:8" ht="15" x14ac:dyDescent="0.25">
      <c r="A16" s="7" t="s">
        <v>81</v>
      </c>
    </row>
    <row r="18" spans="1:7" s="15" customFormat="1" ht="60" x14ac:dyDescent="0.2">
      <c r="B18" s="24" t="s">
        <v>83</v>
      </c>
      <c r="C18" s="24" t="s">
        <v>84</v>
      </c>
      <c r="D18" s="24" t="s">
        <v>97</v>
      </c>
      <c r="E18" s="24" t="s">
        <v>98</v>
      </c>
      <c r="F18" s="24" t="s">
        <v>85</v>
      </c>
      <c r="G18" s="24" t="s">
        <v>86</v>
      </c>
    </row>
    <row r="19" spans="1:7" x14ac:dyDescent="0.2">
      <c r="B19" s="14"/>
      <c r="C19" s="14"/>
      <c r="D19" s="14"/>
      <c r="E19" s="14"/>
      <c r="F19" s="14"/>
      <c r="G19" s="14"/>
    </row>
    <row r="20" spans="1:7" x14ac:dyDescent="0.2">
      <c r="B20" s="14"/>
      <c r="C20" s="14"/>
      <c r="D20" s="14"/>
      <c r="E20" s="14"/>
      <c r="F20" s="14"/>
      <c r="G20" s="14"/>
    </row>
    <row r="21" spans="1:7" x14ac:dyDescent="0.2">
      <c r="B21" s="14"/>
      <c r="C21" s="14"/>
      <c r="D21" s="14"/>
      <c r="E21" s="14"/>
      <c r="F21" s="14"/>
      <c r="G21" s="14"/>
    </row>
    <row r="22" spans="1:7" x14ac:dyDescent="0.2">
      <c r="B22" s="14"/>
      <c r="C22" s="14"/>
      <c r="D22" s="14"/>
      <c r="E22" s="14"/>
      <c r="F22" s="14"/>
      <c r="G22" s="14"/>
    </row>
    <row r="23" spans="1:7" x14ac:dyDescent="0.2">
      <c r="B23" s="14"/>
      <c r="C23" s="14"/>
      <c r="D23" s="14"/>
      <c r="E23" s="14"/>
      <c r="F23" s="14"/>
      <c r="G23" s="14"/>
    </row>
    <row r="24" spans="1:7" x14ac:dyDescent="0.2">
      <c r="B24" s="14"/>
      <c r="C24" s="14"/>
      <c r="D24" s="14"/>
      <c r="E24" s="14"/>
      <c r="F24" s="14"/>
      <c r="G24" s="14"/>
    </row>
    <row r="25" spans="1:7" x14ac:dyDescent="0.2">
      <c r="B25" s="14"/>
      <c r="C25" s="14"/>
      <c r="D25" s="14"/>
      <c r="E25" s="14"/>
      <c r="F25" s="14"/>
      <c r="G25" s="14"/>
    </row>
    <row r="26" spans="1:7" x14ac:dyDescent="0.2">
      <c r="B26" s="14"/>
      <c r="C26" s="14"/>
      <c r="D26" s="14"/>
      <c r="E26" s="14"/>
      <c r="F26" s="14"/>
      <c r="G26" s="14"/>
    </row>
    <row r="27" spans="1:7" x14ac:dyDescent="0.2">
      <c r="B27" s="14"/>
      <c r="C27" s="14"/>
      <c r="D27" s="14"/>
      <c r="E27" s="14"/>
      <c r="F27" s="14"/>
      <c r="G27" s="14"/>
    </row>
    <row r="28" spans="1:7" x14ac:dyDescent="0.2">
      <c r="B28" s="14"/>
      <c r="C28" s="14"/>
      <c r="D28" s="14"/>
      <c r="E28" s="14"/>
      <c r="F28" s="14"/>
      <c r="G28" s="14"/>
    </row>
    <row r="29" spans="1:7" x14ac:dyDescent="0.2">
      <c r="B29" s="14"/>
      <c r="C29" s="14"/>
      <c r="D29" s="14"/>
      <c r="E29" s="14"/>
      <c r="F29" s="14"/>
      <c r="G29" s="14"/>
    </row>
    <row r="32" spans="1:7" x14ac:dyDescent="0.2">
      <c r="A32" t="s">
        <v>87</v>
      </c>
    </row>
    <row r="34" spans="1:8" x14ac:dyDescent="0.2">
      <c r="A34" t="s">
        <v>88</v>
      </c>
      <c r="C34" s="152">
        <f>'נתוני תכן וחישובי עזר '!E4</f>
        <v>20000</v>
      </c>
      <c r="D34" t="s">
        <v>89</v>
      </c>
      <c r="E34" t="s">
        <v>116</v>
      </c>
      <c r="G34" s="17">
        <f>'נתוני תכן וחישובי עזר '!D4</f>
        <v>50.847457627118644</v>
      </c>
      <c r="H34" t="s">
        <v>89</v>
      </c>
    </row>
    <row r="36" spans="1:8" x14ac:dyDescent="0.2">
      <c r="A36" t="s">
        <v>90</v>
      </c>
    </row>
    <row r="38" spans="1:8" x14ac:dyDescent="0.2">
      <c r="A38" t="s">
        <v>91</v>
      </c>
      <c r="G38" s="17">
        <f>סימולאטור!C19</f>
        <v>2.3565680638959412</v>
      </c>
      <c r="H38" t="s">
        <v>92</v>
      </c>
    </row>
    <row r="40" spans="1:8" x14ac:dyDescent="0.2">
      <c r="A40" t="s">
        <v>134</v>
      </c>
    </row>
    <row r="42" spans="1:8" x14ac:dyDescent="0.2">
      <c r="A42" t="s">
        <v>93</v>
      </c>
      <c r="G42" s="17">
        <f>סימולאטור!C20</f>
        <v>1.6495976447271588</v>
      </c>
      <c r="H42" t="s">
        <v>92</v>
      </c>
    </row>
    <row r="45" spans="1:8" ht="15" x14ac:dyDescent="0.25">
      <c r="A45" s="7" t="s">
        <v>95</v>
      </c>
    </row>
    <row r="47" spans="1:8" x14ac:dyDescent="0.2">
      <c r="A47" t="s">
        <v>94</v>
      </c>
    </row>
    <row r="49" spans="1:6" x14ac:dyDescent="0.2">
      <c r="A49" t="s">
        <v>96</v>
      </c>
      <c r="C49" s="13">
        <f>סימולאטור!C30</f>
        <v>3.5</v>
      </c>
      <c r="D49" t="s">
        <v>92</v>
      </c>
    </row>
    <row r="51" spans="1:6" ht="45" x14ac:dyDescent="0.2">
      <c r="B51" s="24" t="s">
        <v>83</v>
      </c>
      <c r="C51" s="24" t="s">
        <v>84</v>
      </c>
      <c r="D51" s="24" t="s">
        <v>98</v>
      </c>
      <c r="E51" s="24" t="s">
        <v>100</v>
      </c>
      <c r="F51" s="24" t="s">
        <v>99</v>
      </c>
    </row>
    <row r="52" spans="1:6" x14ac:dyDescent="0.2">
      <c r="B52" s="14"/>
      <c r="C52" s="14"/>
      <c r="D52" s="151"/>
      <c r="E52" s="150"/>
      <c r="F52" s="14"/>
    </row>
    <row r="53" spans="1:6" x14ac:dyDescent="0.2">
      <c r="B53" s="14"/>
      <c r="C53" s="14"/>
      <c r="D53" s="151"/>
      <c r="E53" s="150"/>
      <c r="F53" s="14"/>
    </row>
    <row r="54" spans="1:6" x14ac:dyDescent="0.2">
      <c r="B54" s="14"/>
      <c r="C54" s="14"/>
      <c r="D54" s="151"/>
      <c r="E54" s="150"/>
      <c r="F54" s="14"/>
    </row>
    <row r="55" spans="1:6" x14ac:dyDescent="0.2">
      <c r="B55" s="14"/>
      <c r="C55" s="14"/>
      <c r="D55" s="151"/>
      <c r="E55" s="150"/>
      <c r="F55" s="14"/>
    </row>
    <row r="56" spans="1:6" x14ac:dyDescent="0.2">
      <c r="B56" s="14"/>
      <c r="C56" s="14"/>
      <c r="D56" s="151"/>
      <c r="E56" s="150"/>
      <c r="F56" s="14"/>
    </row>
    <row r="57" spans="1:6" x14ac:dyDescent="0.2">
      <c r="B57" s="14"/>
      <c r="C57" s="14"/>
      <c r="D57" s="151"/>
      <c r="E57" s="150"/>
      <c r="F57" s="14"/>
    </row>
    <row r="58" spans="1:6" x14ac:dyDescent="0.2">
      <c r="B58" s="14"/>
      <c r="C58" s="14"/>
      <c r="D58" s="151"/>
      <c r="E58" s="150"/>
      <c r="F58" s="14"/>
    </row>
    <row r="59" spans="1:6" x14ac:dyDescent="0.2">
      <c r="B59" s="14"/>
      <c r="C59" s="14"/>
      <c r="D59" s="151"/>
      <c r="E59" s="150"/>
      <c r="F59" s="14"/>
    </row>
    <row r="60" spans="1:6" x14ac:dyDescent="0.2">
      <c r="B60" s="14"/>
      <c r="C60" s="14"/>
      <c r="D60" s="151"/>
      <c r="E60" s="150"/>
      <c r="F60" s="14"/>
    </row>
    <row r="61" spans="1:6" x14ac:dyDescent="0.2">
      <c r="B61" s="14"/>
      <c r="C61" s="14"/>
      <c r="D61" s="151"/>
      <c r="E61" s="150"/>
      <c r="F61" s="14"/>
    </row>
    <row r="64" spans="1:6" x14ac:dyDescent="0.2">
      <c r="B64" t="s">
        <v>101</v>
      </c>
      <c r="E64" s="18" t="str">
        <f>IF(סימולאטור!C31="כן",סימולאטור!C32,"")</f>
        <v/>
      </c>
    </row>
    <row r="65" spans="2:6" x14ac:dyDescent="0.2">
      <c r="E65" s="2"/>
    </row>
    <row r="66" spans="2:6" x14ac:dyDescent="0.2">
      <c r="B66" t="s">
        <v>102</v>
      </c>
      <c r="C66" s="22"/>
      <c r="D66" s="2" t="s">
        <v>103</v>
      </c>
      <c r="E66" s="23"/>
    </row>
    <row r="67" spans="2:6" x14ac:dyDescent="0.2">
      <c r="E67" s="2"/>
    </row>
    <row r="68" spans="2:6" x14ac:dyDescent="0.2">
      <c r="B68" t="str">
        <f>"כמות מים/שפכים לחיוב לפי  "&amp;סימולאטור!C15&amp;" ימים:"</f>
        <v>כמות מים/שפכים לחיוב לפי  57 ימים:</v>
      </c>
      <c r="E68" s="19">
        <f>סימולאטור!C17</f>
        <v>2898.3050847457625</v>
      </c>
      <c r="F68" t="s">
        <v>114</v>
      </c>
    </row>
    <row r="69" spans="2:6" x14ac:dyDescent="0.2">
      <c r="E69" s="2"/>
    </row>
    <row r="70" spans="2:6" x14ac:dyDescent="0.2">
      <c r="B70" t="s">
        <v>104</v>
      </c>
      <c r="E70" s="19">
        <f>סימולאטור!C34</f>
        <v>4781.0372414973581</v>
      </c>
      <c r="F70" s="3" t="s">
        <v>33</v>
      </c>
    </row>
    <row r="71" spans="2:6" x14ac:dyDescent="0.2">
      <c r="E71" s="2"/>
    </row>
    <row r="72" spans="2:6" x14ac:dyDescent="0.2">
      <c r="B72" t="s">
        <v>105</v>
      </c>
      <c r="E72" s="19">
        <f>סימולאטור!C35</f>
        <v>0</v>
      </c>
      <c r="F72" s="3" t="s">
        <v>33</v>
      </c>
    </row>
    <row r="73" spans="2:6" x14ac:dyDescent="0.2">
      <c r="E73" s="2"/>
    </row>
    <row r="74" spans="2:6" s="1" customFormat="1" ht="15" x14ac:dyDescent="0.25">
      <c r="B74" s="1" t="s">
        <v>109</v>
      </c>
      <c r="E74" s="20">
        <f>E72+E70</f>
        <v>4781.0372414973581</v>
      </c>
      <c r="F74" s="16" t="s">
        <v>33</v>
      </c>
    </row>
    <row r="75" spans="2:6" x14ac:dyDescent="0.2">
      <c r="E75" s="2"/>
    </row>
    <row r="76" spans="2:6" x14ac:dyDescent="0.2">
      <c r="B76" t="s">
        <v>113</v>
      </c>
      <c r="E76" s="149"/>
      <c r="F76" s="3" t="s">
        <v>33</v>
      </c>
    </row>
    <row r="77" spans="2:6" x14ac:dyDescent="0.2">
      <c r="E77" s="2"/>
    </row>
    <row r="78" spans="2:6" x14ac:dyDescent="0.2">
      <c r="E78" s="2"/>
    </row>
    <row r="79" spans="2:6" ht="23.25" x14ac:dyDescent="0.35">
      <c r="B79" s="25" t="s">
        <v>106</v>
      </c>
      <c r="E79" s="148">
        <f>E76+E74</f>
        <v>4781.0372414973581</v>
      </c>
      <c r="F79" s="3" t="s">
        <v>33</v>
      </c>
    </row>
    <row r="86" spans="1:1" x14ac:dyDescent="0.2">
      <c r="A86" s="11" t="s">
        <v>117</v>
      </c>
    </row>
    <row r="88" spans="1:1" ht="15" x14ac:dyDescent="0.25">
      <c r="A88" s="1" t="s">
        <v>107</v>
      </c>
    </row>
  </sheetData>
  <sheetProtection sheet="1" objects="1" scenarios="1"/>
  <mergeCells count="1">
    <mergeCell ref="A1:H1"/>
  </mergeCells>
  <dataValidations count="1">
    <dataValidation type="list" allowBlank="1" showInputMessage="1" showErrorMessage="1" sqref="F12">
      <formula1>"חריגים, אסורים, חריגים ואסורים"</formula1>
    </dataValidation>
  </dataValidations>
  <pageMargins left="0.25" right="0.25" top="0.75" bottom="0.75" header="0.3" footer="0.3"/>
  <pageSetup paperSize="9" orientation="portrait" r:id="rId1"/>
  <rowBreaks count="1" manualBreakCount="1">
    <brk id="4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documentManagement>
    <PublishStartDate xmlns="7c9e7d92-4d2e-4d6f-8ea5-12e4091e13b4" xsi:nil="true"/>
    <OrderIndex xmlns="7c9e7d92-4d2e-4d6f-8ea5-12e4091e13b4">8</OrderIndex>
    <Description xmlns="7c9e7d92-4d2e-4d6f-8ea5-12e4091e13b4"/>
    <ToPublish xmlns="7c9e7d92-4d2e-4d6f-8ea5-12e4091e13b4">true</ToPublish>
    <PublishEndDate xmlns="7c9e7d92-4d2e-4d6f-8ea5-12e4091e13b4" xsi:nil="true"/>
    <FileGroup xmlns="7c9e7d92-4d2e-4d6f-8ea5-12e4091e13b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קבצים להורדה" ma:contentTypeID="0x0101009B062CC07971A94494097F37B7CF51C70073D90BEFD4AAD3478D802B7FD2C15ACE" ma:contentTypeVersion="13" ma:contentTypeDescription="" ma:contentTypeScope="" ma:versionID="f0aeed38f181ddea05cafba8a5bae5f8">
  <xsd:schema xmlns:xsd="http://www.w3.org/2001/XMLSchema" xmlns:p="http://schemas.microsoft.com/office/2006/metadata/properties" xmlns:ns2="7c9e7d92-4d2e-4d6f-8ea5-12e4091e13b4" targetNamespace="http://schemas.microsoft.com/office/2006/metadata/properties" ma:root="true" ma:fieldsID="e5c9ff000327c0f228d934ef27bfe234" ns2:_="">
    <xsd:import namespace="7c9e7d92-4d2e-4d6f-8ea5-12e4091e13b4"/>
    <xsd:element name="properties">
      <xsd:complexType>
        <xsd:sequence>
          <xsd:element name="documentManagement">
            <xsd:complexType>
              <xsd:all>
                <xsd:element ref="ns2:Description"/>
                <xsd:element ref="ns2:FileGroup" minOccurs="0"/>
                <xsd:element ref="ns2:ToPublish" minOccurs="0"/>
                <xsd:element ref="ns2:PublishStartDate" minOccurs="0"/>
                <xsd:element ref="ns2:PublishEndDate" minOccurs="0"/>
                <xsd:element ref="ns2:OrderIndex"/>
              </xsd:all>
            </xsd:complexType>
          </xsd:element>
        </xsd:sequence>
      </xsd:complexType>
    </xsd:element>
  </xsd:schema>
  <xsd:schema xmlns:xsd="http://www.w3.org/2001/XMLSchema" xmlns:dms="http://schemas.microsoft.com/office/2006/documentManagement/types" targetNamespace="7c9e7d92-4d2e-4d6f-8ea5-12e4091e13b4" elementFormDefault="qualified">
    <xsd:import namespace="http://schemas.microsoft.com/office/2006/documentManagement/types"/>
    <xsd:element name="Description" ma:index="2" ma:displayName="תאור" ma:internalName="Description">
      <xsd:simpleType>
        <xsd:restriction base="dms:Note"/>
      </xsd:simpleType>
    </xsd:element>
    <xsd:element name="FileGroup" ma:index="3" nillable="true" ma:displayName="נושא המסמך" ma:list="{1d967b34-d578-438a-8871-0342ca02cdc7}" ma:internalName="FileGroup" ma:showField="Title" ma:web="7c9e7d92-4d2e-4d6f-8ea5-12e4091e13b4">
      <xsd:simpleType>
        <xsd:restriction base="dms:Lookup"/>
      </xsd:simpleType>
    </xsd:element>
    <xsd:element name="ToPublish" ma:index="4" nillable="true" ma:displayName="לפרסום" ma:default="1" ma:internalName="ToPublish">
      <xsd:simpleType>
        <xsd:restriction base="dms:Boolean"/>
      </xsd:simpleType>
    </xsd:element>
    <xsd:element name="PublishStartDate" ma:index="5" nillable="true" ma:displayName="תאריך תחילת פרסום" ma:format="DateTime" ma:internalName="PublishStartDate">
      <xsd:simpleType>
        <xsd:restriction base="dms:DateTime"/>
      </xsd:simpleType>
    </xsd:element>
    <xsd:element name="PublishEndDate" ma:index="6" nillable="true" ma:displayName="תאריך סיום פרסום" ma:format="DateTime" ma:internalName="PublishEndDate">
      <xsd:simpleType>
        <xsd:restriction base="dms:DateTime"/>
      </xsd:simpleType>
    </xsd:element>
    <xsd:element name="OrderIndex" ma:index="7" ma:displayName="סדר הצגה" ma:internalName="OrderIndex" ma:percentage="FALSE">
      <xsd:simpleType>
        <xsd:restriction base="dms:Number"/>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סוג תוכן"/>
        <xsd:element ref="dc:title" minOccurs="0" maxOccurs="1" ma:index="1"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49446096-0F10-4387-93C6-77FC7E834551}"/>
</file>

<file path=customXml/itemProps2.xml><?xml version="1.0" encoding="utf-8"?>
<ds:datastoreItem xmlns:ds="http://schemas.openxmlformats.org/officeDocument/2006/customXml" ds:itemID="{68A572EB-8064-4033-8AD0-C1A938A3D1C2}"/>
</file>

<file path=customXml/itemProps3.xml><?xml version="1.0" encoding="utf-8"?>
<ds:datastoreItem xmlns:ds="http://schemas.openxmlformats.org/officeDocument/2006/customXml" ds:itemID="{82BBAD8F-38D5-4AE0-B889-55BE45A153D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3</vt:i4>
      </vt:variant>
      <vt:variant>
        <vt:lpstr>טווחים בעלי שם</vt:lpstr>
      </vt:variant>
      <vt:variant>
        <vt:i4>3</vt:i4>
      </vt:variant>
    </vt:vector>
  </HeadingPairs>
  <TitlesOfParts>
    <vt:vector size="6" baseType="lpstr">
      <vt:lpstr>נתוני תכן וחישובי עזר </vt:lpstr>
      <vt:lpstr>סימולאטור</vt:lpstr>
      <vt:lpstr>טופס הודעת חיוב</vt:lpstr>
      <vt:lpstr>'טופס הודעת חיוב'!WPrint_Area_W</vt:lpstr>
      <vt:lpstr>'נתוני תכן וחישובי עזר '!WPrint_Area_W</vt:lpstr>
      <vt:lpstr>סימולאטור!WPrint_Area_W</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סימולאטור שפכי מפעלים - ינואר 2016</dc:title>
  <dc:creator>Yonil</dc:creator>
  <cp:lastModifiedBy>Levi Yoni</cp:lastModifiedBy>
  <cp:lastPrinted>2016-01-25T06:09:39Z</cp:lastPrinted>
  <dcterms:created xsi:type="dcterms:W3CDTF">2011-12-12T08:29:39Z</dcterms:created>
  <dcterms:modified xsi:type="dcterms:W3CDTF">2017-03-26T09:56:31Z</dcterms:modified>
  <cp:contentType>קבצים להורדה</cp:contentTyp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0x0101009B062CC07971A94494097F37B7CF51C70073D90BEFD4AAD3478D802B7FD2C15ACE</vt:lpwstr>
  </property>
</Properties>
</file>