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comments2.xml" ContentType="application/vnd.openxmlformats-officedocument.spreadsheetml.comments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540" windowWidth="15000" windowHeight="7065" tabRatio="601" firstSheet="1" activeTab="1"/>
  </bookViews>
  <sheets>
    <sheet name="שנת 2010" sheetId="1" state="hidden" r:id="rId1"/>
    <sheet name="עלות תפעול מים" sheetId="9" r:id="rId2"/>
    <sheet name="עלות תפעול ביוב" sheetId="8" r:id="rId3"/>
    <sheet name="סהכ עלויות תפעול" sheetId="7" r:id="rId4"/>
    <sheet name="שנת 2011" sheetId="3" r:id="rId5"/>
    <sheet name="נתוני מים 2011" sheetId="4" state="hidden" r:id="rId6"/>
    <sheet name="התפלגות מים 2011" sheetId="6" state="hidden" r:id="rId7"/>
  </sheets>
  <externalReferences>
    <externalReference r:id="rId8"/>
    <externalReference r:id="rId9"/>
  </externalReferences>
  <definedNames>
    <definedName name="_xlnm._FilterDatabase" localSheetId="3" hidden="1">'סהכ עלויות תפעול'!$A$3:$C$52</definedName>
    <definedName name="_xlnm._FilterDatabase" localSheetId="2" hidden="1">'עלות תפעול ביוב'!$A$3:$D$53</definedName>
    <definedName name="_xlnm._FilterDatabase" localSheetId="1" hidden="1">'עלות תפעול מים'!$A$3:$D$53</definedName>
  </definedNames>
  <calcPr calcId="145621"/>
</workbook>
</file>

<file path=xl/calcChain.xml><?xml version="1.0" encoding="utf-8"?>
<calcChain xmlns="http://schemas.openxmlformats.org/spreadsheetml/2006/main">
  <c r="H196" i="3" l="1"/>
  <c r="I196" i="3"/>
  <c r="J196" i="3"/>
  <c r="K196" i="3"/>
  <c r="L196" i="3"/>
  <c r="M196" i="3"/>
  <c r="N196" i="3"/>
  <c r="O196" i="3"/>
  <c r="P196" i="3"/>
  <c r="Q196" i="3"/>
  <c r="R196" i="3"/>
  <c r="S196" i="3"/>
  <c r="T196" i="3"/>
  <c r="U196" i="3"/>
  <c r="V196" i="3"/>
  <c r="W196" i="3"/>
  <c r="X196" i="3"/>
  <c r="Z196" i="3"/>
  <c r="AA196" i="3"/>
  <c r="AB196" i="3"/>
  <c r="AC196" i="3"/>
  <c r="AD196" i="3"/>
  <c r="AE196" i="3"/>
  <c r="AG196" i="3"/>
  <c r="AH196" i="3"/>
  <c r="AI196" i="3"/>
  <c r="AJ196" i="3"/>
  <c r="AK196" i="3"/>
  <c r="AL196" i="3"/>
  <c r="AM196" i="3"/>
  <c r="AN196" i="3"/>
  <c r="AO196" i="3"/>
  <c r="AP196" i="3"/>
  <c r="AQ196" i="3"/>
  <c r="AR196" i="3"/>
  <c r="AS196" i="3"/>
  <c r="AT196" i="3"/>
  <c r="AU196" i="3"/>
  <c r="AV196" i="3"/>
  <c r="AW196" i="3"/>
  <c r="AX196" i="3"/>
  <c r="AY196" i="3"/>
  <c r="AZ196" i="3"/>
  <c r="BA196" i="3"/>
  <c r="BB196" i="3"/>
  <c r="BC196" i="3"/>
  <c r="BD196" i="3"/>
  <c r="BE196" i="3"/>
  <c r="G196" i="3"/>
  <c r="H194" i="3"/>
  <c r="I194" i="3"/>
  <c r="J194" i="3"/>
  <c r="K194" i="3"/>
  <c r="L194" i="3"/>
  <c r="M194" i="3"/>
  <c r="N194" i="3"/>
  <c r="O194" i="3"/>
  <c r="P194" i="3"/>
  <c r="Q194" i="3"/>
  <c r="R194" i="3"/>
  <c r="S194" i="3"/>
  <c r="T194" i="3"/>
  <c r="U194" i="3"/>
  <c r="V194" i="3"/>
  <c r="W194" i="3"/>
  <c r="X194" i="3"/>
  <c r="Y194" i="3"/>
  <c r="Z194" i="3"/>
  <c r="AA194" i="3"/>
  <c r="AB194" i="3"/>
  <c r="AC194" i="3"/>
  <c r="AD194" i="3"/>
  <c r="AE194" i="3"/>
  <c r="AF194" i="3"/>
  <c r="AG194" i="3"/>
  <c r="AH194" i="3"/>
  <c r="AI194" i="3"/>
  <c r="AJ194" i="3"/>
  <c r="AK194" i="3"/>
  <c r="AL194" i="3"/>
  <c r="AM194" i="3"/>
  <c r="AN194" i="3"/>
  <c r="AO194" i="3"/>
  <c r="AP194" i="3"/>
  <c r="AQ194" i="3"/>
  <c r="AR194" i="3"/>
  <c r="AS194" i="3"/>
  <c r="AT194" i="3"/>
  <c r="AU194" i="3"/>
  <c r="AV194" i="3"/>
  <c r="AW194" i="3"/>
  <c r="AX194" i="3"/>
  <c r="AY194" i="3"/>
  <c r="AZ194" i="3"/>
  <c r="BA194" i="3"/>
  <c r="BB194" i="3"/>
  <c r="BC194" i="3"/>
  <c r="BD194" i="3"/>
  <c r="BE194" i="3"/>
  <c r="G194" i="3"/>
  <c r="AU65" i="3" l="1"/>
  <c r="C5" i="9" l="1"/>
  <c r="C8" i="9"/>
  <c r="C9" i="9"/>
  <c r="C15" i="9"/>
  <c r="C33" i="9"/>
  <c r="B5" i="8"/>
  <c r="E5" i="8" l="1"/>
  <c r="E7" i="8"/>
  <c r="E8" i="8"/>
  <c r="E9" i="8"/>
  <c r="E10" i="8"/>
  <c r="E11" i="8"/>
  <c r="E12" i="8"/>
  <c r="E13" i="8"/>
  <c r="E14" i="8"/>
  <c r="E15" i="8"/>
  <c r="E16" i="8"/>
  <c r="E18" i="8"/>
  <c r="E19" i="8"/>
  <c r="E20" i="8"/>
  <c r="E21" i="8"/>
  <c r="E22" i="8"/>
  <c r="E24" i="8"/>
  <c r="E27" i="8"/>
  <c r="E28" i="8"/>
  <c r="E29" i="8"/>
  <c r="E30" i="8"/>
  <c r="E31" i="8"/>
  <c r="E32" i="8"/>
  <c r="E34" i="8"/>
  <c r="E35" i="8"/>
  <c r="E36" i="8"/>
  <c r="E37" i="8"/>
  <c r="E38" i="8"/>
  <c r="E39" i="8"/>
  <c r="E40" i="8"/>
  <c r="E41" i="8"/>
  <c r="E42" i="8"/>
  <c r="E45" i="8"/>
  <c r="E46" i="8"/>
  <c r="E47" i="8"/>
  <c r="E48" i="8"/>
  <c r="E49" i="8"/>
  <c r="E50" i="8"/>
  <c r="E51" i="8"/>
  <c r="E52" i="8"/>
  <c r="E53" i="8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B18" i="7" l="1"/>
  <c r="B33" i="7"/>
  <c r="B6" i="7"/>
  <c r="B4" i="7"/>
  <c r="B14" i="7"/>
  <c r="B48" i="7"/>
  <c r="B11" i="7"/>
  <c r="B43" i="7"/>
  <c r="B5" i="7"/>
  <c r="B4" i="8"/>
  <c r="B25" i="8"/>
  <c r="B33" i="8"/>
  <c r="B17" i="8"/>
  <c r="B6" i="8"/>
  <c r="B23" i="8"/>
  <c r="B44" i="8"/>
  <c r="B26" i="8"/>
  <c r="B43" i="8"/>
  <c r="BE215" i="3"/>
  <c r="BE210" i="3"/>
  <c r="BE212" i="3" s="1"/>
  <c r="BE190" i="3"/>
  <c r="BE165" i="3"/>
  <c r="BE110" i="3"/>
  <c r="BE40" i="3"/>
  <c r="BE25" i="3"/>
  <c r="C26" i="8" l="1"/>
  <c r="E26" i="8"/>
  <c r="C23" i="8"/>
  <c r="E23" i="8"/>
  <c r="C17" i="8"/>
  <c r="E17" i="8"/>
  <c r="E25" i="8"/>
  <c r="E43" i="8"/>
  <c r="E44" i="8"/>
  <c r="C6" i="8"/>
  <c r="E6" i="8"/>
  <c r="C33" i="8"/>
  <c r="E33" i="8"/>
  <c r="E4" i="8"/>
  <c r="BE192" i="3"/>
  <c r="BE198" i="3" s="1"/>
  <c r="BE202" i="3" s="1"/>
  <c r="BE206" i="3" s="1"/>
  <c r="C16" i="7" l="1"/>
  <c r="E55" i="8"/>
  <c r="BE200" i="3"/>
  <c r="BE204" i="3" s="1"/>
  <c r="BE208" i="3" s="1"/>
  <c r="D14" i="8" s="1"/>
  <c r="F14" i="8" s="1"/>
  <c r="B4" i="9" l="1"/>
  <c r="E4" i="9" s="1"/>
  <c r="E55" i="9" s="1"/>
  <c r="B43" i="9"/>
  <c r="B23" i="9"/>
  <c r="D28" i="9"/>
  <c r="F28" i="9" s="1"/>
  <c r="B25" i="9"/>
  <c r="B33" i="9"/>
  <c r="B8" i="9"/>
  <c r="B5" i="9"/>
  <c r="B15" i="9"/>
  <c r="B49" i="9"/>
  <c r="B9" i="9"/>
  <c r="BD190" i="3" l="1"/>
  <c r="BD180" i="3"/>
  <c r="BD177" i="3"/>
  <c r="BD173" i="3"/>
  <c r="BD171" i="3"/>
  <c r="BD165" i="3"/>
  <c r="BD40" i="3"/>
  <c r="BD110" i="3"/>
  <c r="BD154" i="3"/>
  <c r="BD153" i="3"/>
  <c r="BD67" i="3"/>
  <c r="BD65" i="3"/>
  <c r="BD64" i="3"/>
  <c r="BD63" i="3"/>
  <c r="BD59" i="3"/>
  <c r="BD58" i="3"/>
  <c r="BD57" i="3"/>
  <c r="BD56" i="3"/>
  <c r="BD36" i="3"/>
  <c r="BD28" i="3"/>
  <c r="BD22" i="3"/>
  <c r="BD20" i="3"/>
  <c r="BD17" i="3"/>
  <c r="BD25" i="3"/>
  <c r="BD15" i="3"/>
  <c r="BD13" i="3"/>
  <c r="BD11" i="3"/>
  <c r="BD21" i="3"/>
  <c r="BD212" i="3"/>
  <c r="BD215" i="3"/>
  <c r="BD192" i="3" l="1"/>
  <c r="AJ210" i="3"/>
  <c r="AX65" i="3"/>
  <c r="AX58" i="3"/>
  <c r="BD200" i="3" l="1"/>
  <c r="BD204" i="3" s="1"/>
  <c r="BD208" i="3" s="1"/>
  <c r="D25" i="8" s="1"/>
  <c r="F25" i="8" s="1"/>
  <c r="BD198" i="3"/>
  <c r="BD202" i="3" s="1"/>
  <c r="BD206" i="3" s="1"/>
  <c r="AR65" i="3"/>
  <c r="BC177" i="3"/>
  <c r="BC215" i="3"/>
  <c r="BC212" i="3"/>
  <c r="BC210" i="3"/>
  <c r="BC190" i="3"/>
  <c r="BC165" i="3"/>
  <c r="BC110" i="3"/>
  <c r="BC40" i="3"/>
  <c r="BC25" i="3"/>
  <c r="AS65" i="3"/>
  <c r="BB210" i="3"/>
  <c r="BB180" i="3"/>
  <c r="BB171" i="3"/>
  <c r="BB215" i="3"/>
  <c r="BB212" i="3"/>
  <c r="BB165" i="3"/>
  <c r="BB110" i="3"/>
  <c r="BB40" i="3"/>
  <c r="BB25" i="3"/>
  <c r="G210" i="3"/>
  <c r="H210" i="3"/>
  <c r="I210" i="3"/>
  <c r="J210" i="3"/>
  <c r="K210" i="3"/>
  <c r="L210" i="3"/>
  <c r="M210" i="3"/>
  <c r="N210" i="3"/>
  <c r="O210" i="3"/>
  <c r="P210" i="3"/>
  <c r="Q210" i="3"/>
  <c r="R210" i="3"/>
  <c r="S210" i="3"/>
  <c r="T210" i="3"/>
  <c r="U210" i="3"/>
  <c r="V210" i="3"/>
  <c r="W210" i="3"/>
  <c r="X210" i="3"/>
  <c r="Y210" i="3"/>
  <c r="Z210" i="3"/>
  <c r="AA210" i="3"/>
  <c r="AB210" i="3"/>
  <c r="AC210" i="3"/>
  <c r="AD210" i="3"/>
  <c r="AE210" i="3"/>
  <c r="AF210" i="3"/>
  <c r="AG210" i="3"/>
  <c r="AH210" i="3"/>
  <c r="AI210" i="3"/>
  <c r="AK210" i="3"/>
  <c r="AL210" i="3"/>
  <c r="AM210" i="3"/>
  <c r="AN210" i="3"/>
  <c r="AO210" i="3"/>
  <c r="AP210" i="3"/>
  <c r="AQ210" i="3"/>
  <c r="AR210" i="3"/>
  <c r="AS210" i="3"/>
  <c r="AT210" i="3"/>
  <c r="AU210" i="3"/>
  <c r="AV210" i="3"/>
  <c r="AW210" i="3"/>
  <c r="AX210" i="3"/>
  <c r="AY210" i="3"/>
  <c r="AZ210" i="3"/>
  <c r="BA210" i="3"/>
  <c r="AK212" i="3"/>
  <c r="AL212" i="3"/>
  <c r="AM212" i="3"/>
  <c r="AN212" i="3"/>
  <c r="AO212" i="3"/>
  <c r="AP212" i="3"/>
  <c r="AQ212" i="3"/>
  <c r="AR212" i="3"/>
  <c r="AS212" i="3"/>
  <c r="AT212" i="3"/>
  <c r="AU212" i="3"/>
  <c r="AV212" i="3"/>
  <c r="AW212" i="3"/>
  <c r="AX212" i="3"/>
  <c r="AY212" i="3"/>
  <c r="AZ212" i="3"/>
  <c r="BA212" i="3"/>
  <c r="AJ212" i="3"/>
  <c r="H212" i="3"/>
  <c r="I212" i="3"/>
  <c r="J212" i="3"/>
  <c r="K212" i="3"/>
  <c r="L212" i="3"/>
  <c r="M212" i="3"/>
  <c r="N212" i="3"/>
  <c r="O212" i="3"/>
  <c r="P212" i="3"/>
  <c r="Q212" i="3"/>
  <c r="R212" i="3"/>
  <c r="S212" i="3"/>
  <c r="T212" i="3"/>
  <c r="U212" i="3"/>
  <c r="V212" i="3"/>
  <c r="W212" i="3"/>
  <c r="X212" i="3"/>
  <c r="Y212" i="3"/>
  <c r="Z212" i="3"/>
  <c r="AA212" i="3"/>
  <c r="AB212" i="3"/>
  <c r="AC212" i="3"/>
  <c r="AD212" i="3"/>
  <c r="AE212" i="3"/>
  <c r="AF212" i="3"/>
  <c r="AG212" i="3"/>
  <c r="AH212" i="3"/>
  <c r="AI212" i="3"/>
  <c r="G212" i="3"/>
  <c r="C18" i="7" l="1"/>
  <c r="D25" i="9"/>
  <c r="F25" i="9" s="1"/>
  <c r="BB190" i="3"/>
  <c r="BC192" i="3"/>
  <c r="BB192" i="3"/>
  <c r="AE65" i="3"/>
  <c r="AE58" i="3"/>
  <c r="AX110" i="3"/>
  <c r="AR20" i="3"/>
  <c r="Z110" i="3"/>
  <c r="P165" i="3"/>
  <c r="K9" i="3"/>
  <c r="K25" i="3"/>
  <c r="K40" i="3"/>
  <c r="K43" i="3" s="1"/>
  <c r="K53" i="3"/>
  <c r="K110" i="3"/>
  <c r="K123" i="3"/>
  <c r="K140" i="3"/>
  <c r="K149" i="3"/>
  <c r="K165" i="3"/>
  <c r="K190" i="3"/>
  <c r="K215" i="3"/>
  <c r="N9" i="3"/>
  <c r="N25" i="3"/>
  <c r="N40" i="3"/>
  <c r="N53" i="3"/>
  <c r="N110" i="3"/>
  <c r="N123" i="3"/>
  <c r="N140" i="3"/>
  <c r="N149" i="3"/>
  <c r="N165" i="3"/>
  <c r="N190" i="3"/>
  <c r="N215" i="3"/>
  <c r="P9" i="3"/>
  <c r="P25" i="3"/>
  <c r="P40" i="3"/>
  <c r="P53" i="3"/>
  <c r="P110" i="3"/>
  <c r="P123" i="3"/>
  <c r="P140" i="3"/>
  <c r="P149" i="3"/>
  <c r="P190" i="3"/>
  <c r="P215" i="3"/>
  <c r="G9" i="3"/>
  <c r="G25" i="3"/>
  <c r="G40" i="3"/>
  <c r="G53" i="3"/>
  <c r="G110" i="3"/>
  <c r="G123" i="3"/>
  <c r="G140" i="3"/>
  <c r="G149" i="3"/>
  <c r="G165" i="3"/>
  <c r="G190" i="3"/>
  <c r="G215" i="3"/>
  <c r="H9" i="3"/>
  <c r="H25" i="3"/>
  <c r="H40" i="3"/>
  <c r="H53" i="3"/>
  <c r="H110" i="3"/>
  <c r="H123" i="3"/>
  <c r="H140" i="3"/>
  <c r="H149" i="3"/>
  <c r="H165" i="3"/>
  <c r="H190" i="3"/>
  <c r="H215" i="3"/>
  <c r="O9" i="3"/>
  <c r="O25" i="3"/>
  <c r="O40" i="3"/>
  <c r="O53" i="3"/>
  <c r="O110" i="3"/>
  <c r="O123" i="3"/>
  <c r="O140" i="3"/>
  <c r="O149" i="3"/>
  <c r="O165" i="3"/>
  <c r="O190" i="3"/>
  <c r="O215" i="3"/>
  <c r="R9" i="3"/>
  <c r="R25" i="3"/>
  <c r="R40" i="3"/>
  <c r="R53" i="3"/>
  <c r="R65" i="3"/>
  <c r="R110" i="3" s="1"/>
  <c r="R123" i="3"/>
  <c r="R140" i="3"/>
  <c r="R149" i="3"/>
  <c r="R165" i="3"/>
  <c r="R190" i="3"/>
  <c r="W25" i="3"/>
  <c r="W40" i="3"/>
  <c r="W110" i="3"/>
  <c r="W165" i="3"/>
  <c r="W190" i="3"/>
  <c r="W215" i="3"/>
  <c r="Y25" i="3"/>
  <c r="Z25" i="3"/>
  <c r="Y40" i="3"/>
  <c r="Z40" i="3"/>
  <c r="Y110" i="3"/>
  <c r="Y196" i="3" s="1"/>
  <c r="Y165" i="3"/>
  <c r="Z165" i="3"/>
  <c r="Y190" i="3"/>
  <c r="Z190" i="3"/>
  <c r="Y215" i="3"/>
  <c r="Z215" i="3"/>
  <c r="AE25" i="3"/>
  <c r="AE40" i="3"/>
  <c r="AE110" i="3"/>
  <c r="AE165" i="3"/>
  <c r="AE190" i="3"/>
  <c r="AE215" i="3"/>
  <c r="AM25" i="3"/>
  <c r="AM40" i="3"/>
  <c r="AM110" i="3"/>
  <c r="AM192" i="3" s="1"/>
  <c r="AM165" i="3"/>
  <c r="AM190" i="3"/>
  <c r="AO25" i="3"/>
  <c r="AO40" i="3"/>
  <c r="AO110" i="3"/>
  <c r="AO165" i="3"/>
  <c r="AO190" i="3"/>
  <c r="AR25" i="3"/>
  <c r="AR40" i="3"/>
  <c r="AR110" i="3"/>
  <c r="AR165" i="3"/>
  <c r="AR190" i="3"/>
  <c r="AU25" i="3"/>
  <c r="AU40" i="3"/>
  <c r="AU110" i="3"/>
  <c r="AU165" i="3"/>
  <c r="AU190" i="3"/>
  <c r="AU215" i="3"/>
  <c r="AV25" i="3"/>
  <c r="AW25" i="3"/>
  <c r="AV40" i="3"/>
  <c r="AW40" i="3"/>
  <c r="AV64" i="3"/>
  <c r="AV110" i="3" s="1"/>
  <c r="AW110" i="3"/>
  <c r="AV165" i="3"/>
  <c r="AW165" i="3"/>
  <c r="AV190" i="3"/>
  <c r="AW190" i="3"/>
  <c r="AV215" i="3"/>
  <c r="AW215" i="3"/>
  <c r="AX25" i="3"/>
  <c r="AY25" i="3"/>
  <c r="AZ25" i="3"/>
  <c r="AX40" i="3"/>
  <c r="AY40" i="3"/>
  <c r="AZ40" i="3"/>
  <c r="AY110" i="3"/>
  <c r="AZ110" i="3"/>
  <c r="AX165" i="3"/>
  <c r="AY165" i="3"/>
  <c r="AZ165" i="3"/>
  <c r="AZ168" i="3" s="1"/>
  <c r="AX190" i="3"/>
  <c r="AY190" i="3"/>
  <c r="AZ190" i="3"/>
  <c r="AX215" i="3"/>
  <c r="AZ215" i="3"/>
  <c r="AK110" i="3"/>
  <c r="AJ58" i="3"/>
  <c r="V65" i="3"/>
  <c r="J20" i="3"/>
  <c r="AZ192" i="3" l="1"/>
  <c r="AZ198" i="3" s="1"/>
  <c r="AZ202" i="3" s="1"/>
  <c r="AZ206" i="3" s="1"/>
  <c r="D4" i="9" s="1"/>
  <c r="AU192" i="3"/>
  <c r="N128" i="3"/>
  <c r="P192" i="3"/>
  <c r="AZ152" i="3"/>
  <c r="AZ169" i="3" s="1"/>
  <c r="BB198" i="3"/>
  <c r="BB202" i="3" s="1"/>
  <c r="BB206" i="3" s="1"/>
  <c r="H43" i="3"/>
  <c r="K200" i="3"/>
  <c r="K204" i="3" s="1"/>
  <c r="K208" i="3" s="1"/>
  <c r="D15" i="8" s="1"/>
  <c r="F15" i="8" s="1"/>
  <c r="AZ26" i="3"/>
  <c r="BC200" i="3"/>
  <c r="BC204" i="3" s="1"/>
  <c r="BC208" i="3" s="1"/>
  <c r="D17" i="8" s="1"/>
  <c r="F17" i="8" s="1"/>
  <c r="BC198" i="3"/>
  <c r="BC202" i="3" s="1"/>
  <c r="BC206" i="3" s="1"/>
  <c r="BB200" i="3"/>
  <c r="BB204" i="3" s="1"/>
  <c r="BB208" i="3" s="1"/>
  <c r="D33" i="8" s="1"/>
  <c r="F33" i="8" s="1"/>
  <c r="N43" i="3"/>
  <c r="P128" i="3"/>
  <c r="K128" i="3"/>
  <c r="P43" i="3"/>
  <c r="K192" i="3"/>
  <c r="K198" i="3"/>
  <c r="K202" i="3" s="1"/>
  <c r="K206" i="3" s="1"/>
  <c r="AU200" i="3"/>
  <c r="AU204" i="3" s="1"/>
  <c r="AU208" i="3" s="1"/>
  <c r="D5" i="8" s="1"/>
  <c r="F5" i="8" s="1"/>
  <c r="G43" i="3"/>
  <c r="N192" i="3"/>
  <c r="G128" i="3"/>
  <c r="AY215" i="3"/>
  <c r="AR215" i="3"/>
  <c r="AO215" i="3"/>
  <c r="O128" i="3"/>
  <c r="O43" i="3"/>
  <c r="H128" i="3"/>
  <c r="AW192" i="3"/>
  <c r="R43" i="3"/>
  <c r="AX192" i="3"/>
  <c r="AX200" i="3" s="1"/>
  <c r="AX204" i="3" s="1"/>
  <c r="AX208" i="3" s="1"/>
  <c r="D46" i="8" s="1"/>
  <c r="F46" i="8" s="1"/>
  <c r="AM200" i="3"/>
  <c r="AM204" i="3" s="1"/>
  <c r="AM208" i="3" s="1"/>
  <c r="D20" i="8" s="1"/>
  <c r="F20" i="8" s="1"/>
  <c r="Z192" i="3"/>
  <c r="H192" i="3"/>
  <c r="H200" i="3" s="1"/>
  <c r="H204" i="3" s="1"/>
  <c r="H208" i="3" s="1"/>
  <c r="D40" i="8" s="1"/>
  <c r="F40" i="8" s="1"/>
  <c r="AR192" i="3"/>
  <c r="H198" i="3"/>
  <c r="H202" i="3" s="1"/>
  <c r="H206" i="3" s="1"/>
  <c r="AE192" i="3"/>
  <c r="AE198" i="3" s="1"/>
  <c r="AE202" i="3" s="1"/>
  <c r="AE206" i="3" s="1"/>
  <c r="W192" i="3"/>
  <c r="O192" i="3"/>
  <c r="O200" i="3" s="1"/>
  <c r="O204" i="3" s="1"/>
  <c r="O208" i="3" s="1"/>
  <c r="D28" i="8" s="1"/>
  <c r="F28" i="8" s="1"/>
  <c r="G192" i="3"/>
  <c r="G198" i="3" s="1"/>
  <c r="G202" i="3" s="1"/>
  <c r="G206" i="3" s="1"/>
  <c r="AO192" i="3"/>
  <c r="Z200" i="3"/>
  <c r="Z204" i="3" s="1"/>
  <c r="Z208" i="3" s="1"/>
  <c r="D18" i="8" s="1"/>
  <c r="F18" i="8" s="1"/>
  <c r="Z198" i="3"/>
  <c r="Z202" i="3" s="1"/>
  <c r="Z206" i="3" s="1"/>
  <c r="AY192" i="3"/>
  <c r="AY200" i="3" s="1"/>
  <c r="AY204" i="3" s="1"/>
  <c r="AY208" i="3" s="1"/>
  <c r="D19" i="8" s="1"/>
  <c r="F19" i="8" s="1"/>
  <c r="AV192" i="3"/>
  <c r="AZ200" i="3"/>
  <c r="AZ204" i="3" s="1"/>
  <c r="AZ208" i="3" s="1"/>
  <c r="D4" i="8" s="1"/>
  <c r="R128" i="3"/>
  <c r="R192" i="3"/>
  <c r="R198" i="3" s="1"/>
  <c r="R202" i="3" s="1"/>
  <c r="R206" i="3" s="1"/>
  <c r="AU198" i="3"/>
  <c r="AU202" i="3" s="1"/>
  <c r="AU206" i="3" s="1"/>
  <c r="AM215" i="3"/>
  <c r="Y192" i="3"/>
  <c r="Y200" i="3" s="1"/>
  <c r="Y204" i="3" s="1"/>
  <c r="Y208" i="3" s="1"/>
  <c r="D42" i="8" s="1"/>
  <c r="F42" i="8" s="1"/>
  <c r="R215" i="3"/>
  <c r="D43" i="9" l="1"/>
  <c r="F43" i="9" s="1"/>
  <c r="C10" i="7"/>
  <c r="D13" i="9"/>
  <c r="F13" i="9" s="1"/>
  <c r="C28" i="7"/>
  <c r="D21" i="9"/>
  <c r="F21" i="9" s="1"/>
  <c r="C46" i="7"/>
  <c r="D51" i="9"/>
  <c r="F51" i="9" s="1"/>
  <c r="C27" i="7"/>
  <c r="D16" i="9"/>
  <c r="F16" i="9" s="1"/>
  <c r="C6" i="7"/>
  <c r="D8" i="9"/>
  <c r="F8" i="9" s="1"/>
  <c r="C33" i="7"/>
  <c r="D33" i="9"/>
  <c r="F33" i="9" s="1"/>
  <c r="C52" i="7"/>
  <c r="D53" i="9"/>
  <c r="F53" i="9" s="1"/>
  <c r="C5" i="7"/>
  <c r="D23" i="9"/>
  <c r="F23" i="9" s="1"/>
  <c r="AR200" i="3"/>
  <c r="AR204" i="3" s="1"/>
  <c r="AR208" i="3" s="1"/>
  <c r="D16" i="8" s="1"/>
  <c r="F16" i="8" s="1"/>
  <c r="Y198" i="3"/>
  <c r="Y202" i="3" s="1"/>
  <c r="Y206" i="3" s="1"/>
  <c r="AO198" i="3"/>
  <c r="AO202" i="3" s="1"/>
  <c r="AO206" i="3" s="1"/>
  <c r="N200" i="3"/>
  <c r="N204" i="3" s="1"/>
  <c r="N208" i="3" s="1"/>
  <c r="D9" i="8" s="1"/>
  <c r="F9" i="8" s="1"/>
  <c r="AX198" i="3"/>
  <c r="AX202" i="3" s="1"/>
  <c r="AX206" i="3" s="1"/>
  <c r="W200" i="3"/>
  <c r="W204" i="3" s="1"/>
  <c r="W208" i="3" s="1"/>
  <c r="D21" i="8" s="1"/>
  <c r="F21" i="8" s="1"/>
  <c r="AY198" i="3"/>
  <c r="AY202" i="3" s="1"/>
  <c r="AY206" i="3" s="1"/>
  <c r="N198" i="3"/>
  <c r="N202" i="3" s="1"/>
  <c r="N206" i="3" s="1"/>
  <c r="P198" i="3"/>
  <c r="P202" i="3" s="1"/>
  <c r="P206" i="3" s="1"/>
  <c r="P200" i="3"/>
  <c r="P204" i="3" s="1"/>
  <c r="P208" i="3" s="1"/>
  <c r="D31" i="8" s="1"/>
  <c r="F31" i="8" s="1"/>
  <c r="AW198" i="3"/>
  <c r="AW202" i="3" s="1"/>
  <c r="AW206" i="3" s="1"/>
  <c r="AV198" i="3"/>
  <c r="AV202" i="3" s="1"/>
  <c r="AV206" i="3" s="1"/>
  <c r="AR198" i="3"/>
  <c r="AR202" i="3" s="1"/>
  <c r="AR206" i="3" s="1"/>
  <c r="AM198" i="3"/>
  <c r="AM202" i="3" s="1"/>
  <c r="AM206" i="3" s="1"/>
  <c r="AW200" i="3"/>
  <c r="AW204" i="3" s="1"/>
  <c r="AW208" i="3" s="1"/>
  <c r="D10" i="8" s="1"/>
  <c r="F10" i="8" s="1"/>
  <c r="R200" i="3"/>
  <c r="R204" i="3" s="1"/>
  <c r="R208" i="3" s="1"/>
  <c r="D38" i="8" s="1"/>
  <c r="F38" i="8" s="1"/>
  <c r="AO200" i="3"/>
  <c r="AO204" i="3" s="1"/>
  <c r="AO208" i="3" s="1"/>
  <c r="D24" i="8" s="1"/>
  <c r="F24" i="8" s="1"/>
  <c r="G200" i="3"/>
  <c r="G204" i="3" s="1"/>
  <c r="G208" i="3" s="1"/>
  <c r="D52" i="8" s="1"/>
  <c r="F52" i="8" s="1"/>
  <c r="AE200" i="3"/>
  <c r="AE204" i="3" s="1"/>
  <c r="AE208" i="3" s="1"/>
  <c r="D43" i="8" s="1"/>
  <c r="F43" i="8" s="1"/>
  <c r="O198" i="3"/>
  <c r="O202" i="3" s="1"/>
  <c r="O206" i="3" s="1"/>
  <c r="W198" i="3"/>
  <c r="W202" i="3" s="1"/>
  <c r="W206" i="3" s="1"/>
  <c r="AV200" i="3"/>
  <c r="AV204" i="3" s="1"/>
  <c r="AV208" i="3" s="1"/>
  <c r="D41" i="8" s="1"/>
  <c r="F41" i="8" s="1"/>
  <c r="AF215" i="3"/>
  <c r="AD215" i="3"/>
  <c r="AB215" i="3"/>
  <c r="X215" i="3"/>
  <c r="V215" i="3"/>
  <c r="T215" i="3"/>
  <c r="L215" i="3"/>
  <c r="J215" i="3"/>
  <c r="I215" i="3"/>
  <c r="BA190" i="3"/>
  <c r="AT190" i="3"/>
  <c r="AS190" i="3"/>
  <c r="AQ190" i="3"/>
  <c r="AP190" i="3"/>
  <c r="AN190" i="3"/>
  <c r="AL190" i="3"/>
  <c r="AK190" i="3"/>
  <c r="AJ190" i="3"/>
  <c r="AI190" i="3"/>
  <c r="AH190" i="3"/>
  <c r="AG190" i="3"/>
  <c r="AF190" i="3"/>
  <c r="AD190" i="3"/>
  <c r="AC190" i="3"/>
  <c r="AB190" i="3"/>
  <c r="AA190" i="3"/>
  <c r="X190" i="3"/>
  <c r="V190" i="3"/>
  <c r="U190" i="3"/>
  <c r="T190" i="3"/>
  <c r="S190" i="3"/>
  <c r="Q190" i="3"/>
  <c r="M190" i="3"/>
  <c r="L190" i="3"/>
  <c r="J190" i="3"/>
  <c r="I190" i="3"/>
  <c r="BA165" i="3"/>
  <c r="AT165" i="3"/>
  <c r="AQ165" i="3"/>
  <c r="AP165" i="3"/>
  <c r="AN165" i="3"/>
  <c r="AL165" i="3"/>
  <c r="AK165" i="3"/>
  <c r="AJ165" i="3"/>
  <c r="AI165" i="3"/>
  <c r="AH165" i="3"/>
  <c r="AG165" i="3"/>
  <c r="AF165" i="3"/>
  <c r="AD165" i="3"/>
  <c r="AC165" i="3"/>
  <c r="AB165" i="3"/>
  <c r="AA165" i="3"/>
  <c r="X165" i="3"/>
  <c r="V165" i="3"/>
  <c r="U165" i="3"/>
  <c r="T165" i="3"/>
  <c r="S165" i="3"/>
  <c r="Q165" i="3"/>
  <c r="M165" i="3"/>
  <c r="L165" i="3"/>
  <c r="J165" i="3"/>
  <c r="I165" i="3"/>
  <c r="AS159" i="3"/>
  <c r="AS165" i="3" s="1"/>
  <c r="T149" i="3"/>
  <c r="S149" i="3"/>
  <c r="Q149" i="3"/>
  <c r="M149" i="3"/>
  <c r="L149" i="3"/>
  <c r="J149" i="3"/>
  <c r="I149" i="3"/>
  <c r="T140" i="3"/>
  <c r="S140" i="3"/>
  <c r="Q140" i="3"/>
  <c r="M140" i="3"/>
  <c r="L140" i="3"/>
  <c r="J140" i="3"/>
  <c r="I140" i="3"/>
  <c r="T123" i="3"/>
  <c r="S123" i="3"/>
  <c r="Q123" i="3"/>
  <c r="M123" i="3"/>
  <c r="L123" i="3"/>
  <c r="J123" i="3"/>
  <c r="I123" i="3"/>
  <c r="BA110" i="3"/>
  <c r="AT110" i="3"/>
  <c r="AS110" i="3"/>
  <c r="AQ110" i="3"/>
  <c r="AP110" i="3"/>
  <c r="AN110" i="3"/>
  <c r="AL110" i="3"/>
  <c r="AJ110" i="3"/>
  <c r="AI110" i="3"/>
  <c r="AH110" i="3"/>
  <c r="AG110" i="3"/>
  <c r="AF110" i="3"/>
  <c r="AF196" i="3" s="1"/>
  <c r="AD110" i="3"/>
  <c r="AC110" i="3"/>
  <c r="AB110" i="3"/>
  <c r="AA110" i="3"/>
  <c r="X110" i="3"/>
  <c r="V110" i="3"/>
  <c r="U110" i="3"/>
  <c r="T110" i="3"/>
  <c r="S110" i="3"/>
  <c r="Q110" i="3"/>
  <c r="M110" i="3"/>
  <c r="L110" i="3"/>
  <c r="J110" i="3"/>
  <c r="I110" i="3"/>
  <c r="T53" i="3"/>
  <c r="S53" i="3"/>
  <c r="Q53" i="3"/>
  <c r="M53" i="3"/>
  <c r="L53" i="3"/>
  <c r="J53" i="3"/>
  <c r="I53" i="3"/>
  <c r="BA40" i="3"/>
  <c r="AT40" i="3"/>
  <c r="AS40" i="3"/>
  <c r="AQ40" i="3"/>
  <c r="AP40" i="3"/>
  <c r="AN40" i="3"/>
  <c r="AL40" i="3"/>
  <c r="AK40" i="3"/>
  <c r="AJ40" i="3"/>
  <c r="AI40" i="3"/>
  <c r="AH40" i="3"/>
  <c r="AG40" i="3"/>
  <c r="AF40" i="3"/>
  <c r="AD40" i="3"/>
  <c r="AC40" i="3"/>
  <c r="AB40" i="3"/>
  <c r="AA40" i="3"/>
  <c r="X40" i="3"/>
  <c r="V40" i="3"/>
  <c r="U40" i="3"/>
  <c r="T40" i="3"/>
  <c r="S40" i="3"/>
  <c r="Q40" i="3"/>
  <c r="M40" i="3"/>
  <c r="L40" i="3"/>
  <c r="J40" i="3"/>
  <c r="I40" i="3"/>
  <c r="BA25" i="3"/>
  <c r="AT25" i="3"/>
  <c r="AS25" i="3"/>
  <c r="AQ25" i="3"/>
  <c r="AP25" i="3"/>
  <c r="AN25" i="3"/>
  <c r="AL25" i="3"/>
  <c r="AK25" i="3"/>
  <c r="AJ25" i="3"/>
  <c r="AI25" i="3"/>
  <c r="AH25" i="3"/>
  <c r="AG25" i="3"/>
  <c r="AF25" i="3"/>
  <c r="AD25" i="3"/>
  <c r="AC25" i="3"/>
  <c r="AB25" i="3"/>
  <c r="AA25" i="3"/>
  <c r="X25" i="3"/>
  <c r="V25" i="3"/>
  <c r="U25" i="3"/>
  <c r="T25" i="3"/>
  <c r="S25" i="3"/>
  <c r="Q25" i="3"/>
  <c r="M25" i="3"/>
  <c r="L25" i="3"/>
  <c r="J25" i="3"/>
  <c r="I25" i="3"/>
  <c r="T9" i="3"/>
  <c r="S9" i="3"/>
  <c r="Q9" i="3"/>
  <c r="M9" i="3"/>
  <c r="L9" i="3"/>
  <c r="J9" i="3"/>
  <c r="I9" i="3"/>
  <c r="C43" i="7" l="1"/>
  <c r="C25" i="7"/>
  <c r="D34" i="9"/>
  <c r="F34" i="9" s="1"/>
  <c r="C21" i="7"/>
  <c r="D35" i="9"/>
  <c r="F35" i="9" s="1"/>
  <c r="C7" i="7"/>
  <c r="D10" i="9"/>
  <c r="F10" i="9" s="1"/>
  <c r="C22" i="7"/>
  <c r="D18" i="9"/>
  <c r="F18" i="9" s="1"/>
  <c r="C15" i="7"/>
  <c r="D26" i="9"/>
  <c r="F26" i="9" s="1"/>
  <c r="C17" i="7"/>
  <c r="D6" i="9"/>
  <c r="F6" i="9" s="1"/>
  <c r="C31" i="7"/>
  <c r="D38" i="9"/>
  <c r="F38" i="9" s="1"/>
  <c r="C36" i="7"/>
  <c r="D39" i="9"/>
  <c r="F39" i="9" s="1"/>
  <c r="C23" i="7"/>
  <c r="D32" i="9"/>
  <c r="F32" i="9" s="1"/>
  <c r="C37" i="7"/>
  <c r="D27" i="9"/>
  <c r="F27" i="9" s="1"/>
  <c r="C12" i="7"/>
  <c r="D19" i="9"/>
  <c r="F19" i="9" s="1"/>
  <c r="C44" i="7"/>
  <c r="D44" i="9"/>
  <c r="F44" i="9" s="1"/>
  <c r="I43" i="3"/>
  <c r="L43" i="3"/>
  <c r="T43" i="3"/>
  <c r="M43" i="3"/>
  <c r="Q43" i="3"/>
  <c r="S43" i="3"/>
  <c r="J43" i="3"/>
  <c r="I128" i="3"/>
  <c r="J128" i="3"/>
  <c r="L128" i="3"/>
  <c r="T128" i="3"/>
  <c r="U43" i="3"/>
  <c r="I192" i="3"/>
  <c r="J192" i="3"/>
  <c r="L192" i="3"/>
  <c r="L200" i="3" s="1"/>
  <c r="L204" i="3" s="1"/>
  <c r="L208" i="3" s="1"/>
  <c r="D51" i="8" s="1"/>
  <c r="F51" i="8" s="1"/>
  <c r="T192" i="3"/>
  <c r="T200" i="3" s="1"/>
  <c r="T204" i="3" s="1"/>
  <c r="T208" i="3" s="1"/>
  <c r="D45" i="8" s="1"/>
  <c r="F45" i="8" s="1"/>
  <c r="V192" i="3"/>
  <c r="X192" i="3"/>
  <c r="X200" i="3" s="1"/>
  <c r="X204" i="3" s="1"/>
  <c r="X208" i="3" s="1"/>
  <c r="D11" i="8" s="1"/>
  <c r="F11" i="8" s="1"/>
  <c r="AB192" i="3"/>
  <c r="AB200" i="3" s="1"/>
  <c r="AB204" i="3" s="1"/>
  <c r="AB208" i="3" s="1"/>
  <c r="D48" i="8" s="1"/>
  <c r="F48" i="8" s="1"/>
  <c r="AD192" i="3"/>
  <c r="AD200" i="3" s="1"/>
  <c r="AD204" i="3" s="1"/>
  <c r="AD208" i="3" s="1"/>
  <c r="D8" i="8" s="1"/>
  <c r="F8" i="8" s="1"/>
  <c r="AF192" i="3"/>
  <c r="AH192" i="3"/>
  <c r="AH198" i="3" s="1"/>
  <c r="AH202" i="3" s="1"/>
  <c r="AH206" i="3" s="1"/>
  <c r="AJ192" i="3"/>
  <c r="AJ198" i="3" s="1"/>
  <c r="AJ202" i="3" s="1"/>
  <c r="AJ206" i="3" s="1"/>
  <c r="AL192" i="3"/>
  <c r="AL198" i="3" s="1"/>
  <c r="AL202" i="3" s="1"/>
  <c r="AL206" i="3" s="1"/>
  <c r="AN192" i="3"/>
  <c r="AP192" i="3"/>
  <c r="AP198" i="3" s="1"/>
  <c r="AP202" i="3" s="1"/>
  <c r="AP206" i="3" s="1"/>
  <c r="AT192" i="3"/>
  <c r="AT200" i="3" s="1"/>
  <c r="AT204" i="3" s="1"/>
  <c r="AT208" i="3" s="1"/>
  <c r="D27" i="8" s="1"/>
  <c r="F27" i="8" s="1"/>
  <c r="BA192" i="3"/>
  <c r="BA200" i="3" s="1"/>
  <c r="BA204" i="3" s="1"/>
  <c r="BA208" i="3" s="1"/>
  <c r="D44" i="8" s="1"/>
  <c r="F44" i="8" s="1"/>
  <c r="M128" i="3"/>
  <c r="Q128" i="3"/>
  <c r="S128" i="3"/>
  <c r="M192" i="3"/>
  <c r="Q192" i="3"/>
  <c r="Q198" i="3" s="1"/>
  <c r="Q202" i="3" s="1"/>
  <c r="Q206" i="3" s="1"/>
  <c r="S192" i="3"/>
  <c r="S200" i="3" s="1"/>
  <c r="S204" i="3" s="1"/>
  <c r="S208" i="3" s="1"/>
  <c r="D22" i="8" s="1"/>
  <c r="F22" i="8" s="1"/>
  <c r="U192" i="3"/>
  <c r="U198" i="3" s="1"/>
  <c r="U202" i="3" s="1"/>
  <c r="U206" i="3" s="1"/>
  <c r="AA192" i="3"/>
  <c r="AC192" i="3"/>
  <c r="AC198" i="3" s="1"/>
  <c r="AC202" i="3" s="1"/>
  <c r="AC206" i="3" s="1"/>
  <c r="AG192" i="3"/>
  <c r="AG200" i="3" s="1"/>
  <c r="AG204" i="3" s="1"/>
  <c r="AG208" i="3" s="1"/>
  <c r="D36" i="8" s="1"/>
  <c r="F36" i="8" s="1"/>
  <c r="AI192" i="3"/>
  <c r="AK192" i="3"/>
  <c r="AK200" i="3" s="1"/>
  <c r="AK204" i="3" s="1"/>
  <c r="AK208" i="3" s="1"/>
  <c r="D49" i="8" s="1"/>
  <c r="F49" i="8" s="1"/>
  <c r="AQ192" i="3"/>
  <c r="AS192" i="3"/>
  <c r="I198" i="3"/>
  <c r="I202" i="3" s="1"/>
  <c r="I206" i="3" s="1"/>
  <c r="L198" i="3"/>
  <c r="L202" i="3" s="1"/>
  <c r="L206" i="3" s="1"/>
  <c r="T198" i="3"/>
  <c r="T202" i="3" s="1"/>
  <c r="T206" i="3" s="1"/>
  <c r="V198" i="3"/>
  <c r="V202" i="3" s="1"/>
  <c r="V206" i="3" s="1"/>
  <c r="AB198" i="3"/>
  <c r="AB202" i="3" s="1"/>
  <c r="AB206" i="3" s="1"/>
  <c r="AD198" i="3"/>
  <c r="AD202" i="3" s="1"/>
  <c r="AD206" i="3" s="1"/>
  <c r="AF198" i="3"/>
  <c r="AF202" i="3" s="1"/>
  <c r="AF206" i="3" s="1"/>
  <c r="M215" i="3"/>
  <c r="Q215" i="3"/>
  <c r="S215" i="3"/>
  <c r="U215" i="3"/>
  <c r="AA215" i="3"/>
  <c r="AC215" i="3"/>
  <c r="AG215" i="3"/>
  <c r="AI215" i="3"/>
  <c r="AK215" i="3"/>
  <c r="AQ215" i="3"/>
  <c r="AS215" i="3"/>
  <c r="AH215" i="3"/>
  <c r="AJ215" i="3"/>
  <c r="AL215" i="3"/>
  <c r="AN215" i="3"/>
  <c r="AP215" i="3"/>
  <c r="AT215" i="3"/>
  <c r="BA215" i="3"/>
  <c r="C39" i="7" l="1"/>
  <c r="D50" i="9"/>
  <c r="F50" i="9" s="1"/>
  <c r="D12" i="9"/>
  <c r="F12" i="9" s="1"/>
  <c r="C50" i="7"/>
  <c r="D46" i="9"/>
  <c r="F46" i="9" s="1"/>
  <c r="D40" i="9"/>
  <c r="F40" i="9" s="1"/>
  <c r="D5" i="9"/>
  <c r="F5" i="9" s="1"/>
  <c r="C34" i="7"/>
  <c r="D20" i="9"/>
  <c r="F20" i="9" s="1"/>
  <c r="C45" i="7"/>
  <c r="D45" i="9"/>
  <c r="F45" i="9" s="1"/>
  <c r="D52" i="9"/>
  <c r="F52" i="9" s="1"/>
  <c r="D29" i="9"/>
  <c r="F29" i="9" s="1"/>
  <c r="C20" i="7"/>
  <c r="D14" i="9"/>
  <c r="F14" i="9" s="1"/>
  <c r="D24" i="9"/>
  <c r="F24" i="9" s="1"/>
  <c r="C42" i="7"/>
  <c r="D42" i="9"/>
  <c r="F42" i="9" s="1"/>
  <c r="D15" i="9"/>
  <c r="F15" i="9" s="1"/>
  <c r="X198" i="3"/>
  <c r="X202" i="3" s="1"/>
  <c r="X206" i="3" s="1"/>
  <c r="J198" i="3"/>
  <c r="J202" i="3" s="1"/>
  <c r="J206" i="3" s="1"/>
  <c r="AA200" i="3"/>
  <c r="AA204" i="3" s="1"/>
  <c r="AA208" i="3" s="1"/>
  <c r="D26" i="8" s="1"/>
  <c r="F26" i="8" s="1"/>
  <c r="M198" i="3"/>
  <c r="M202" i="3" s="1"/>
  <c r="M206" i="3" s="1"/>
  <c r="AF200" i="3"/>
  <c r="AF204" i="3" s="1"/>
  <c r="AF208" i="3" s="1"/>
  <c r="D6" i="8" s="1"/>
  <c r="F6" i="8" s="1"/>
  <c r="V200" i="3"/>
  <c r="V204" i="3" s="1"/>
  <c r="V208" i="3" s="1"/>
  <c r="D12" i="8" s="1"/>
  <c r="F12" i="8" s="1"/>
  <c r="I200" i="3"/>
  <c r="I204" i="3" s="1"/>
  <c r="I208" i="3" s="1"/>
  <c r="D29" i="8" s="1"/>
  <c r="F29" i="8" s="1"/>
  <c r="AQ198" i="3"/>
  <c r="AQ202" i="3" s="1"/>
  <c r="AQ206" i="3" s="1"/>
  <c r="AI198" i="3"/>
  <c r="AI202" i="3" s="1"/>
  <c r="AI206" i="3" s="1"/>
  <c r="J200" i="3"/>
  <c r="J204" i="3" s="1"/>
  <c r="J208" i="3" s="1"/>
  <c r="D13" i="8" s="1"/>
  <c r="F13" i="8" s="1"/>
  <c r="AN200" i="3"/>
  <c r="AN204" i="3" s="1"/>
  <c r="AN208" i="3" s="1"/>
  <c r="D53" i="8" s="1"/>
  <c r="F53" i="8" s="1"/>
  <c r="AS200" i="3"/>
  <c r="AS204" i="3" s="1"/>
  <c r="AS208" i="3" s="1"/>
  <c r="D37" i="8" s="1"/>
  <c r="F37" i="8" s="1"/>
  <c r="AC200" i="3"/>
  <c r="AC204" i="3" s="1"/>
  <c r="AC208" i="3" s="1"/>
  <c r="D30" i="8" s="1"/>
  <c r="F30" i="8" s="1"/>
  <c r="U200" i="3"/>
  <c r="U204" i="3" s="1"/>
  <c r="U208" i="3" s="1"/>
  <c r="D35" i="8" s="1"/>
  <c r="F35" i="8" s="1"/>
  <c r="AS198" i="3"/>
  <c r="AS202" i="3" s="1"/>
  <c r="AS206" i="3" s="1"/>
  <c r="AK198" i="3"/>
  <c r="AK202" i="3" s="1"/>
  <c r="AK206" i="3" s="1"/>
  <c r="AJ200" i="3"/>
  <c r="AJ204" i="3" s="1"/>
  <c r="AJ208" i="3" s="1"/>
  <c r="D50" i="8" s="1"/>
  <c r="F50" i="8" s="1"/>
  <c r="AP200" i="3"/>
  <c r="AP204" i="3" s="1"/>
  <c r="AP208" i="3" s="1"/>
  <c r="D47" i="8" s="1"/>
  <c r="F47" i="8" s="1"/>
  <c r="AH200" i="3"/>
  <c r="AH204" i="3" s="1"/>
  <c r="AH208" i="3" s="1"/>
  <c r="D23" i="8" s="1"/>
  <c r="F23" i="8" s="1"/>
  <c r="AN198" i="3"/>
  <c r="AN202" i="3" s="1"/>
  <c r="AN206" i="3" s="1"/>
  <c r="Q200" i="3"/>
  <c r="Q204" i="3" s="1"/>
  <c r="Q208" i="3" s="1"/>
  <c r="D39" i="8" s="1"/>
  <c r="F39" i="8" s="1"/>
  <c r="M200" i="3"/>
  <c r="M204" i="3" s="1"/>
  <c r="M208" i="3" s="1"/>
  <c r="D7" i="8" s="1"/>
  <c r="F7" i="8" s="1"/>
  <c r="BA198" i="3"/>
  <c r="BA202" i="3" s="1"/>
  <c r="BA206" i="3" s="1"/>
  <c r="AT198" i="3"/>
  <c r="AT202" i="3" s="1"/>
  <c r="AT206" i="3" s="1"/>
  <c r="AQ200" i="3"/>
  <c r="AQ204" i="3" s="1"/>
  <c r="AQ208" i="3" s="1"/>
  <c r="D34" i="8" s="1"/>
  <c r="F34" i="8" s="1"/>
  <c r="AI200" i="3"/>
  <c r="AI204" i="3" s="1"/>
  <c r="AI208" i="3" s="1"/>
  <c r="D32" i="8" s="1"/>
  <c r="F32" i="8" s="1"/>
  <c r="AG198" i="3"/>
  <c r="AG202" i="3" s="1"/>
  <c r="AG206" i="3" s="1"/>
  <c r="AA198" i="3"/>
  <c r="AA202" i="3" s="1"/>
  <c r="AA206" i="3" s="1"/>
  <c r="S198" i="3"/>
  <c r="S202" i="3" s="1"/>
  <c r="S206" i="3" s="1"/>
  <c r="AL200" i="3"/>
  <c r="AL204" i="3" s="1"/>
  <c r="AL208" i="3" s="1"/>
  <c r="F55" i="8" l="1"/>
  <c r="G5" i="8" s="1"/>
  <c r="C14" i="7"/>
  <c r="C30" i="7"/>
  <c r="C29" i="7"/>
  <c r="C49" i="7"/>
  <c r="C4" i="7"/>
  <c r="C47" i="7"/>
  <c r="C9" i="7"/>
  <c r="C11" i="7"/>
  <c r="D9" i="9"/>
  <c r="F9" i="9" s="1"/>
  <c r="C26" i="7"/>
  <c r="D30" i="9"/>
  <c r="F30" i="9" s="1"/>
  <c r="C51" i="7"/>
  <c r="D22" i="9"/>
  <c r="F22" i="9" s="1"/>
  <c r="C32" i="7"/>
  <c r="D11" i="9"/>
  <c r="F11" i="9" s="1"/>
  <c r="C24" i="7"/>
  <c r="D17" i="9"/>
  <c r="F17" i="9" s="1"/>
  <c r="C13" i="7"/>
  <c r="D37" i="9"/>
  <c r="F37" i="9" s="1"/>
  <c r="C38" i="7"/>
  <c r="D48" i="9"/>
  <c r="F48" i="9" s="1"/>
  <c r="C8" i="7"/>
  <c r="D7" i="9"/>
  <c r="F7" i="9" s="1"/>
  <c r="C35" i="7"/>
  <c r="D31" i="9"/>
  <c r="F31" i="9" s="1"/>
  <c r="C48" i="7"/>
  <c r="D49" i="9"/>
  <c r="F49" i="9" s="1"/>
  <c r="C40" i="7"/>
  <c r="D41" i="9"/>
  <c r="F41" i="9" s="1"/>
  <c r="C41" i="7"/>
  <c r="D47" i="9"/>
  <c r="F47" i="9" s="1"/>
  <c r="C19" i="7"/>
  <c r="D36" i="9"/>
  <c r="F36" i="9" s="1"/>
  <c r="H148" i="1"/>
  <c r="I148" i="1"/>
  <c r="J148" i="1"/>
  <c r="K148" i="1"/>
  <c r="L148" i="1"/>
  <c r="M148" i="1"/>
  <c r="N148" i="1"/>
  <c r="O148" i="1"/>
  <c r="P148" i="1"/>
  <c r="Q148" i="1"/>
  <c r="R148" i="1"/>
  <c r="S148" i="1"/>
  <c r="T148" i="1"/>
  <c r="U148" i="1"/>
  <c r="V148" i="1"/>
  <c r="W148" i="1"/>
  <c r="X148" i="1"/>
  <c r="Y148" i="1"/>
  <c r="Z148" i="1"/>
  <c r="AA148" i="1"/>
  <c r="AB148" i="1"/>
  <c r="AC148" i="1"/>
  <c r="AD148" i="1"/>
  <c r="AE148" i="1"/>
  <c r="AF148" i="1"/>
  <c r="AG148" i="1"/>
  <c r="AH148" i="1"/>
  <c r="AI148" i="1"/>
  <c r="AJ148" i="1"/>
  <c r="AK148" i="1"/>
  <c r="AL148" i="1"/>
  <c r="AM148" i="1"/>
  <c r="AN148" i="1"/>
  <c r="AO148" i="1"/>
  <c r="AP148" i="1"/>
  <c r="AQ148" i="1"/>
  <c r="AR148" i="1"/>
  <c r="AS148" i="1"/>
  <c r="AT148" i="1"/>
  <c r="AU148" i="1"/>
  <c r="AV148" i="1"/>
  <c r="G148" i="1"/>
  <c r="G123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W25" i="1"/>
  <c r="K25" i="1"/>
  <c r="X176" i="1"/>
  <c r="S25" i="1"/>
  <c r="AA25" i="1"/>
  <c r="M25" i="1"/>
  <c r="G25" i="1"/>
  <c r="H25" i="1"/>
  <c r="I25" i="1"/>
  <c r="J25" i="1"/>
  <c r="L25" i="1"/>
  <c r="N25" i="1"/>
  <c r="O25" i="1"/>
  <c r="P25" i="1"/>
  <c r="Q25" i="1"/>
  <c r="R25" i="1"/>
  <c r="T25" i="1"/>
  <c r="U25" i="1"/>
  <c r="V25" i="1"/>
  <c r="X25" i="1"/>
  <c r="Y25" i="1"/>
  <c r="Z25" i="1"/>
  <c r="AB25" i="1"/>
  <c r="AC25" i="1"/>
  <c r="AD25" i="1"/>
  <c r="AE25" i="1"/>
  <c r="AF25" i="1"/>
  <c r="AG25" i="1"/>
  <c r="AH25" i="1"/>
  <c r="AI25" i="1"/>
  <c r="AJ25" i="1"/>
  <c r="AK25" i="1"/>
  <c r="AL25" i="1"/>
  <c r="AM25" i="1"/>
  <c r="AN25" i="1"/>
  <c r="AO25" i="1"/>
  <c r="G202" i="1"/>
  <c r="AV200" i="1"/>
  <c r="AU200" i="1"/>
  <c r="AT200" i="1"/>
  <c r="AS200" i="1"/>
  <c r="AR200" i="1"/>
  <c r="AQ200" i="1"/>
  <c r="AP200" i="1"/>
  <c r="AO200" i="1"/>
  <c r="AN200" i="1"/>
  <c r="AM200" i="1"/>
  <c r="AL200" i="1"/>
  <c r="AK200" i="1"/>
  <c r="AJ200" i="1"/>
  <c r="AI200" i="1"/>
  <c r="AH200" i="1"/>
  <c r="AG200" i="1"/>
  <c r="AF200" i="1"/>
  <c r="AE200" i="1"/>
  <c r="AD200" i="1"/>
  <c r="AC200" i="1"/>
  <c r="AB200" i="1"/>
  <c r="AA200" i="1"/>
  <c r="Z200" i="1"/>
  <c r="Y200" i="1"/>
  <c r="X200" i="1"/>
  <c r="W200" i="1"/>
  <c r="V200" i="1"/>
  <c r="U200" i="1"/>
  <c r="T200" i="1"/>
  <c r="S200" i="1"/>
  <c r="R200" i="1"/>
  <c r="Q200" i="1"/>
  <c r="P200" i="1"/>
  <c r="O200" i="1"/>
  <c r="N200" i="1"/>
  <c r="M200" i="1"/>
  <c r="L200" i="1"/>
  <c r="K200" i="1"/>
  <c r="J200" i="1"/>
  <c r="I200" i="1"/>
  <c r="H200" i="1"/>
  <c r="G200" i="1"/>
  <c r="AV198" i="1"/>
  <c r="AU198" i="1"/>
  <c r="AT198" i="1"/>
  <c r="AS198" i="1"/>
  <c r="AR198" i="1"/>
  <c r="AQ198" i="1"/>
  <c r="AP198" i="1"/>
  <c r="AO198" i="1"/>
  <c r="AN198" i="1"/>
  <c r="AM198" i="1"/>
  <c r="AL198" i="1"/>
  <c r="AK198" i="1"/>
  <c r="AJ198" i="1"/>
  <c r="AI198" i="1"/>
  <c r="AH198" i="1"/>
  <c r="AG198" i="1"/>
  <c r="AF198" i="1"/>
  <c r="AE198" i="1"/>
  <c r="AD198" i="1"/>
  <c r="AC198" i="1"/>
  <c r="AB198" i="1"/>
  <c r="AA198" i="1"/>
  <c r="Z198" i="1"/>
  <c r="Y198" i="1"/>
  <c r="X198" i="1"/>
  <c r="W198" i="1"/>
  <c r="V198" i="1"/>
  <c r="U198" i="1"/>
  <c r="T198" i="1"/>
  <c r="S198" i="1"/>
  <c r="R198" i="1"/>
  <c r="Q198" i="1"/>
  <c r="P198" i="1"/>
  <c r="O198" i="1"/>
  <c r="N198" i="1"/>
  <c r="M198" i="1"/>
  <c r="L198" i="1"/>
  <c r="K198" i="1"/>
  <c r="J198" i="1"/>
  <c r="I198" i="1"/>
  <c r="H198" i="1"/>
  <c r="G198" i="1"/>
  <c r="AV196" i="1"/>
  <c r="AU196" i="1"/>
  <c r="AT196" i="1"/>
  <c r="AS196" i="1"/>
  <c r="AR196" i="1"/>
  <c r="AQ196" i="1"/>
  <c r="AP196" i="1"/>
  <c r="AO196" i="1"/>
  <c r="AN196" i="1"/>
  <c r="AM196" i="1"/>
  <c r="AL196" i="1"/>
  <c r="AK196" i="1"/>
  <c r="AJ196" i="1"/>
  <c r="AI196" i="1"/>
  <c r="AH196" i="1"/>
  <c r="AG196" i="1"/>
  <c r="AF196" i="1"/>
  <c r="AE196" i="1"/>
  <c r="AD196" i="1"/>
  <c r="AC196" i="1"/>
  <c r="AB196" i="1"/>
  <c r="AA196" i="1"/>
  <c r="Z196" i="1"/>
  <c r="Y196" i="1"/>
  <c r="X196" i="1"/>
  <c r="W196" i="1"/>
  <c r="V196" i="1"/>
  <c r="U196" i="1"/>
  <c r="T196" i="1"/>
  <c r="S196" i="1"/>
  <c r="R196" i="1"/>
  <c r="Q196" i="1"/>
  <c r="P196" i="1"/>
  <c r="O196" i="1"/>
  <c r="N196" i="1"/>
  <c r="M196" i="1"/>
  <c r="L196" i="1"/>
  <c r="K196" i="1"/>
  <c r="J196" i="1"/>
  <c r="I196" i="1"/>
  <c r="H196" i="1"/>
  <c r="G196" i="1"/>
  <c r="AV194" i="1"/>
  <c r="AU194" i="1"/>
  <c r="AT194" i="1"/>
  <c r="AS194" i="1"/>
  <c r="AR194" i="1"/>
  <c r="AQ194" i="1"/>
  <c r="AP194" i="1"/>
  <c r="AO194" i="1"/>
  <c r="AN194" i="1"/>
  <c r="AM194" i="1"/>
  <c r="AL194" i="1"/>
  <c r="AK194" i="1"/>
  <c r="AJ194" i="1"/>
  <c r="AI194" i="1"/>
  <c r="AH194" i="1"/>
  <c r="AG194" i="1"/>
  <c r="AF194" i="1"/>
  <c r="AE194" i="1"/>
  <c r="AD194" i="1"/>
  <c r="AC194" i="1"/>
  <c r="AB194" i="1"/>
  <c r="AA194" i="1"/>
  <c r="Z194" i="1"/>
  <c r="Y194" i="1"/>
  <c r="X194" i="1"/>
  <c r="W194" i="1"/>
  <c r="V194" i="1"/>
  <c r="U194" i="1"/>
  <c r="T194" i="1"/>
  <c r="S194" i="1"/>
  <c r="R194" i="1"/>
  <c r="Q194" i="1"/>
  <c r="P194" i="1"/>
  <c r="O194" i="1"/>
  <c r="N194" i="1"/>
  <c r="M194" i="1"/>
  <c r="L194" i="1"/>
  <c r="K194" i="1"/>
  <c r="J194" i="1"/>
  <c r="I194" i="1"/>
  <c r="H194" i="1"/>
  <c r="G194" i="1"/>
  <c r="AV192" i="1"/>
  <c r="AU192" i="1"/>
  <c r="AT192" i="1"/>
  <c r="AS192" i="1"/>
  <c r="AR192" i="1"/>
  <c r="AQ192" i="1"/>
  <c r="AP192" i="1"/>
  <c r="AO192" i="1"/>
  <c r="AN192" i="1"/>
  <c r="AM192" i="1"/>
  <c r="AL192" i="1"/>
  <c r="AK192" i="1"/>
  <c r="AJ192" i="1"/>
  <c r="AI192" i="1"/>
  <c r="AH192" i="1"/>
  <c r="AG192" i="1"/>
  <c r="AF192" i="1"/>
  <c r="AE192" i="1"/>
  <c r="AD192" i="1"/>
  <c r="AC192" i="1"/>
  <c r="AB192" i="1"/>
  <c r="AA192" i="1"/>
  <c r="Z192" i="1"/>
  <c r="Y192" i="1"/>
  <c r="X192" i="1"/>
  <c r="W192" i="1"/>
  <c r="V192" i="1"/>
  <c r="U192" i="1"/>
  <c r="T192" i="1"/>
  <c r="S192" i="1"/>
  <c r="R192" i="1"/>
  <c r="Q192" i="1"/>
  <c r="P192" i="1"/>
  <c r="O192" i="1"/>
  <c r="N192" i="1"/>
  <c r="M192" i="1"/>
  <c r="L192" i="1"/>
  <c r="K192" i="1"/>
  <c r="J192" i="1"/>
  <c r="I192" i="1"/>
  <c r="H192" i="1"/>
  <c r="G192" i="1"/>
  <c r="AV188" i="1"/>
  <c r="AU188" i="1"/>
  <c r="AR188" i="1"/>
  <c r="AQ188" i="1"/>
  <c r="AO188" i="1"/>
  <c r="AM188" i="1"/>
  <c r="AL188" i="1"/>
  <c r="AK188" i="1"/>
  <c r="AI188" i="1"/>
  <c r="AH188" i="1"/>
  <c r="AG188" i="1"/>
  <c r="AE188" i="1"/>
  <c r="AB188" i="1"/>
  <c r="AA188" i="1"/>
  <c r="Z188" i="1"/>
  <c r="Y188" i="1"/>
  <c r="W188" i="1"/>
  <c r="V188" i="1"/>
  <c r="T188" i="1"/>
  <c r="S188" i="1"/>
  <c r="R188" i="1"/>
  <c r="Q188" i="1"/>
  <c r="O188" i="1"/>
  <c r="N188" i="1"/>
  <c r="L188" i="1"/>
  <c r="K188" i="1"/>
  <c r="J188" i="1"/>
  <c r="I188" i="1"/>
  <c r="G188" i="1"/>
  <c r="AV184" i="1"/>
  <c r="AU184" i="1"/>
  <c r="AR184" i="1"/>
  <c r="AQ184" i="1"/>
  <c r="AO184" i="1"/>
  <c r="AM184" i="1"/>
  <c r="AL184" i="1"/>
  <c r="AK184" i="1"/>
  <c r="AI184" i="1"/>
  <c r="AH184" i="1"/>
  <c r="AG184" i="1"/>
  <c r="AE184" i="1"/>
  <c r="AB184" i="1"/>
  <c r="AA184" i="1"/>
  <c r="Z184" i="1"/>
  <c r="Y184" i="1"/>
  <c r="W184" i="1"/>
  <c r="V184" i="1"/>
  <c r="T184" i="1"/>
  <c r="S184" i="1"/>
  <c r="R184" i="1"/>
  <c r="Q184" i="1"/>
  <c r="O184" i="1"/>
  <c r="N184" i="1"/>
  <c r="L184" i="1"/>
  <c r="K184" i="1"/>
  <c r="J184" i="1"/>
  <c r="I184" i="1"/>
  <c r="G184" i="1"/>
  <c r="AV176" i="1"/>
  <c r="AU176" i="1"/>
  <c r="AU202" i="1" s="1"/>
  <c r="AT176" i="1"/>
  <c r="AS176" i="1"/>
  <c r="AS202" i="1" s="1"/>
  <c r="AR176" i="1"/>
  <c r="AQ176" i="1"/>
  <c r="AQ202" i="1" s="1"/>
  <c r="AP176" i="1"/>
  <c r="AO176" i="1"/>
  <c r="AO202" i="1" s="1"/>
  <c r="AN176" i="1"/>
  <c r="AM176" i="1"/>
  <c r="AM202" i="1" s="1"/>
  <c r="AL176" i="1"/>
  <c r="AK176" i="1"/>
  <c r="AJ176" i="1"/>
  <c r="AI176" i="1"/>
  <c r="AI202" i="1" s="1"/>
  <c r="AH176" i="1"/>
  <c r="AG176" i="1"/>
  <c r="AG202" i="1" s="1"/>
  <c r="AF176" i="1"/>
  <c r="AE176" i="1"/>
  <c r="AE202" i="1" s="1"/>
  <c r="AD176" i="1"/>
  <c r="AC176" i="1"/>
  <c r="AC202" i="1" s="1"/>
  <c r="AB176" i="1"/>
  <c r="AA176" i="1"/>
  <c r="AA202" i="1" s="1"/>
  <c r="Z176" i="1"/>
  <c r="Y176" i="1"/>
  <c r="Y202" i="1" s="1"/>
  <c r="W176" i="1"/>
  <c r="W202" i="1" s="1"/>
  <c r="V176" i="1"/>
  <c r="U176" i="1"/>
  <c r="U202" i="1" s="1"/>
  <c r="T176" i="1"/>
  <c r="S176" i="1"/>
  <c r="S202" i="1" s="1"/>
  <c r="R176" i="1"/>
  <c r="Q176" i="1"/>
  <c r="Q202" i="1" s="1"/>
  <c r="O176" i="1"/>
  <c r="O202" i="1" s="1"/>
  <c r="N176" i="1"/>
  <c r="M176" i="1"/>
  <c r="M202" i="1" s="1"/>
  <c r="L176" i="1"/>
  <c r="J176" i="1"/>
  <c r="J178" i="1" s="1"/>
  <c r="I176" i="1"/>
  <c r="I202" i="1" s="1"/>
  <c r="AK174" i="1"/>
  <c r="AV172" i="1"/>
  <c r="AU172" i="1"/>
  <c r="AT172" i="1"/>
  <c r="AS172" i="1"/>
  <c r="AR172" i="1"/>
  <c r="AQ172" i="1"/>
  <c r="AP172" i="1"/>
  <c r="AO172" i="1"/>
  <c r="AN172" i="1"/>
  <c r="AM172" i="1"/>
  <c r="AL172" i="1"/>
  <c r="AK172" i="1"/>
  <c r="AJ172" i="1"/>
  <c r="AI172" i="1"/>
  <c r="AH172" i="1"/>
  <c r="AG172" i="1"/>
  <c r="AF172" i="1"/>
  <c r="AE172" i="1"/>
  <c r="AD172" i="1"/>
  <c r="AC172" i="1"/>
  <c r="AB172" i="1"/>
  <c r="AA172" i="1"/>
  <c r="Z172" i="1"/>
  <c r="Y172" i="1"/>
  <c r="X172" i="1"/>
  <c r="W172" i="1"/>
  <c r="V172" i="1"/>
  <c r="U172" i="1"/>
  <c r="T172" i="1"/>
  <c r="S172" i="1"/>
  <c r="R172" i="1"/>
  <c r="Q172" i="1"/>
  <c r="P172" i="1"/>
  <c r="O172" i="1"/>
  <c r="N172" i="1"/>
  <c r="M172" i="1"/>
  <c r="L172" i="1"/>
  <c r="K172" i="1"/>
  <c r="J172" i="1"/>
  <c r="I172" i="1"/>
  <c r="H172" i="1"/>
  <c r="G172" i="1"/>
  <c r="AV170" i="1"/>
  <c r="AU170" i="1"/>
  <c r="AT170" i="1"/>
  <c r="AS170" i="1"/>
  <c r="AR170" i="1"/>
  <c r="AQ170" i="1"/>
  <c r="AP170" i="1"/>
  <c r="AO170" i="1"/>
  <c r="AN170" i="1"/>
  <c r="AM170" i="1"/>
  <c r="AL170" i="1"/>
  <c r="AK170" i="1"/>
  <c r="AJ170" i="1"/>
  <c r="AI170" i="1"/>
  <c r="AH170" i="1"/>
  <c r="AG170" i="1"/>
  <c r="AF170" i="1"/>
  <c r="AE170" i="1"/>
  <c r="AD170" i="1"/>
  <c r="AC170" i="1"/>
  <c r="AB170" i="1"/>
  <c r="AA170" i="1"/>
  <c r="Z170" i="1"/>
  <c r="Y170" i="1"/>
  <c r="X170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H170" i="1"/>
  <c r="G170" i="1"/>
  <c r="AV168" i="1"/>
  <c r="AU168" i="1"/>
  <c r="AT168" i="1"/>
  <c r="AS168" i="1"/>
  <c r="AR168" i="1"/>
  <c r="AQ168" i="1"/>
  <c r="AP168" i="1"/>
  <c r="AO168" i="1"/>
  <c r="AN168" i="1"/>
  <c r="AM168" i="1"/>
  <c r="AL168" i="1"/>
  <c r="AK168" i="1"/>
  <c r="AJ168" i="1"/>
  <c r="AI168" i="1"/>
  <c r="AH168" i="1"/>
  <c r="AG168" i="1"/>
  <c r="AF168" i="1"/>
  <c r="AE168" i="1"/>
  <c r="AD168" i="1"/>
  <c r="AC168" i="1"/>
  <c r="AB168" i="1"/>
  <c r="AA168" i="1"/>
  <c r="Z168" i="1"/>
  <c r="Y168" i="1"/>
  <c r="X168" i="1"/>
  <c r="W168" i="1"/>
  <c r="V168" i="1"/>
  <c r="U168" i="1"/>
  <c r="T168" i="1"/>
  <c r="S168" i="1"/>
  <c r="R168" i="1"/>
  <c r="Q168" i="1"/>
  <c r="P168" i="1"/>
  <c r="O168" i="1"/>
  <c r="N168" i="1"/>
  <c r="M168" i="1"/>
  <c r="L168" i="1"/>
  <c r="K168" i="1"/>
  <c r="J168" i="1"/>
  <c r="I168" i="1"/>
  <c r="H168" i="1"/>
  <c r="G168" i="1"/>
  <c r="AV123" i="1"/>
  <c r="AT123" i="1"/>
  <c r="AQ123" i="1"/>
  <c r="AO123" i="1"/>
  <c r="AN123" i="1"/>
  <c r="AM123" i="1"/>
  <c r="AL123" i="1"/>
  <c r="AK123" i="1"/>
  <c r="AJ123" i="1"/>
  <c r="AH123" i="1"/>
  <c r="AG123" i="1"/>
  <c r="AE123" i="1"/>
  <c r="AD123" i="1"/>
  <c r="Z123" i="1"/>
  <c r="Z152" i="1" s="1"/>
  <c r="W123" i="1"/>
  <c r="V123" i="1"/>
  <c r="T123" i="1"/>
  <c r="R123" i="1"/>
  <c r="N123" i="1"/>
  <c r="L123" i="1"/>
  <c r="J123" i="1"/>
  <c r="I123" i="1"/>
  <c r="AF123" i="1"/>
  <c r="AB123" i="1"/>
  <c r="AA123" i="1"/>
  <c r="Y123" i="1"/>
  <c r="U123" i="1"/>
  <c r="Q123" i="1"/>
  <c r="M123" i="1"/>
  <c r="K123" i="1"/>
  <c r="AU123" i="1"/>
  <c r="AS123" i="1"/>
  <c r="AC123" i="1"/>
  <c r="S123" i="1"/>
  <c r="O123" i="1"/>
  <c r="AR123" i="1"/>
  <c r="P123" i="1"/>
  <c r="AP123" i="1"/>
  <c r="AI123" i="1"/>
  <c r="X123" i="1"/>
  <c r="H123" i="1"/>
  <c r="U107" i="1"/>
  <c r="T107" i="1"/>
  <c r="S107" i="1"/>
  <c r="R107" i="1"/>
  <c r="Q107" i="1"/>
  <c r="P107" i="1"/>
  <c r="O107" i="1"/>
  <c r="N107" i="1"/>
  <c r="M107" i="1"/>
  <c r="L107" i="1"/>
  <c r="K107" i="1"/>
  <c r="J107" i="1"/>
  <c r="I107" i="1"/>
  <c r="H107" i="1"/>
  <c r="G107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AT68" i="1"/>
  <c r="AS68" i="1"/>
  <c r="AR68" i="1"/>
  <c r="AQ68" i="1"/>
  <c r="AO68" i="1"/>
  <c r="AN68" i="1"/>
  <c r="AM68" i="1"/>
  <c r="AK68" i="1"/>
  <c r="AJ68" i="1"/>
  <c r="AI68" i="1"/>
  <c r="AG68" i="1"/>
  <c r="AF68" i="1"/>
  <c r="AE68" i="1"/>
  <c r="AD68" i="1"/>
  <c r="AC68" i="1"/>
  <c r="AC154" i="1" s="1"/>
  <c r="AB68" i="1"/>
  <c r="AA68" i="1"/>
  <c r="Z68" i="1"/>
  <c r="Y68" i="1"/>
  <c r="W68" i="1"/>
  <c r="V68" i="1"/>
  <c r="U68" i="1"/>
  <c r="S68" i="1"/>
  <c r="Q68" i="1"/>
  <c r="N68" i="1"/>
  <c r="L68" i="1"/>
  <c r="L86" i="1" s="1"/>
  <c r="J68" i="1"/>
  <c r="I68" i="1"/>
  <c r="I154" i="1" s="1"/>
  <c r="AL68" i="1"/>
  <c r="AL154" i="1" s="1"/>
  <c r="R68" i="1"/>
  <c r="O68" i="1"/>
  <c r="AU68" i="1"/>
  <c r="T68" i="1"/>
  <c r="AV68" i="1"/>
  <c r="AV154" i="1" s="1"/>
  <c r="K68" i="1"/>
  <c r="AH68" i="1"/>
  <c r="AH154" i="1" s="1"/>
  <c r="M68" i="1"/>
  <c r="AP68" i="1"/>
  <c r="H68" i="1"/>
  <c r="G176" i="1"/>
  <c r="X68" i="1"/>
  <c r="P68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AV40" i="1"/>
  <c r="AT40" i="1"/>
  <c r="AS40" i="1"/>
  <c r="AR40" i="1"/>
  <c r="AQ40" i="1"/>
  <c r="AO40" i="1"/>
  <c r="AN40" i="1"/>
  <c r="AM40" i="1"/>
  <c r="AL40" i="1"/>
  <c r="AK40" i="1"/>
  <c r="AJ40" i="1"/>
  <c r="AI40" i="1"/>
  <c r="AH40" i="1"/>
  <c r="AG40" i="1"/>
  <c r="AE40" i="1"/>
  <c r="AD40" i="1"/>
  <c r="AB40" i="1"/>
  <c r="AA40" i="1"/>
  <c r="Z40" i="1"/>
  <c r="Y40" i="1"/>
  <c r="W40" i="1"/>
  <c r="V40" i="1"/>
  <c r="U40" i="1"/>
  <c r="T40" i="1"/>
  <c r="S40" i="1"/>
  <c r="R40" i="1"/>
  <c r="P40" i="1"/>
  <c r="O40" i="1"/>
  <c r="N40" i="1"/>
  <c r="M40" i="1"/>
  <c r="L40" i="1"/>
  <c r="K40" i="1"/>
  <c r="J40" i="1"/>
  <c r="I40" i="1"/>
  <c r="H40" i="1"/>
  <c r="G40" i="1"/>
  <c r="G43" i="1" s="1"/>
  <c r="AU40" i="1"/>
  <c r="AP40" i="1"/>
  <c r="AF40" i="1"/>
  <c r="AC40" i="1"/>
  <c r="X40" i="1"/>
  <c r="Q40" i="1"/>
  <c r="AU25" i="1"/>
  <c r="AS25" i="1"/>
  <c r="AD204" i="1"/>
  <c r="AV25" i="1"/>
  <c r="AT25" i="1"/>
  <c r="AQ25" i="1"/>
  <c r="AP25" i="1"/>
  <c r="P176" i="1"/>
  <c r="H176" i="1"/>
  <c r="AR25" i="1"/>
  <c r="U43" i="1"/>
  <c r="L43" i="1"/>
  <c r="F55" i="9" l="1"/>
  <c r="G5" i="9" s="1"/>
  <c r="D4" i="7" s="1"/>
  <c r="O43" i="1"/>
  <c r="I204" i="1"/>
  <c r="M154" i="1"/>
  <c r="N86" i="1"/>
  <c r="I86" i="1"/>
  <c r="J86" i="1"/>
  <c r="AA154" i="1"/>
  <c r="AS154" i="1"/>
  <c r="AQ154" i="1"/>
  <c r="U154" i="1"/>
  <c r="U204" i="1"/>
  <c r="U86" i="1"/>
  <c r="G152" i="1"/>
  <c r="R152" i="1"/>
  <c r="AU154" i="1"/>
  <c r="AJ204" i="1"/>
  <c r="AM154" i="1"/>
  <c r="AM204" i="1"/>
  <c r="AO154" i="1"/>
  <c r="AO204" i="1"/>
  <c r="AK154" i="1"/>
  <c r="AK204" i="1"/>
  <c r="AG154" i="1"/>
  <c r="AG204" i="1"/>
  <c r="AP154" i="1"/>
  <c r="AI154" i="1"/>
  <c r="AI204" i="1"/>
  <c r="AE154" i="1"/>
  <c r="AE204" i="1"/>
  <c r="W154" i="1"/>
  <c r="Y154" i="1"/>
  <c r="Y204" i="1"/>
  <c r="V152" i="1"/>
  <c r="X154" i="1"/>
  <c r="M86" i="1"/>
  <c r="AS204" i="1"/>
  <c r="Q154" i="1"/>
  <c r="Q86" i="1"/>
  <c r="K154" i="1"/>
  <c r="K86" i="1"/>
  <c r="I43" i="1"/>
  <c r="S154" i="1"/>
  <c r="S86" i="1"/>
  <c r="O86" i="1"/>
  <c r="O154" i="1"/>
  <c r="J154" i="1"/>
  <c r="AN204" i="1"/>
  <c r="V204" i="1"/>
  <c r="Z204" i="1"/>
  <c r="J204" i="1"/>
  <c r="S43" i="1"/>
  <c r="T43" i="1"/>
  <c r="R43" i="1"/>
  <c r="N43" i="1"/>
  <c r="J43" i="1"/>
  <c r="K176" i="1"/>
  <c r="K202" i="1" s="1"/>
  <c r="T152" i="1"/>
  <c r="AD152" i="1"/>
  <c r="AJ152" i="1"/>
  <c r="AN152" i="1"/>
  <c r="AH204" i="1"/>
  <c r="AH152" i="1"/>
  <c r="AH150" i="1"/>
  <c r="AP204" i="1"/>
  <c r="AP152" i="1"/>
  <c r="AP150" i="1"/>
  <c r="AP158" i="1" s="1"/>
  <c r="AP162" i="1" s="1"/>
  <c r="AP166" i="1" s="1"/>
  <c r="Q43" i="1"/>
  <c r="L204" i="1"/>
  <c r="L190" i="1"/>
  <c r="L152" i="1"/>
  <c r="L150" i="1"/>
  <c r="W204" i="1"/>
  <c r="W152" i="1"/>
  <c r="W150" i="1"/>
  <c r="W158" i="1" s="1"/>
  <c r="W162" i="1" s="1"/>
  <c r="W166" i="1" s="1"/>
  <c r="N204" i="1"/>
  <c r="N152" i="1"/>
  <c r="N150" i="1"/>
  <c r="S204" i="1"/>
  <c r="S152" i="1"/>
  <c r="S150" i="1"/>
  <c r="AA204" i="1"/>
  <c r="AA152" i="1"/>
  <c r="AA150" i="1"/>
  <c r="AA158" i="1" s="1"/>
  <c r="AA162" i="1" s="1"/>
  <c r="AA166" i="1" s="1"/>
  <c r="AF204" i="1"/>
  <c r="AF152" i="1"/>
  <c r="AF150" i="1"/>
  <c r="AL204" i="1"/>
  <c r="AL152" i="1"/>
  <c r="AL150" i="1"/>
  <c r="AL158" i="1" s="1"/>
  <c r="AL162" i="1" s="1"/>
  <c r="AL166" i="1" s="1"/>
  <c r="AQ204" i="1"/>
  <c r="AQ152" i="1"/>
  <c r="AQ150" i="1"/>
  <c r="AT204" i="1"/>
  <c r="AT152" i="1"/>
  <c r="AT150" i="1"/>
  <c r="O204" i="1"/>
  <c r="O152" i="1"/>
  <c r="O150" i="1"/>
  <c r="H154" i="1"/>
  <c r="H86" i="1"/>
  <c r="AH158" i="1"/>
  <c r="AH162" i="1" s="1"/>
  <c r="AH166" i="1" s="1"/>
  <c r="AR204" i="1"/>
  <c r="AR152" i="1"/>
  <c r="AR150" i="1"/>
  <c r="AV204" i="1"/>
  <c r="AV190" i="1"/>
  <c r="AV152" i="1"/>
  <c r="AV150" i="1"/>
  <c r="AV158" i="1" s="1"/>
  <c r="AV162" i="1" s="1"/>
  <c r="AV166" i="1" s="1"/>
  <c r="P154" i="1"/>
  <c r="P86" i="1"/>
  <c r="T154" i="1"/>
  <c r="T150" i="1"/>
  <c r="T86" i="1"/>
  <c r="R154" i="1"/>
  <c r="R150" i="1"/>
  <c r="R86" i="1"/>
  <c r="AB152" i="1"/>
  <c r="AB150" i="1"/>
  <c r="M188" i="1"/>
  <c r="M184" i="1"/>
  <c r="K178" i="1"/>
  <c r="K43" i="1"/>
  <c r="Q204" i="1"/>
  <c r="AU204" i="1"/>
  <c r="G178" i="1"/>
  <c r="G68" i="1"/>
  <c r="G154" i="1" s="1"/>
  <c r="AP188" i="1"/>
  <c r="AP184" i="1"/>
  <c r="AT188" i="1"/>
  <c r="AT184" i="1"/>
  <c r="AT186" i="1" s="1"/>
  <c r="J150" i="1"/>
  <c r="J158" i="1" s="1"/>
  <c r="J162" i="1" s="1"/>
  <c r="J166" i="1" s="1"/>
  <c r="Z150" i="1"/>
  <c r="Z156" i="1" s="1"/>
  <c r="Z160" i="1" s="1"/>
  <c r="Z164" i="1" s="1"/>
  <c r="X188" i="1"/>
  <c r="X184" i="1"/>
  <c r="X202" i="1"/>
  <c r="X178" i="1"/>
  <c r="AC204" i="1"/>
  <c r="AD188" i="1"/>
  <c r="AD190" i="1" s="1"/>
  <c r="AD184" i="1"/>
  <c r="AD186" i="1" s="1"/>
  <c r="AJ188" i="1"/>
  <c r="AJ184" i="1"/>
  <c r="AJ186" i="1" s="1"/>
  <c r="V150" i="1"/>
  <c r="AD150" i="1"/>
  <c r="AD156" i="1" s="1"/>
  <c r="AD160" i="1" s="1"/>
  <c r="AD164" i="1" s="1"/>
  <c r="AJ150" i="1"/>
  <c r="AN150" i="1"/>
  <c r="J152" i="1"/>
  <c r="H188" i="1"/>
  <c r="H184" i="1"/>
  <c r="P188" i="1"/>
  <c r="P190" i="1" s="1"/>
  <c r="P184" i="1"/>
  <c r="H202" i="1"/>
  <c r="H178" i="1"/>
  <c r="P202" i="1"/>
  <c r="P180" i="1"/>
  <c r="P178" i="1"/>
  <c r="R204" i="1"/>
  <c r="T204" i="1"/>
  <c r="AB204" i="1"/>
  <c r="AB190" i="1"/>
  <c r="V43" i="1"/>
  <c r="L154" i="1"/>
  <c r="L158" i="1" s="1"/>
  <c r="L162" i="1" s="1"/>
  <c r="L166" i="1" s="1"/>
  <c r="N154" i="1"/>
  <c r="V154" i="1"/>
  <c r="Z154" i="1"/>
  <c r="AB154" i="1"/>
  <c r="AD154" i="1"/>
  <c r="AF154" i="1"/>
  <c r="AJ154" i="1"/>
  <c r="AJ158" i="1" s="1"/>
  <c r="AJ162" i="1" s="1"/>
  <c r="AJ166" i="1" s="1"/>
  <c r="AN154" i="1"/>
  <c r="AN158" i="1" s="1"/>
  <c r="AN162" i="1" s="1"/>
  <c r="AN166" i="1" s="1"/>
  <c r="AR154" i="1"/>
  <c r="AT154" i="1"/>
  <c r="U188" i="1"/>
  <c r="U184" i="1"/>
  <c r="U186" i="1" s="1"/>
  <c r="AC188" i="1"/>
  <c r="AC184" i="1"/>
  <c r="AF188" i="1"/>
  <c r="AF190" i="1" s="1"/>
  <c r="AF184" i="1"/>
  <c r="AF186" i="1" s="1"/>
  <c r="AN188" i="1"/>
  <c r="AN190" i="1" s="1"/>
  <c r="AN184" i="1"/>
  <c r="AN186" i="1" s="1"/>
  <c r="AS188" i="1"/>
  <c r="AS184" i="1"/>
  <c r="AS186" i="1" s="1"/>
  <c r="G150" i="1"/>
  <c r="I150" i="1"/>
  <c r="I158" i="1" s="1"/>
  <c r="I162" i="1" s="1"/>
  <c r="I166" i="1" s="1"/>
  <c r="Q150" i="1"/>
  <c r="Q158" i="1" s="1"/>
  <c r="Q162" i="1" s="1"/>
  <c r="Q166" i="1" s="1"/>
  <c r="U150" i="1"/>
  <c r="U158" i="1" s="1"/>
  <c r="U162" i="1" s="1"/>
  <c r="U166" i="1" s="1"/>
  <c r="Y150" i="1"/>
  <c r="Y158" i="1" s="1"/>
  <c r="Y162" i="1" s="1"/>
  <c r="Y166" i="1" s="1"/>
  <c r="AC150" i="1"/>
  <c r="AE150" i="1"/>
  <c r="AE158" i="1" s="1"/>
  <c r="AE162" i="1" s="1"/>
  <c r="AE166" i="1" s="1"/>
  <c r="AG150" i="1"/>
  <c r="AG158" i="1" s="1"/>
  <c r="AG162" i="1" s="1"/>
  <c r="AG166" i="1" s="1"/>
  <c r="AI150" i="1"/>
  <c r="AI158" i="1" s="1"/>
  <c r="AI162" i="1" s="1"/>
  <c r="AI166" i="1" s="1"/>
  <c r="AK150" i="1"/>
  <c r="AK158" i="1" s="1"/>
  <c r="AK162" i="1" s="1"/>
  <c r="AK166" i="1" s="1"/>
  <c r="AM150" i="1"/>
  <c r="AM158" i="1" s="1"/>
  <c r="AM162" i="1" s="1"/>
  <c r="AM166" i="1" s="1"/>
  <c r="AO150" i="1"/>
  <c r="AO158" i="1" s="1"/>
  <c r="AO162" i="1" s="1"/>
  <c r="AO166" i="1" s="1"/>
  <c r="AS150" i="1"/>
  <c r="AU150" i="1"/>
  <c r="I152" i="1"/>
  <c r="Q152" i="1"/>
  <c r="U152" i="1"/>
  <c r="Y152" i="1"/>
  <c r="AC152" i="1"/>
  <c r="AC156" i="1" s="1"/>
  <c r="AC160" i="1" s="1"/>
  <c r="AC164" i="1" s="1"/>
  <c r="AE152" i="1"/>
  <c r="AG152" i="1"/>
  <c r="AI152" i="1"/>
  <c r="AK152" i="1"/>
  <c r="AM152" i="1"/>
  <c r="AO152" i="1"/>
  <c r="AS152" i="1"/>
  <c r="AU152" i="1"/>
  <c r="L202" i="1"/>
  <c r="L182" i="1"/>
  <c r="L180" i="1"/>
  <c r="N202" i="1"/>
  <c r="N182" i="1"/>
  <c r="N180" i="1"/>
  <c r="R202" i="1"/>
  <c r="R182" i="1"/>
  <c r="R180" i="1"/>
  <c r="T202" i="1"/>
  <c r="T182" i="1"/>
  <c r="T180" i="1"/>
  <c r="V202" i="1"/>
  <c r="V182" i="1"/>
  <c r="V180" i="1"/>
  <c r="Z202" i="1"/>
  <c r="Z182" i="1"/>
  <c r="Z180" i="1"/>
  <c r="AB202" i="1"/>
  <c r="AB182" i="1"/>
  <c r="AB180" i="1"/>
  <c r="AD202" i="1"/>
  <c r="AD182" i="1"/>
  <c r="AD180" i="1"/>
  <c r="AF202" i="1"/>
  <c r="AF182" i="1"/>
  <c r="AF180" i="1"/>
  <c r="AH202" i="1"/>
  <c r="AH182" i="1"/>
  <c r="AH180" i="1"/>
  <c r="AJ202" i="1"/>
  <c r="AJ182" i="1"/>
  <c r="AJ180" i="1"/>
  <c r="AL202" i="1"/>
  <c r="AL182" i="1"/>
  <c r="AL180" i="1"/>
  <c r="AN202" i="1"/>
  <c r="AN182" i="1"/>
  <c r="AN180" i="1"/>
  <c r="AP202" i="1"/>
  <c r="AP182" i="1"/>
  <c r="AP180" i="1"/>
  <c r="AR202" i="1"/>
  <c r="AR182" i="1"/>
  <c r="AR180" i="1"/>
  <c r="AT202" i="1"/>
  <c r="AT182" i="1"/>
  <c r="AT180" i="1"/>
  <c r="AV202" i="1"/>
  <c r="AV182" i="1"/>
  <c r="AV180" i="1"/>
  <c r="N178" i="1"/>
  <c r="R178" i="1"/>
  <c r="V178" i="1"/>
  <c r="Z178" i="1"/>
  <c r="AD178" i="1"/>
  <c r="AH178" i="1"/>
  <c r="AL178" i="1"/>
  <c r="AP178" i="1"/>
  <c r="AT178" i="1"/>
  <c r="I186" i="1"/>
  <c r="N186" i="1"/>
  <c r="V186" i="1"/>
  <c r="AH186" i="1"/>
  <c r="J190" i="1"/>
  <c r="R190" i="1"/>
  <c r="T190" i="1"/>
  <c r="Z190" i="1"/>
  <c r="AL190" i="1"/>
  <c r="AR190" i="1"/>
  <c r="J202" i="1"/>
  <c r="J182" i="1"/>
  <c r="J180" i="1"/>
  <c r="L178" i="1"/>
  <c r="T178" i="1"/>
  <c r="AB178" i="1"/>
  <c r="AF178" i="1"/>
  <c r="AJ178" i="1"/>
  <c r="AN178" i="1"/>
  <c r="AR178" i="1"/>
  <c r="AV178" i="1"/>
  <c r="J186" i="1"/>
  <c r="L186" i="1"/>
  <c r="R186" i="1"/>
  <c r="T186" i="1"/>
  <c r="Z186" i="1"/>
  <c r="AB186" i="1"/>
  <c r="AL186" i="1"/>
  <c r="AR186" i="1"/>
  <c r="AV186" i="1"/>
  <c r="N190" i="1"/>
  <c r="V190" i="1"/>
  <c r="AH190" i="1"/>
  <c r="I190" i="1"/>
  <c r="K190" i="1"/>
  <c r="W190" i="1"/>
  <c r="Y190" i="1"/>
  <c r="AA190" i="1"/>
  <c r="AU190" i="1"/>
  <c r="AK202" i="1"/>
  <c r="I178" i="1"/>
  <c r="M178" i="1"/>
  <c r="O178" i="1"/>
  <c r="Q178" i="1"/>
  <c r="S178" i="1"/>
  <c r="U178" i="1"/>
  <c r="W178" i="1"/>
  <c r="Y178" i="1"/>
  <c r="AA178" i="1"/>
  <c r="AC178" i="1"/>
  <c r="AE178" i="1"/>
  <c r="AG178" i="1"/>
  <c r="AI178" i="1"/>
  <c r="AK178" i="1"/>
  <c r="AM178" i="1"/>
  <c r="AO178" i="1"/>
  <c r="AQ178" i="1"/>
  <c r="AS178" i="1"/>
  <c r="AU178" i="1"/>
  <c r="I180" i="1"/>
  <c r="M180" i="1"/>
  <c r="O180" i="1"/>
  <c r="Q180" i="1"/>
  <c r="S180" i="1"/>
  <c r="U180" i="1"/>
  <c r="W180" i="1"/>
  <c r="Y180" i="1"/>
  <c r="AA180" i="1"/>
  <c r="AC180" i="1"/>
  <c r="AE180" i="1"/>
  <c r="AG180" i="1"/>
  <c r="AI180" i="1"/>
  <c r="AK180" i="1"/>
  <c r="AM180" i="1"/>
  <c r="AO180" i="1"/>
  <c r="AQ180" i="1"/>
  <c r="AS180" i="1"/>
  <c r="AU180" i="1"/>
  <c r="I182" i="1"/>
  <c r="M182" i="1"/>
  <c r="O182" i="1"/>
  <c r="Q182" i="1"/>
  <c r="S182" i="1"/>
  <c r="U182" i="1"/>
  <c r="W182" i="1"/>
  <c r="Y182" i="1"/>
  <c r="AA182" i="1"/>
  <c r="AC182" i="1"/>
  <c r="AE182" i="1"/>
  <c r="AG182" i="1"/>
  <c r="AI182" i="1"/>
  <c r="AK182" i="1"/>
  <c r="AM182" i="1"/>
  <c r="AO182" i="1"/>
  <c r="AQ182" i="1"/>
  <c r="AS182" i="1"/>
  <c r="AU182" i="1"/>
  <c r="K186" i="1"/>
  <c r="O186" i="1"/>
  <c r="Q186" i="1"/>
  <c r="S186" i="1"/>
  <c r="W186" i="1"/>
  <c r="Y186" i="1"/>
  <c r="AA186" i="1"/>
  <c r="AE186" i="1"/>
  <c r="AG186" i="1"/>
  <c r="AI186" i="1"/>
  <c r="AK186" i="1"/>
  <c r="AM186" i="1"/>
  <c r="AO186" i="1"/>
  <c r="AQ186" i="1"/>
  <c r="AU186" i="1"/>
  <c r="O190" i="1"/>
  <c r="Q190" i="1"/>
  <c r="S190" i="1"/>
  <c r="AE190" i="1"/>
  <c r="AG190" i="1"/>
  <c r="AI190" i="1"/>
  <c r="AK190" i="1"/>
  <c r="AM190" i="1"/>
  <c r="AO190" i="1"/>
  <c r="AQ190" i="1"/>
  <c r="AS158" i="1" l="1"/>
  <c r="AS162" i="1" s="1"/>
  <c r="AS166" i="1" s="1"/>
  <c r="AQ158" i="1"/>
  <c r="AQ162" i="1" s="1"/>
  <c r="AQ166" i="1" s="1"/>
  <c r="AQ156" i="1"/>
  <c r="AQ160" i="1" s="1"/>
  <c r="AQ164" i="1" s="1"/>
  <c r="U156" i="1"/>
  <c r="U160" i="1" s="1"/>
  <c r="U164" i="1" s="1"/>
  <c r="AB158" i="1"/>
  <c r="AB162" i="1" s="1"/>
  <c r="AB166" i="1" s="1"/>
  <c r="AB156" i="1"/>
  <c r="AB160" i="1" s="1"/>
  <c r="AB164" i="1" s="1"/>
  <c r="R156" i="1"/>
  <c r="R160" i="1" s="1"/>
  <c r="R164" i="1" s="1"/>
  <c r="R158" i="1"/>
  <c r="R162" i="1" s="1"/>
  <c r="R166" i="1" s="1"/>
  <c r="AU158" i="1"/>
  <c r="AU162" i="1" s="1"/>
  <c r="AU166" i="1" s="1"/>
  <c r="AU156" i="1"/>
  <c r="AU160" i="1" s="1"/>
  <c r="AU164" i="1" s="1"/>
  <c r="AR158" i="1"/>
  <c r="AR162" i="1" s="1"/>
  <c r="AR166" i="1" s="1"/>
  <c r="AR156" i="1"/>
  <c r="AR160" i="1" s="1"/>
  <c r="AR164" i="1" s="1"/>
  <c r="AT158" i="1"/>
  <c r="AT162" i="1" s="1"/>
  <c r="AT166" i="1" s="1"/>
  <c r="AV156" i="1"/>
  <c r="AV160" i="1" s="1"/>
  <c r="AV164" i="1" s="1"/>
  <c r="AJ156" i="1"/>
  <c r="AJ160" i="1" s="1"/>
  <c r="AJ164" i="1" s="1"/>
  <c r="AO156" i="1"/>
  <c r="AO160" i="1" s="1"/>
  <c r="AO164" i="1" s="1"/>
  <c r="AK156" i="1"/>
  <c r="AK160" i="1" s="1"/>
  <c r="AK164" i="1" s="1"/>
  <c r="AG156" i="1"/>
  <c r="AG160" i="1" s="1"/>
  <c r="AG164" i="1" s="1"/>
  <c r="AN156" i="1"/>
  <c r="AN160" i="1" s="1"/>
  <c r="AN164" i="1" s="1"/>
  <c r="AF156" i="1"/>
  <c r="AF160" i="1" s="1"/>
  <c r="AF164" i="1" s="1"/>
  <c r="AF158" i="1"/>
  <c r="AF162" i="1" s="1"/>
  <c r="AF166" i="1" s="1"/>
  <c r="Z158" i="1"/>
  <c r="Z162" i="1" s="1"/>
  <c r="Z166" i="1" s="1"/>
  <c r="W156" i="1"/>
  <c r="W160" i="1" s="1"/>
  <c r="W164" i="1" s="1"/>
  <c r="V156" i="1"/>
  <c r="V160" i="1" s="1"/>
  <c r="V164" i="1" s="1"/>
  <c r="V158" i="1"/>
  <c r="V162" i="1" s="1"/>
  <c r="V166" i="1" s="1"/>
  <c r="T156" i="1"/>
  <c r="T160" i="1" s="1"/>
  <c r="T164" i="1" s="1"/>
  <c r="K182" i="1"/>
  <c r="I156" i="1"/>
  <c r="I160" i="1" s="1"/>
  <c r="I164" i="1" s="1"/>
  <c r="S158" i="1"/>
  <c r="S162" i="1" s="1"/>
  <c r="S166" i="1" s="1"/>
  <c r="S156" i="1"/>
  <c r="S160" i="1" s="1"/>
  <c r="S164" i="1" s="1"/>
  <c r="N158" i="1"/>
  <c r="N162" i="1" s="1"/>
  <c r="N166" i="1" s="1"/>
  <c r="O158" i="1"/>
  <c r="O162" i="1" s="1"/>
  <c r="O166" i="1" s="1"/>
  <c r="O156" i="1"/>
  <c r="O160" i="1" s="1"/>
  <c r="O164" i="1" s="1"/>
  <c r="AC158" i="1"/>
  <c r="AC162" i="1" s="1"/>
  <c r="AC166" i="1" s="1"/>
  <c r="AD158" i="1"/>
  <c r="AD162" i="1" s="1"/>
  <c r="AD166" i="1" s="1"/>
  <c r="J156" i="1"/>
  <c r="J160" i="1" s="1"/>
  <c r="J164" i="1" s="1"/>
  <c r="AC186" i="1"/>
  <c r="X204" i="1"/>
  <c r="X152" i="1"/>
  <c r="X150" i="1"/>
  <c r="X158" i="1" s="1"/>
  <c r="X162" i="1" s="1"/>
  <c r="X166" i="1" s="1"/>
  <c r="H204" i="1"/>
  <c r="H152" i="1"/>
  <c r="H150" i="1"/>
  <c r="H158" i="1" s="1"/>
  <c r="H162" i="1" s="1"/>
  <c r="H166" i="1" s="1"/>
  <c r="H190" i="1"/>
  <c r="X180" i="1"/>
  <c r="X190" i="1"/>
  <c r="AP186" i="1"/>
  <c r="G180" i="1"/>
  <c r="M204" i="1"/>
  <c r="M152" i="1"/>
  <c r="M150" i="1"/>
  <c r="M158" i="1" s="1"/>
  <c r="M162" i="1" s="1"/>
  <c r="M166" i="1" s="1"/>
  <c r="M186" i="1"/>
  <c r="G86" i="1"/>
  <c r="H43" i="1"/>
  <c r="AP156" i="1"/>
  <c r="AP160" i="1" s="1"/>
  <c r="AP164" i="1" s="1"/>
  <c r="AS156" i="1"/>
  <c r="AS160" i="1" s="1"/>
  <c r="AS164" i="1" s="1"/>
  <c r="AM156" i="1"/>
  <c r="AM160" i="1" s="1"/>
  <c r="AM164" i="1" s="1"/>
  <c r="AI156" i="1"/>
  <c r="AI160" i="1" s="1"/>
  <c r="AI164" i="1" s="1"/>
  <c r="AE156" i="1"/>
  <c r="AE160" i="1" s="1"/>
  <c r="AE164" i="1" s="1"/>
  <c r="Y156" i="1"/>
  <c r="Y160" i="1" s="1"/>
  <c r="Y164" i="1" s="1"/>
  <c r="Q156" i="1"/>
  <c r="Q160" i="1" s="1"/>
  <c r="Q164" i="1" s="1"/>
  <c r="AS190" i="1"/>
  <c r="AC190" i="1"/>
  <c r="U190" i="1"/>
  <c r="P204" i="1"/>
  <c r="P152" i="1"/>
  <c r="P150" i="1"/>
  <c r="P158" i="1" s="1"/>
  <c r="P162" i="1" s="1"/>
  <c r="P166" i="1" s="1"/>
  <c r="P182" i="1"/>
  <c r="H180" i="1"/>
  <c r="H182" i="1"/>
  <c r="P186" i="1"/>
  <c r="H186" i="1"/>
  <c r="AJ190" i="1"/>
  <c r="X182" i="1"/>
  <c r="X186" i="1"/>
  <c r="AT190" i="1"/>
  <c r="AP190" i="1"/>
  <c r="G182" i="1"/>
  <c r="K204" i="1"/>
  <c r="K152" i="1"/>
  <c r="K150" i="1"/>
  <c r="K158" i="1" s="1"/>
  <c r="K162" i="1" s="1"/>
  <c r="K166" i="1" s="1"/>
  <c r="K180" i="1"/>
  <c r="M190" i="1"/>
  <c r="T158" i="1"/>
  <c r="T162" i="1" s="1"/>
  <c r="T166" i="1" s="1"/>
  <c r="AT156" i="1"/>
  <c r="AT160" i="1" s="1"/>
  <c r="AT164" i="1" s="1"/>
  <c r="AL156" i="1"/>
  <c r="AL160" i="1" s="1"/>
  <c r="AL164" i="1" s="1"/>
  <c r="AA156" i="1"/>
  <c r="AA160" i="1" s="1"/>
  <c r="AA164" i="1" s="1"/>
  <c r="N156" i="1"/>
  <c r="N160" i="1" s="1"/>
  <c r="N164" i="1" s="1"/>
  <c r="L156" i="1"/>
  <c r="L160" i="1" s="1"/>
  <c r="L164" i="1" s="1"/>
  <c r="M43" i="1"/>
  <c r="AH156" i="1"/>
  <c r="AH160" i="1" s="1"/>
  <c r="AH164" i="1" s="1"/>
  <c r="P43" i="1"/>
  <c r="K156" i="1" l="1"/>
  <c r="K160" i="1" s="1"/>
  <c r="K164" i="1" s="1"/>
  <c r="P156" i="1"/>
  <c r="P160" i="1" s="1"/>
  <c r="P164" i="1" s="1"/>
  <c r="X156" i="1"/>
  <c r="X160" i="1" s="1"/>
  <c r="X164" i="1" s="1"/>
  <c r="H156" i="1"/>
  <c r="H160" i="1" s="1"/>
  <c r="H164" i="1" s="1"/>
  <c r="M156" i="1"/>
  <c r="M160" i="1" s="1"/>
  <c r="M164" i="1" s="1"/>
  <c r="G186" i="1" l="1"/>
  <c r="G190" i="1"/>
  <c r="G158" i="1"/>
  <c r="G162" i="1" s="1"/>
  <c r="G166" i="1" s="1"/>
  <c r="G156" i="1"/>
  <c r="G160" i="1" s="1"/>
  <c r="G164" i="1" s="1"/>
  <c r="H35" i="9" l="1"/>
  <c r="H47" i="9"/>
  <c r="H7" i="8"/>
  <c r="H12" i="9"/>
  <c r="H23" i="9"/>
  <c r="H38" i="9"/>
  <c r="H10" i="8"/>
  <c r="H51" i="8"/>
  <c r="H10" i="9"/>
  <c r="H46" i="9"/>
  <c r="E50" i="7" s="1"/>
  <c r="H29" i="9"/>
  <c r="H13" i="9"/>
  <c r="H35" i="8"/>
  <c r="H32" i="8"/>
  <c r="H24" i="9"/>
  <c r="H39" i="8"/>
  <c r="H15" i="8"/>
  <c r="H31" i="8"/>
  <c r="H14" i="9"/>
  <c r="H18" i="9"/>
  <c r="E22" i="7" s="1"/>
  <c r="H37" i="9"/>
  <c r="E13" i="7" s="1"/>
  <c r="H52" i="8"/>
  <c r="H53" i="9"/>
  <c r="H31" i="9"/>
  <c r="H28" i="9"/>
  <c r="H14" i="8"/>
  <c r="H29" i="8"/>
  <c r="H52" i="9"/>
  <c r="H12" i="8"/>
  <c r="H32" i="9"/>
  <c r="H30" i="8"/>
  <c r="H45" i="9"/>
  <c r="H5" i="8"/>
  <c r="H21" i="9"/>
  <c r="H6" i="9"/>
  <c r="H46" i="8"/>
  <c r="H43" i="8"/>
  <c r="H43" i="9"/>
  <c r="H36" i="8"/>
  <c r="H26" i="9"/>
  <c r="H20" i="9"/>
  <c r="H8" i="9"/>
  <c r="H15" i="9"/>
  <c r="H17" i="8"/>
  <c r="H5" i="9"/>
  <c r="H49" i="8"/>
  <c r="H23" i="8"/>
  <c r="E14" i="7" s="1"/>
  <c r="H11" i="9"/>
  <c r="H41" i="9"/>
  <c r="H9" i="9"/>
  <c r="H26" i="8"/>
  <c r="H17" i="9"/>
  <c r="H50" i="7" l="1"/>
  <c r="G50" i="7"/>
  <c r="H22" i="7"/>
  <c r="G22" i="7"/>
  <c r="H14" i="7"/>
  <c r="G14" i="7"/>
  <c r="G13" i="7"/>
  <c r="H13" i="7"/>
  <c r="E43" i="7"/>
  <c r="E17" i="7"/>
  <c r="E11" i="7"/>
  <c r="E32" i="7"/>
  <c r="E16" i="7"/>
  <c r="E52" i="7"/>
  <c r="E10" i="7"/>
  <c r="E30" i="7"/>
  <c r="H34" i="8"/>
  <c r="E24" i="7" s="1"/>
  <c r="H48" i="8"/>
  <c r="H6" i="8"/>
  <c r="E4" i="7" s="1"/>
  <c r="H19" i="9"/>
  <c r="H37" i="8"/>
  <c r="E40" i="7" s="1"/>
  <c r="E6" i="7"/>
  <c r="E34" i="7"/>
  <c r="H20" i="8"/>
  <c r="H16" i="8"/>
  <c r="H9" i="8"/>
  <c r="H25" i="9"/>
  <c r="H33" i="9"/>
  <c r="E5" i="7"/>
  <c r="E9" i="7"/>
  <c r="E41" i="7"/>
  <c r="H38" i="8"/>
  <c r="E28" i="7" s="1"/>
  <c r="H45" i="8"/>
  <c r="E45" i="7" s="1"/>
  <c r="E23" i="7"/>
  <c r="E49" i="7"/>
  <c r="E35" i="7"/>
  <c r="E20" i="7"/>
  <c r="E29" i="7"/>
  <c r="H25" i="8"/>
  <c r="H33" i="8"/>
  <c r="E7" i="7"/>
  <c r="H19" i="8"/>
  <c r="E15" i="7" s="1"/>
  <c r="E21" i="7"/>
  <c r="H24" i="8"/>
  <c r="E31" i="7" s="1"/>
  <c r="H48" i="9"/>
  <c r="H13" i="8"/>
  <c r="H42" i="9"/>
  <c r="H49" i="9"/>
  <c r="G21" i="7" l="1"/>
  <c r="H21" i="7"/>
  <c r="G31" i="7"/>
  <c r="H31" i="7"/>
  <c r="G15" i="7"/>
  <c r="H15" i="7"/>
  <c r="G29" i="7"/>
  <c r="H29" i="7"/>
  <c r="G35" i="7"/>
  <c r="H35" i="7"/>
  <c r="G23" i="7"/>
  <c r="H23" i="7"/>
  <c r="H28" i="7"/>
  <c r="G28" i="7"/>
  <c r="G9" i="7"/>
  <c r="H9" i="7"/>
  <c r="H6" i="7"/>
  <c r="G6" i="7"/>
  <c r="H30" i="7"/>
  <c r="G30" i="7"/>
  <c r="H52" i="7"/>
  <c r="G52" i="7"/>
  <c r="H32" i="7"/>
  <c r="G32" i="7"/>
  <c r="G17" i="7"/>
  <c r="H17" i="7"/>
  <c r="G7" i="7"/>
  <c r="H7" i="7"/>
  <c r="H20" i="7"/>
  <c r="G20" i="7"/>
  <c r="G49" i="7"/>
  <c r="H49" i="7"/>
  <c r="G45" i="7"/>
  <c r="H45" i="7"/>
  <c r="G41" i="7"/>
  <c r="H41" i="7"/>
  <c r="G5" i="7"/>
  <c r="H5" i="7"/>
  <c r="H34" i="7"/>
  <c r="G34" i="7"/>
  <c r="H40" i="7"/>
  <c r="G40" i="7"/>
  <c r="G4" i="7"/>
  <c r="H4" i="7"/>
  <c r="H24" i="7"/>
  <c r="G24" i="7"/>
  <c r="H10" i="7"/>
  <c r="G10" i="7"/>
  <c r="H16" i="7"/>
  <c r="G16" i="7"/>
  <c r="G11" i="7"/>
  <c r="H11" i="7"/>
  <c r="G43" i="7"/>
  <c r="H43" i="7"/>
  <c r="H27" i="9"/>
  <c r="H42" i="8"/>
  <c r="H28" i="8"/>
  <c r="H47" i="8"/>
  <c r="E42" i="7" s="1"/>
  <c r="E33" i="7"/>
  <c r="E12" i="7"/>
  <c r="H18" i="8"/>
  <c r="H44" i="8"/>
  <c r="E48" i="7" s="1"/>
  <c r="E38" i="7"/>
  <c r="H30" i="9"/>
  <c r="E18" i="7"/>
  <c r="H34" i="9"/>
  <c r="H39" i="9"/>
  <c r="H44" i="9"/>
  <c r="E44" i="7" s="1"/>
  <c r="H51" i="9"/>
  <c r="H22" i="9"/>
  <c r="H22" i="8"/>
  <c r="H7" i="9"/>
  <c r="H40" i="9"/>
  <c r="H48" i="7" l="1"/>
  <c r="G48" i="7"/>
  <c r="H12" i="7"/>
  <c r="G12" i="7"/>
  <c r="H42" i="7"/>
  <c r="G42" i="7"/>
  <c r="H44" i="7"/>
  <c r="G44" i="7"/>
  <c r="H18" i="7"/>
  <c r="G18" i="7"/>
  <c r="H38" i="7"/>
  <c r="G38" i="7"/>
  <c r="G33" i="7"/>
  <c r="H33" i="7"/>
  <c r="H8" i="8"/>
  <c r="H11" i="8"/>
  <c r="H50" i="9"/>
  <c r="E39" i="7" s="1"/>
  <c r="H36" i="9"/>
  <c r="E19" i="7" s="1"/>
  <c r="H50" i="8"/>
  <c r="E47" i="7" s="1"/>
  <c r="E8" i="7"/>
  <c r="H53" i="8"/>
  <c r="H27" i="8"/>
  <c r="E51" i="7"/>
  <c r="H41" i="8"/>
  <c r="E37" i="7" s="1"/>
  <c r="H21" i="8"/>
  <c r="E25" i="7" s="1"/>
  <c r="E26" i="7"/>
  <c r="E46" i="7"/>
  <c r="E36" i="7"/>
  <c r="H36" i="7" l="1"/>
  <c r="G36" i="7"/>
  <c r="H26" i="7"/>
  <c r="G26" i="7"/>
  <c r="G37" i="7"/>
  <c r="H37" i="7"/>
  <c r="H8" i="7"/>
  <c r="G8" i="7"/>
  <c r="G19" i="7"/>
  <c r="H19" i="7"/>
  <c r="H46" i="7"/>
  <c r="G46" i="7"/>
  <c r="G25" i="7"/>
  <c r="H25" i="7"/>
  <c r="G51" i="7"/>
  <c r="H51" i="7"/>
  <c r="G47" i="7"/>
  <c r="H47" i="7"/>
  <c r="G39" i="7"/>
  <c r="H39" i="7"/>
  <c r="H16" i="9"/>
  <c r="H40" i="8"/>
  <c r="E27" i="7" l="1"/>
  <c r="G27" i="7" l="1"/>
  <c r="H27" i="7"/>
</calcChain>
</file>

<file path=xl/comments1.xml><?xml version="1.0" encoding="utf-8"?>
<comments xmlns="http://schemas.openxmlformats.org/spreadsheetml/2006/main">
  <authors>
    <author>Itzhaky Shiran</author>
  </authors>
  <commentList>
    <comment ref="AS18" authorId="0">
      <text>
        <r>
          <rPr>
            <b/>
            <sz val="8"/>
            <color indexed="81"/>
            <rFont val="Tahoma"/>
            <family val="2"/>
          </rPr>
          <t>Itzhaky Shiran:</t>
        </r>
        <r>
          <rPr>
            <sz val="8"/>
            <color indexed="81"/>
            <rFont val="Tahoma"/>
            <family val="2"/>
          </rPr>
          <t xml:space="preserve">
כולל ארנונה לשנים 2009-2010 חללוקה לפי קו ישר</t>
        </r>
      </text>
    </comment>
    <comment ref="AU65" authorId="0">
      <text>
        <r>
          <rPr>
            <b/>
            <sz val="8"/>
            <color indexed="81"/>
            <rFont val="Tahoma"/>
            <family val="2"/>
          </rPr>
          <t>Itzhaky Shiran:</t>
        </r>
        <r>
          <rPr>
            <sz val="8"/>
            <color indexed="81"/>
            <rFont val="Tahoma"/>
            <family val="2"/>
          </rPr>
          <t xml:space="preserve">
כולל עלות מפעל קולחין בסך כ-3 מלש"ח</t>
        </r>
      </text>
    </comment>
    <comment ref="AK135" authorId="0">
      <text>
        <r>
          <rPr>
            <b/>
            <sz val="8"/>
            <color indexed="81"/>
            <rFont val="Tahoma"/>
            <family val="2"/>
          </rPr>
          <t>Itzhaky Shiran:</t>
        </r>
        <r>
          <rPr>
            <sz val="8"/>
            <color indexed="81"/>
            <rFont val="Tahoma"/>
            <family val="2"/>
          </rPr>
          <t xml:space="preserve">
נוטרלו הוצאות בגין קנסות
</t>
        </r>
      </text>
    </comment>
  </commentList>
</comments>
</file>

<file path=xl/comments2.xml><?xml version="1.0" encoding="utf-8"?>
<comments xmlns="http://schemas.openxmlformats.org/spreadsheetml/2006/main">
  <authors>
    <author>Itzhaky Shiran</author>
    <author>BackUp</author>
  </authors>
  <commentList>
    <comment ref="AQ18" authorId="0">
      <text>
        <r>
          <rPr>
            <b/>
            <sz val="8"/>
            <color indexed="81"/>
            <rFont val="Tahoma"/>
            <family val="2"/>
          </rPr>
          <t>Itzhaky Shiran:</t>
        </r>
        <r>
          <rPr>
            <sz val="8"/>
            <color indexed="81"/>
            <rFont val="Tahoma"/>
            <family val="2"/>
          </rPr>
          <t xml:space="preserve">
כולל ארנונה לשנים 2009-2010 חללוקה לפי קו ישר</t>
        </r>
      </text>
    </comment>
    <comment ref="AE58" authorId="1">
      <text>
        <r>
          <rPr>
            <b/>
            <sz val="9"/>
            <color indexed="81"/>
            <rFont val="Tahoma"/>
            <family val="2"/>
          </rPr>
          <t>BackUp:</t>
        </r>
        <r>
          <rPr>
            <sz val="9"/>
            <color indexed="81"/>
            <rFont val="Tahoma"/>
            <family val="2"/>
          </rPr>
          <t xml:space="preserve">
לנטרל את מי דן</t>
        </r>
      </text>
    </comment>
    <comment ref="AS65" authorId="0">
      <text>
        <r>
          <rPr>
            <b/>
            <sz val="8"/>
            <color indexed="81"/>
            <rFont val="Tahoma"/>
            <family val="2"/>
          </rPr>
          <t>Itzhaky Shiran:</t>
        </r>
        <r>
          <rPr>
            <sz val="8"/>
            <color indexed="81"/>
            <rFont val="Tahoma"/>
            <family val="2"/>
          </rPr>
          <t xml:space="preserve">
כולל עלות מפעל קולחין בסך כ-3 מלש"ח</t>
        </r>
      </text>
    </comment>
    <comment ref="AI177" authorId="0">
      <text>
        <r>
          <rPr>
            <b/>
            <sz val="8"/>
            <color indexed="81"/>
            <rFont val="Tahoma"/>
            <family val="2"/>
          </rPr>
          <t>Itzhaky Shiran:</t>
        </r>
        <r>
          <rPr>
            <sz val="8"/>
            <color indexed="81"/>
            <rFont val="Tahoma"/>
            <family val="2"/>
          </rPr>
          <t xml:space="preserve">
נוטרלו הוצאות בגין קנסות
</t>
        </r>
      </text>
    </comment>
  </commentList>
</comments>
</file>

<file path=xl/sharedStrings.xml><?xml version="1.0" encoding="utf-8"?>
<sst xmlns="http://schemas.openxmlformats.org/spreadsheetml/2006/main" count="967" uniqueCount="271">
  <si>
    <t>***לא מבוקר</t>
  </si>
  <si>
    <t>שם תאגיד</t>
  </si>
  <si>
    <t>מי אריאל (אריאל)</t>
  </si>
  <si>
    <t>מי עירון</t>
  </si>
  <si>
    <t>פלג הגליל</t>
  </si>
  <si>
    <t>הוד השרון</t>
  </si>
  <si>
    <t>מי מודיעין (מודיעין)</t>
  </si>
  <si>
    <t>מי ציונה</t>
  </si>
  <si>
    <t>קריית אונו</t>
  </si>
  <si>
    <t>מי חדרה</t>
  </si>
  <si>
    <t>מי שבע</t>
  </si>
  <si>
    <t>קריית אתא</t>
  </si>
  <si>
    <t>מניב ראשון (ראשון)</t>
  </si>
  <si>
    <t>מי לוד</t>
  </si>
  <si>
    <t>מי שקמה</t>
  </si>
  <si>
    <t>עין נטפים (אילת)</t>
  </si>
  <si>
    <t>רמת השרון</t>
  </si>
  <si>
    <t>הרצליה</t>
  </si>
  <si>
    <t>מי השרון</t>
  </si>
  <si>
    <t>מי רקת</t>
  </si>
  <si>
    <t>רהט</t>
  </si>
  <si>
    <t>הגיחון (ירושלים)</t>
  </si>
  <si>
    <t>חיפה</t>
  </si>
  <si>
    <t>ימים</t>
  </si>
  <si>
    <t>באר מים חיים</t>
  </si>
  <si>
    <t>עין אפק</t>
  </si>
  <si>
    <t>סובב שפרעם</t>
  </si>
  <si>
    <t>גבעתיים</t>
  </si>
  <si>
    <t>תל אביב ב</t>
  </si>
  <si>
    <t>מי גליל</t>
  </si>
  <si>
    <t>מי יבנה</t>
  </si>
  <si>
    <t>אל עין</t>
  </si>
  <si>
    <t>כפרי הגליל התחתון</t>
  </si>
  <si>
    <t>בית שמש</t>
  </si>
  <si>
    <t>מי דרום</t>
  </si>
  <si>
    <t>התנור</t>
  </si>
  <si>
    <t>בת ים</t>
  </si>
  <si>
    <t>מי נע (נצרת)</t>
  </si>
  <si>
    <t>מיתב (פתח תקווה)</t>
  </si>
  <si>
    <t>עכו</t>
  </si>
  <si>
    <t>רעננה</t>
  </si>
  <si>
    <t>קריית גת</t>
  </si>
  <si>
    <t>21.1.1</t>
  </si>
  <si>
    <t>.21.1</t>
  </si>
  <si>
    <r>
      <t xml:space="preserve"> </t>
    </r>
    <r>
      <rPr>
        <b/>
        <u/>
        <sz val="12"/>
        <rFont val="David"/>
        <family val="2"/>
        <charset val="177"/>
      </rPr>
      <t>רווח (הפסד) גולמי מאספקת מים</t>
    </r>
  </si>
  <si>
    <t>הכנסות -</t>
  </si>
  <si>
    <t>מאגרות מים</t>
  </si>
  <si>
    <t>מהיטלי מים</t>
  </si>
  <si>
    <t>***</t>
  </si>
  <si>
    <t>21.1.2</t>
  </si>
  <si>
    <t>עלויות אספקת מים -</t>
  </si>
  <si>
    <t xml:space="preserve"> משכורות ונלוות</t>
  </si>
  <si>
    <t>רכישת המים ממקורות</t>
  </si>
  <si>
    <t>אחזקת רשת המים</t>
  </si>
  <si>
    <t>היטלי הפקה</t>
  </si>
  <si>
    <t xml:space="preserve"> אנרגיה</t>
  </si>
  <si>
    <t xml:space="preserve"> קבלני משנה</t>
  </si>
  <si>
    <t xml:space="preserve"> חומרים</t>
  </si>
  <si>
    <t>ארנונה</t>
  </si>
  <si>
    <t>ביטוח</t>
  </si>
  <si>
    <t xml:space="preserve"> הוצאות אחרות (לפרט)</t>
  </si>
  <si>
    <t xml:space="preserve"> פחת</t>
  </si>
  <si>
    <t>אחזקת רכב</t>
  </si>
  <si>
    <t>נציבות מים בגין הקצבות לחקלאות ותעשייה</t>
  </si>
  <si>
    <t>הוצאות מוני מים-אילן</t>
  </si>
  <si>
    <t>21.1.3</t>
  </si>
  <si>
    <t>עלויות הפקה -</t>
  </si>
  <si>
    <t xml:space="preserve"> רכישת מים ממקורות</t>
  </si>
  <si>
    <t>היטל הפקה</t>
  </si>
  <si>
    <t>רווח (הפסד) גולמי מאספקת מים</t>
  </si>
  <si>
    <t>.21.2</t>
  </si>
  <si>
    <r>
      <t xml:space="preserve"> </t>
    </r>
    <r>
      <rPr>
        <b/>
        <u/>
        <sz val="12"/>
        <rFont val="David"/>
        <family val="2"/>
        <charset val="177"/>
      </rPr>
      <t>רווח (הפסד) גולמי משירותי ביוב</t>
    </r>
  </si>
  <si>
    <t>הרכב:</t>
  </si>
  <si>
    <t>לשנה שנסתיימה ביום 31 בדצמבר</t>
  </si>
  <si>
    <t>21.2.1</t>
  </si>
  <si>
    <t xml:space="preserve"> מאגרות ביוב</t>
  </si>
  <si>
    <t xml:space="preserve"> מהיטלי ביוב</t>
  </si>
  <si>
    <t>מט"ש</t>
  </si>
  <si>
    <t>21.2.2</t>
  </si>
  <si>
    <t>עלויות איסוף והולכת שפכים -</t>
  </si>
  <si>
    <t>אנרגיה</t>
  </si>
  <si>
    <t>אחזקת רשת ביוב</t>
  </si>
  <si>
    <t>עלות טיהור שפכים</t>
  </si>
  <si>
    <t>אחזקת מט"ש</t>
  </si>
  <si>
    <t>שונות</t>
  </si>
  <si>
    <t>*</t>
  </si>
  <si>
    <t>21.2.3</t>
  </si>
  <si>
    <t>עלויות טיהור שפכים</t>
  </si>
  <si>
    <t>פינוי ביצה</t>
  </si>
  <si>
    <t xml:space="preserve"> הוצאות אחרות (אחזקה)</t>
  </si>
  <si>
    <t>******</t>
  </si>
  <si>
    <t>בניכוי:</t>
  </si>
  <si>
    <t>הכנסות ממכירת שפכים מטוהרים</t>
  </si>
  <si>
    <t>רווח (הפסד) גולמי משירותי ביוב</t>
  </si>
  <si>
    <t xml:space="preserve"> הוספת מלל לתיאור ההתחשבנות בנוגע לטיהור שפכים</t>
  </si>
  <si>
    <t>.21.3</t>
  </si>
  <si>
    <t>רווח (הפסד) גולמי מתחזוקה שוטפת של מערכות תיעול וניקוז עירוניות</t>
  </si>
  <si>
    <t>הכנסות</t>
  </si>
  <si>
    <t>הוצאות</t>
  </si>
  <si>
    <t>סה"כ</t>
  </si>
  <si>
    <t>.21.4</t>
  </si>
  <si>
    <t>רווח (הפסד) גולמי אחרות</t>
  </si>
  <si>
    <t>21.4.1</t>
  </si>
  <si>
    <t>הכנסות-</t>
  </si>
  <si>
    <t xml:space="preserve">ממזמיני עבודה </t>
  </si>
  <si>
    <t>מעמלות מגביית היטל בצורת</t>
  </si>
  <si>
    <t>אחרות</t>
  </si>
  <si>
    <t>ביאור 22 - עלויות גבייה וחובות מסופקים</t>
  </si>
  <si>
    <t>הוצאות גבייה</t>
  </si>
  <si>
    <t>הפרשה לחובות מסופקים ואבודים</t>
  </si>
  <si>
    <t>הוצ' שכר</t>
  </si>
  <si>
    <t>עמלות כרטיסי אשראי</t>
  </si>
  <si>
    <t>עמלות בנק הדואר</t>
  </si>
  <si>
    <t>הפקת חשבונות</t>
  </si>
  <si>
    <t>משרדיות ואחרות</t>
  </si>
  <si>
    <t>מיכון</t>
  </si>
  <si>
    <t>קריאות מדי מים</t>
  </si>
  <si>
    <t>ביאור 23</t>
  </si>
  <si>
    <t>-</t>
  </si>
  <si>
    <t>הוצאות הנהלה וכלליות</t>
  </si>
  <si>
    <t>משכורות ונלוות</t>
  </si>
  <si>
    <t>קבלני משנה</t>
  </si>
  <si>
    <t>הוצאות משרדיות</t>
  </si>
  <si>
    <t>דמי שכירות</t>
  </si>
  <si>
    <t>מסים עירוניים</t>
  </si>
  <si>
    <t>הוצאות אחרות</t>
  </si>
  <si>
    <t>פחת</t>
  </si>
  <si>
    <t>יעוץ מקצועי</t>
  </si>
  <si>
    <t>אחזקת כלי רכב</t>
  </si>
  <si>
    <t>מוקד עירוני</t>
  </si>
  <si>
    <t>שכ"ד</t>
  </si>
  <si>
    <t>סה"כ תפעול</t>
  </si>
  <si>
    <t>תפעול מים</t>
  </si>
  <si>
    <t>תפעול ביוב</t>
  </si>
  <si>
    <t>ייחוס הנה"כ לתפעול מים</t>
  </si>
  <si>
    <t>ייחוס הנה"כ לתפעול ביוב</t>
  </si>
  <si>
    <t>סה"כ תפעול מים כולל הוצאות הנה"כ</t>
  </si>
  <si>
    <t>סה"כ תפעול ביוב כולל הוצאות הנה"כ</t>
  </si>
  <si>
    <t>הוצאות תפעול מים לק"ב</t>
  </si>
  <si>
    <t>הוצאות תפעול ביוב לק"ב</t>
  </si>
  <si>
    <t>כמויות מים 2010</t>
  </si>
  <si>
    <t>כמות ביוב 2010</t>
  </si>
  <si>
    <t>אשכול חברתי</t>
  </si>
  <si>
    <t>מחזור הכנסות</t>
  </si>
  <si>
    <t>עלויות אנרגיה</t>
  </si>
  <si>
    <t>אנרגיה מתוך סה"כ הכנסות</t>
  </si>
  <si>
    <t>אנרגיה מתוך סה"כ עלויות</t>
  </si>
  <si>
    <t>אנרגיה מתוך סה" עלות ללא מקורות</t>
  </si>
  <si>
    <t>הוצאות שכר</t>
  </si>
  <si>
    <t>הוצאות שכר מסך העלות</t>
  </si>
  <si>
    <t>הוצאות שכר ללא קבלני משנה</t>
  </si>
  <si>
    <t>הוצאות שכר מסך העלות ללא קבלני משנה</t>
  </si>
  <si>
    <t>מספר תושבים</t>
  </si>
  <si>
    <t>פחת מים מוכר</t>
  </si>
  <si>
    <t>פחת מים 2011</t>
  </si>
  <si>
    <t>פחת גביה מוכר</t>
  </si>
  <si>
    <t>פחת גביה 2011</t>
  </si>
  <si>
    <t>רכישות רכוש קבוע מים לשנת 2010</t>
  </si>
  <si>
    <t>גריעות רכוש קבוע מים לשנת 2010</t>
  </si>
  <si>
    <t>היטלי פיתוח מים 2010</t>
  </si>
  <si>
    <t>היטלי פיתוח ביוב לשנת 2010</t>
  </si>
  <si>
    <t>רכישות רכוש קבוע ביוב לשנת 2010</t>
  </si>
  <si>
    <t>גריעות רכוש קבוע ביוב לשנת 2010</t>
  </si>
  <si>
    <t>היטלי פיתוח ביוב לשנת 2011</t>
  </si>
  <si>
    <t>משלוח חיובים</t>
  </si>
  <si>
    <t>אכיפה</t>
  </si>
  <si>
    <t>טלפון ותקשורת</t>
  </si>
  <si>
    <t>שמירה</t>
  </si>
  <si>
    <t>חשמל</t>
  </si>
  <si>
    <t>איגוד ערים</t>
  </si>
  <si>
    <t>טיהור בארות</t>
  </si>
  <si>
    <t>עין כרמים</t>
  </si>
  <si>
    <t>מעיינות זיו</t>
  </si>
  <si>
    <t>מי נתניה</t>
  </si>
  <si>
    <t>יובלים אשדוד</t>
  </si>
  <si>
    <t>הרי נצרת</t>
  </si>
  <si>
    <t>נווה מדבר</t>
  </si>
  <si>
    <t>מיתב פ"ת</t>
  </si>
  <si>
    <t>מי הוד השרון</t>
  </si>
  <si>
    <t>הוצאות מוני מים</t>
  </si>
  <si>
    <t>מי אביבים</t>
  </si>
  <si>
    <t>כמויות מים 2011</t>
  </si>
  <si>
    <t>כמות ביוב 2011</t>
  </si>
  <si>
    <t>מספר</t>
  </si>
  <si>
    <t>אוכלוסיה</t>
  </si>
  <si>
    <t>תקבולים</t>
  </si>
  <si>
    <t>צריכה</t>
  </si>
  <si>
    <t xml:space="preserve">סה"כ </t>
  </si>
  <si>
    <t xml:space="preserve">צר' סגולית </t>
  </si>
  <si>
    <t>צר' סגולית</t>
  </si>
  <si>
    <t>סידורי</t>
  </si>
  <si>
    <t>שם התאגיד</t>
  </si>
  <si>
    <t>צרכן</t>
  </si>
  <si>
    <t>הפקה</t>
  </si>
  <si>
    <t>קניה</t>
  </si>
  <si>
    <t>במגורים</t>
  </si>
  <si>
    <t>עירונית</t>
  </si>
  <si>
    <t>תעשייתית</t>
  </si>
  <si>
    <t>חקלאית</t>
  </si>
  <si>
    <t>מגורים</t>
  </si>
  <si>
    <t>נפש</t>
  </si>
  <si>
    <t>מ"ק</t>
  </si>
  <si>
    <t>%</t>
  </si>
  <si>
    <t>מ"ק/נ/שנה</t>
  </si>
  <si>
    <t>חסר</t>
  </si>
  <si>
    <t>מי אשקלון</t>
  </si>
  <si>
    <t>מעיינות העמקים</t>
  </si>
  <si>
    <t>מי מוצקין</t>
  </si>
  <si>
    <t>תמ"ר רמלה</t>
  </si>
  <si>
    <t>גינון ציבורי</t>
  </si>
  <si>
    <t>מוסדות</t>
  </si>
  <si>
    <t>בתי חולים</t>
  </si>
  <si>
    <t>בתי מרחץ</t>
  </si>
  <si>
    <t xml:space="preserve">מסחר </t>
  </si>
  <si>
    <t>בנייה</t>
  </si>
  <si>
    <t>רשות מקומית</t>
  </si>
  <si>
    <t>ומקוואות</t>
  </si>
  <si>
    <t>ומלאכה</t>
  </si>
  <si>
    <t>אחרת</t>
  </si>
  <si>
    <t>מעיינות המשולש</t>
  </si>
  <si>
    <t>חברת הגיחון בע"מ תאגיד המים והביוב של ירושלים</t>
  </si>
  <si>
    <t>הרי נצרת מפעלי מים וביוב בע"מ</t>
  </si>
  <si>
    <t>התנור מים וביוב בע"מ</t>
  </si>
  <si>
    <t>יובלים אשדוד בע"מ</t>
  </si>
  <si>
    <t>יובלים בשומרון בע"מ</t>
  </si>
  <si>
    <t>כפרי גליל תחתון בע"מ</t>
  </si>
  <si>
    <t>מי ברק בע"מ</t>
  </si>
  <si>
    <t>מי חדרה בע"מ</t>
  </si>
  <si>
    <t>מי לוד בע"מ</t>
  </si>
  <si>
    <t>מי נע חברת המים והביוב של עיריית נצרת עילית בע"מ</t>
  </si>
  <si>
    <t>מי נתניה (2003) בע"מ</t>
  </si>
  <si>
    <t>מי עירון בע"מ</t>
  </si>
  <si>
    <t>מי ציונה בע"מ</t>
  </si>
  <si>
    <t>מי רקת טבריה בע"מ</t>
  </si>
  <si>
    <t>מי שבע תאגיד המים והביוב לבאר שבע בע"מ</t>
  </si>
  <si>
    <t>מי שקמה תאגיד המים והביוב בע"מ</t>
  </si>
  <si>
    <t>מיתב מים תיעול וביוב בע"מ</t>
  </si>
  <si>
    <t>מניב ראשון בע"מ</t>
  </si>
  <si>
    <t>עין נטפים מפעלי מים וביוב אילת בע"מ</t>
  </si>
  <si>
    <t>פלג הגליל החברה האזורית למים וביוב בע"מ</t>
  </si>
  <si>
    <t>מי מודיעין</t>
  </si>
  <si>
    <t>פלגי השרון</t>
  </si>
  <si>
    <t>רשימת תאגידים</t>
  </si>
  <si>
    <t>מעיינות אתא</t>
  </si>
  <si>
    <t>מי רעננה</t>
  </si>
  <si>
    <t>מי קריית גת</t>
  </si>
  <si>
    <t>מי הרצליה</t>
  </si>
  <si>
    <t>שרונים</t>
  </si>
  <si>
    <t>מי כרמל</t>
  </si>
  <si>
    <t>מי רהט</t>
  </si>
  <si>
    <t>מעיינות השרון</t>
  </si>
  <si>
    <t>מי גבעתיים</t>
  </si>
  <si>
    <t>מי קריית אונו</t>
  </si>
  <si>
    <t>מי עכו</t>
  </si>
  <si>
    <t>מעיינות הדרום</t>
  </si>
  <si>
    <t>מי שמש</t>
  </si>
  <si>
    <t>עלות תפעול מים</t>
  </si>
  <si>
    <t>כמות מים (מלמ"ק)</t>
  </si>
  <si>
    <t>כמות ביוב (מלמ"ק)</t>
  </si>
  <si>
    <t>*** כמויות הביוב- הינן כמויות המים בניכוי חקלאות וגינון</t>
  </si>
  <si>
    <t>ממוצע משוקלל</t>
  </si>
  <si>
    <t>מי בת ים</t>
  </si>
  <si>
    <t>עלות תפעול ביוב</t>
  </si>
  <si>
    <t>עלויות תפעול בתאגידים בפועל בשנת 2011</t>
  </si>
  <si>
    <t>עלות מוכרת בתעריף</t>
  </si>
  <si>
    <t>מי כרמיאל</t>
  </si>
  <si>
    <t>מי נתניה (נתניה)</t>
  </si>
  <si>
    <t>מעלות</t>
  </si>
  <si>
    <t>עלות תפעול בשנת 2012</t>
  </si>
  <si>
    <t>הפרש</t>
  </si>
  <si>
    <t>הפרש באחוזים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</si>
</sst>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 * #,##0.00_ ;_ * \-#,##0.00_ ;_ * &quot;-&quot;??_ ;_ @_ "/>
    <numFmt numFmtId="164" formatCode="#,##0;\(#,##0\)"/>
    <numFmt numFmtId="165" formatCode="#,##0.00;\(#,##0.00\)"/>
    <numFmt numFmtId="166" formatCode="#,##0.000;\(#,##0.000\)"/>
    <numFmt numFmtId="167" formatCode="#,##0.0000;\(#,##0.0000\)"/>
    <numFmt numFmtId="168" formatCode="0.0"/>
    <numFmt numFmtId="169" formatCode="#,##0.000"/>
    <numFmt numFmtId="170" formatCode="0.000"/>
    <numFmt numFmtId="171" formatCode="_ * #,##0_ ;_ * \-#,##0_ ;_ * &quot;-&quot;??_ ;_ @_ "/>
    <numFmt numFmtId="172" formatCode="_ * #,##0.000_ ;_ * \-#,##0.000_ ;_ * &quot;-&quot;??_ ;_ @_ "/>
  </numFmts>
  <fonts count="21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sz val="12"/>
      <name val="David"/>
      <family val="2"/>
      <charset val="177"/>
    </font>
    <font>
      <b/>
      <u/>
      <sz val="10"/>
      <name val="Arial"/>
      <family val="2"/>
    </font>
    <font>
      <sz val="10"/>
      <name val="David"/>
      <family val="2"/>
      <charset val="177"/>
    </font>
    <font>
      <sz val="12"/>
      <color indexed="62"/>
      <name val="David"/>
      <family val="2"/>
      <charset val="177"/>
    </font>
    <font>
      <sz val="11"/>
      <color indexed="62"/>
      <name val="David"/>
      <family val="2"/>
      <charset val="177"/>
    </font>
    <font>
      <b/>
      <sz val="12"/>
      <name val="David"/>
      <family val="2"/>
      <charset val="177"/>
    </font>
    <font>
      <b/>
      <u val="singleAccounting"/>
      <sz val="12"/>
      <name val="David"/>
      <family val="2"/>
      <charset val="177"/>
    </font>
    <font>
      <b/>
      <u/>
      <sz val="12"/>
      <name val="David"/>
      <family val="2"/>
      <charset val="177"/>
    </font>
    <font>
      <sz val="11"/>
      <name val="David"/>
      <family val="2"/>
      <charset val="177"/>
    </font>
    <font>
      <sz val="12"/>
      <color indexed="8"/>
      <name val="David"/>
      <family val="2"/>
      <charset val="177"/>
    </font>
    <font>
      <sz val="12"/>
      <color indexed="10"/>
      <name val="David"/>
      <family val="2"/>
      <charset val="177"/>
    </font>
    <font>
      <u/>
      <sz val="12"/>
      <name val="David"/>
      <family val="2"/>
      <charset val="177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9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8">
    <xf numFmtId="0" fontId="0" fillId="0" borderId="0" xfId="0"/>
    <xf numFmtId="164" fontId="0" fillId="2" borderId="0" xfId="0" applyNumberFormat="1" applyFill="1"/>
    <xf numFmtId="164" fontId="0" fillId="3" borderId="0" xfId="0" applyNumberFormat="1" applyFill="1"/>
    <xf numFmtId="164" fontId="2" fillId="4" borderId="0" xfId="0" applyNumberFormat="1" applyFont="1" applyFill="1"/>
    <xf numFmtId="164" fontId="0" fillId="5" borderId="0" xfId="0" applyNumberFormat="1" applyFill="1"/>
    <xf numFmtId="164" fontId="3" fillId="2" borderId="0" xfId="0" applyNumberFormat="1" applyFont="1" applyFill="1" applyAlignment="1">
      <alignment horizontal="right" readingOrder="2"/>
    </xf>
    <xf numFmtId="164" fontId="3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4" fillId="3" borderId="0" xfId="0" applyFont="1" applyFill="1"/>
    <xf numFmtId="164" fontId="3" fillId="3" borderId="0" xfId="0" applyNumberFormat="1" applyFont="1" applyFill="1" applyAlignment="1">
      <alignment horizontal="right"/>
    </xf>
    <xf numFmtId="0" fontId="4" fillId="5" borderId="0" xfId="0" applyFont="1" applyFill="1"/>
    <xf numFmtId="0" fontId="4" fillId="6" borderId="0" xfId="0" applyFont="1" applyFill="1"/>
    <xf numFmtId="164" fontId="5" fillId="2" borderId="0" xfId="0" applyNumberFormat="1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164" fontId="7" fillId="2" borderId="0" xfId="0" applyNumberFormat="1" applyFont="1" applyFill="1" applyAlignment="1">
      <alignment horizontal="right"/>
    </xf>
    <xf numFmtId="164" fontId="8" fillId="2" borderId="0" xfId="0" applyNumberFormat="1" applyFont="1" applyFill="1" applyAlignment="1">
      <alignment horizontal="right"/>
    </xf>
    <xf numFmtId="1" fontId="8" fillId="7" borderId="1" xfId="0" applyNumberFormat="1" applyFont="1" applyFill="1" applyBorder="1" applyAlignment="1">
      <alignment horizontal="center"/>
    </xf>
    <xf numFmtId="1" fontId="8" fillId="3" borderId="1" xfId="0" applyNumberFormat="1" applyFont="1" applyFill="1" applyBorder="1" applyAlignment="1">
      <alignment horizontal="center"/>
    </xf>
    <xf numFmtId="1" fontId="8" fillId="5" borderId="1" xfId="0" applyNumberFormat="1" applyFont="1" applyFill="1" applyBorder="1" applyAlignment="1">
      <alignment horizontal="center"/>
    </xf>
    <xf numFmtId="164" fontId="9" fillId="2" borderId="0" xfId="0" applyNumberFormat="1" applyFont="1" applyFill="1" applyBorder="1" applyAlignment="1">
      <alignment horizontal="right" readingOrder="2"/>
    </xf>
    <xf numFmtId="164" fontId="8" fillId="2" borderId="0" xfId="0" applyNumberFormat="1" applyFont="1" applyFill="1" applyBorder="1" applyAlignment="1">
      <alignment horizontal="right" vertical="top" readingOrder="2"/>
    </xf>
    <xf numFmtId="164" fontId="3" fillId="5" borderId="0" xfId="0" applyNumberFormat="1" applyFont="1" applyFill="1" applyAlignment="1">
      <alignment horizontal="right"/>
    </xf>
    <xf numFmtId="164" fontId="3" fillId="7" borderId="2" xfId="0" applyNumberFormat="1" applyFont="1" applyFill="1" applyBorder="1" applyAlignment="1" applyProtection="1">
      <alignment horizontal="center"/>
      <protection locked="0"/>
    </xf>
    <xf numFmtId="164" fontId="3" fillId="3" borderId="2" xfId="0" applyNumberFormat="1" applyFont="1" applyFill="1" applyBorder="1" applyAlignment="1" applyProtection="1">
      <alignment horizontal="center"/>
      <protection locked="0"/>
    </xf>
    <xf numFmtId="164" fontId="3" fillId="5" borderId="2" xfId="0" applyNumberFormat="1" applyFont="1" applyFill="1" applyBorder="1" applyAlignment="1" applyProtection="1">
      <alignment horizontal="center"/>
      <protection locked="0"/>
    </xf>
    <xf numFmtId="164" fontId="3" fillId="7" borderId="0" xfId="0" applyNumberFormat="1" applyFont="1" applyFill="1" applyBorder="1" applyAlignment="1" applyProtection="1">
      <alignment horizontal="center"/>
      <protection locked="0"/>
    </xf>
    <xf numFmtId="164" fontId="3" fillId="3" borderId="0" xfId="0" applyNumberFormat="1" applyFont="1" applyFill="1" applyBorder="1" applyAlignment="1" applyProtection="1">
      <alignment horizontal="center"/>
      <protection locked="0"/>
    </xf>
    <xf numFmtId="164" fontId="3" fillId="5" borderId="0" xfId="0" applyNumberFormat="1" applyFont="1" applyFill="1" applyBorder="1" applyAlignment="1" applyProtection="1">
      <alignment horizontal="center"/>
      <protection locked="0"/>
    </xf>
    <xf numFmtId="164" fontId="8" fillId="7" borderId="3" xfId="0" applyNumberFormat="1" applyFont="1" applyFill="1" applyBorder="1" applyAlignment="1">
      <alignment horizontal="center"/>
    </xf>
    <xf numFmtId="164" fontId="8" fillId="3" borderId="3" xfId="0" applyNumberFormat="1" applyFont="1" applyFill="1" applyBorder="1" applyAlignment="1">
      <alignment horizontal="center"/>
    </xf>
    <xf numFmtId="164" fontId="8" fillId="5" borderId="3" xfId="0" applyNumberFormat="1" applyFont="1" applyFill="1" applyBorder="1" applyAlignment="1">
      <alignment horizontal="center"/>
    </xf>
    <xf numFmtId="164" fontId="11" fillId="2" borderId="0" xfId="0" applyNumberFormat="1" applyFont="1" applyFill="1" applyAlignment="1">
      <alignment horizontal="right"/>
    </xf>
    <xf numFmtId="164" fontId="3" fillId="2" borderId="0" xfId="0" applyNumberFormat="1" applyFont="1" applyFill="1" applyAlignment="1">
      <alignment horizontal="center"/>
    </xf>
    <xf numFmtId="164" fontId="3" fillId="3" borderId="0" xfId="0" applyNumberFormat="1" applyFont="1" applyFill="1" applyAlignment="1">
      <alignment horizontal="center"/>
    </xf>
    <xf numFmtId="164" fontId="3" fillId="5" borderId="0" xfId="0" applyNumberFormat="1" applyFont="1" applyFill="1" applyAlignment="1">
      <alignment horizontal="center"/>
    </xf>
    <xf numFmtId="164" fontId="3" fillId="2" borderId="0" xfId="0" applyNumberFormat="1" applyFont="1" applyFill="1" applyAlignment="1"/>
    <xf numFmtId="164" fontId="12" fillId="2" borderId="0" xfId="0" applyNumberFormat="1" applyFont="1" applyFill="1" applyAlignment="1" applyProtection="1">
      <protection locked="0"/>
    </xf>
    <xf numFmtId="164" fontId="12" fillId="2" borderId="0" xfId="0" applyNumberFormat="1" applyFont="1" applyFill="1" applyAlignment="1">
      <alignment horizontal="right"/>
    </xf>
    <xf numFmtId="164" fontId="3" fillId="7" borderId="3" xfId="0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4" fontId="3" fillId="5" borderId="3" xfId="0" applyNumberFormat="1" applyFont="1" applyFill="1" applyBorder="1" applyAlignment="1">
      <alignment horizontal="center"/>
    </xf>
    <xf numFmtId="164" fontId="3" fillId="2" borderId="0" xfId="0" applyNumberFormat="1" applyFont="1" applyFill="1" applyBorder="1" applyAlignment="1">
      <alignment horizontal="center"/>
    </xf>
    <xf numFmtId="164" fontId="3" fillId="3" borderId="0" xfId="0" applyNumberFormat="1" applyFont="1" applyFill="1" applyBorder="1" applyAlignment="1">
      <alignment horizontal="center"/>
    </xf>
    <xf numFmtId="164" fontId="3" fillId="5" borderId="0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4" fontId="3" fillId="5" borderId="4" xfId="0" applyNumberFormat="1" applyFont="1" applyFill="1" applyBorder="1" applyAlignment="1">
      <alignment horizontal="center"/>
    </xf>
    <xf numFmtId="164" fontId="3" fillId="7" borderId="5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164" fontId="3" fillId="5" borderId="5" xfId="0" applyNumberFormat="1" applyFont="1" applyFill="1" applyBorder="1" applyAlignment="1">
      <alignment horizontal="center"/>
    </xf>
    <xf numFmtId="164" fontId="3" fillId="2" borderId="0" xfId="0" applyNumberFormat="1" applyFont="1" applyFill="1" applyBorder="1" applyAlignment="1">
      <alignment horizontal="right"/>
    </xf>
    <xf numFmtId="164" fontId="3" fillId="3" borderId="0" xfId="0" applyNumberFormat="1" applyFont="1" applyFill="1" applyBorder="1" applyAlignment="1">
      <alignment horizontal="right"/>
    </xf>
    <xf numFmtId="164" fontId="3" fillId="5" borderId="0" xfId="0" applyNumberFormat="1" applyFont="1" applyFill="1" applyBorder="1" applyAlignment="1">
      <alignment horizontal="right"/>
    </xf>
    <xf numFmtId="164" fontId="8" fillId="2" borderId="0" xfId="0" applyNumberFormat="1" applyFont="1" applyFill="1" applyBorder="1" applyAlignment="1">
      <alignment horizontal="right" readingOrder="2"/>
    </xf>
    <xf numFmtId="164" fontId="5" fillId="3" borderId="0" xfId="0" applyNumberFormat="1" applyFont="1" applyFill="1" applyAlignment="1">
      <alignment horizontal="right"/>
    </xf>
    <xf numFmtId="164" fontId="5" fillId="5" borderId="0" xfId="0" applyNumberFormat="1" applyFont="1" applyFill="1" applyAlignment="1">
      <alignment horizontal="right"/>
    </xf>
    <xf numFmtId="164" fontId="13" fillId="2" borderId="0" xfId="0" applyNumberFormat="1" applyFont="1" applyFill="1" applyAlignment="1" applyProtection="1">
      <alignment horizontal="right"/>
      <protection locked="0"/>
    </xf>
    <xf numFmtId="164" fontId="3" fillId="7" borderId="6" xfId="0" applyNumberFormat="1" applyFont="1" applyFill="1" applyBorder="1" applyAlignment="1" applyProtection="1">
      <alignment horizontal="center"/>
      <protection locked="0"/>
    </xf>
    <xf numFmtId="164" fontId="3" fillId="3" borderId="6" xfId="0" applyNumberFormat="1" applyFont="1" applyFill="1" applyBorder="1" applyAlignment="1" applyProtection="1">
      <alignment horizontal="center"/>
      <protection locked="0"/>
    </xf>
    <xf numFmtId="164" fontId="3" fillId="5" borderId="6" xfId="0" applyNumberFormat="1" applyFont="1" applyFill="1" applyBorder="1" applyAlignment="1" applyProtection="1">
      <alignment horizontal="center"/>
      <protection locked="0"/>
    </xf>
    <xf numFmtId="164" fontId="3" fillId="2" borderId="0" xfId="0" applyNumberFormat="1" applyFont="1" applyFill="1" applyAlignment="1">
      <alignment horizontal="left" readingOrder="2"/>
    </xf>
    <xf numFmtId="164" fontId="3" fillId="7" borderId="7" xfId="0" applyNumberFormat="1" applyFont="1" applyFill="1" applyBorder="1" applyAlignment="1" applyProtection="1">
      <alignment horizontal="center"/>
      <protection locked="0"/>
    </xf>
    <xf numFmtId="164" fontId="3" fillId="3" borderId="7" xfId="0" applyNumberFormat="1" applyFont="1" applyFill="1" applyBorder="1" applyAlignment="1" applyProtection="1">
      <alignment horizontal="center"/>
      <protection locked="0"/>
    </xf>
    <xf numFmtId="164" fontId="3" fillId="5" borderId="7" xfId="0" applyNumberFormat="1" applyFont="1" applyFill="1" applyBorder="1" applyAlignment="1" applyProtection="1">
      <alignment horizontal="center"/>
      <protection locked="0"/>
    </xf>
    <xf numFmtId="164" fontId="3" fillId="2" borderId="0" xfId="0" applyNumberFormat="1" applyFont="1" applyFill="1" applyAlignment="1">
      <alignment readingOrder="2"/>
    </xf>
    <xf numFmtId="164" fontId="3" fillId="3" borderId="0" xfId="0" applyNumberFormat="1" applyFont="1" applyFill="1" applyAlignment="1">
      <alignment readingOrder="2"/>
    </xf>
    <xf numFmtId="164" fontId="3" fillId="5" borderId="0" xfId="0" applyNumberFormat="1" applyFont="1" applyFill="1" applyAlignment="1">
      <alignment readingOrder="2"/>
    </xf>
    <xf numFmtId="164" fontId="8" fillId="2" borderId="0" xfId="0" applyNumberFormat="1" applyFont="1" applyFill="1" applyAlignment="1">
      <alignment readingOrder="2"/>
    </xf>
    <xf numFmtId="164" fontId="8" fillId="3" borderId="0" xfId="0" applyNumberFormat="1" applyFont="1" applyFill="1" applyAlignment="1">
      <alignment readingOrder="2"/>
    </xf>
    <xf numFmtId="164" fontId="8" fillId="5" borderId="0" xfId="0" applyNumberFormat="1" applyFont="1" applyFill="1" applyAlignment="1">
      <alignment readingOrder="2"/>
    </xf>
    <xf numFmtId="164" fontId="3" fillId="7" borderId="8" xfId="0" applyNumberFormat="1" applyFont="1" applyFill="1" applyBorder="1" applyAlignment="1" applyProtection="1">
      <alignment horizontal="center"/>
      <protection locked="0"/>
    </xf>
    <xf numFmtId="164" fontId="3" fillId="3" borderId="8" xfId="0" applyNumberFormat="1" applyFont="1" applyFill="1" applyBorder="1" applyAlignment="1" applyProtection="1">
      <alignment horizontal="center"/>
      <protection locked="0"/>
    </xf>
    <xf numFmtId="164" fontId="3" fillId="5" borderId="8" xfId="0" applyNumberFormat="1" applyFont="1" applyFill="1" applyBorder="1" applyAlignment="1" applyProtection="1">
      <alignment horizontal="center"/>
      <protection locked="0"/>
    </xf>
    <xf numFmtId="164" fontId="3" fillId="7" borderId="9" xfId="0" applyNumberFormat="1" applyFont="1" applyFill="1" applyBorder="1" applyAlignment="1" applyProtection="1">
      <alignment horizontal="center"/>
      <protection locked="0"/>
    </xf>
    <xf numFmtId="164" fontId="3" fillId="3" borderId="9" xfId="0" applyNumberFormat="1" applyFont="1" applyFill="1" applyBorder="1" applyAlignment="1" applyProtection="1">
      <alignment horizontal="center"/>
      <protection locked="0"/>
    </xf>
    <xf numFmtId="164" fontId="3" fillId="5" borderId="9" xfId="0" applyNumberFormat="1" applyFont="1" applyFill="1" applyBorder="1" applyAlignment="1" applyProtection="1">
      <alignment horizontal="center"/>
      <protection locked="0"/>
    </xf>
    <xf numFmtId="164" fontId="8" fillId="2" borderId="0" xfId="0" applyNumberFormat="1" applyFont="1" applyFill="1" applyAlignment="1">
      <alignment horizontal="right" readingOrder="2"/>
    </xf>
    <xf numFmtId="164" fontId="14" fillId="2" borderId="0" xfId="0" applyNumberFormat="1" applyFont="1" applyFill="1" applyAlignment="1">
      <alignment horizontal="right"/>
    </xf>
    <xf numFmtId="164" fontId="12" fillId="2" borderId="0" xfId="0" applyNumberFormat="1" applyFont="1" applyFill="1" applyAlignment="1" applyProtection="1">
      <alignment horizontal="right"/>
      <protection locked="0"/>
    </xf>
    <xf numFmtId="164" fontId="12" fillId="2" borderId="0" xfId="0" quotePrefix="1" applyNumberFormat="1" applyFont="1" applyFill="1" applyAlignment="1">
      <alignment horizontal="right"/>
    </xf>
    <xf numFmtId="164" fontId="3" fillId="2" borderId="0" xfId="0" quotePrefix="1" applyNumberFormat="1" applyFont="1" applyFill="1" applyAlignment="1">
      <alignment horizontal="right"/>
    </xf>
    <xf numFmtId="164" fontId="3" fillId="7" borderId="9" xfId="0" applyNumberFormat="1" applyFont="1" applyFill="1" applyBorder="1" applyAlignment="1">
      <alignment horizontal="center"/>
    </xf>
    <xf numFmtId="164" fontId="3" fillId="5" borderId="9" xfId="0" applyNumberFormat="1" applyFont="1" applyFill="1" applyBorder="1" applyAlignment="1">
      <alignment horizontal="center"/>
    </xf>
    <xf numFmtId="164" fontId="10" fillId="2" borderId="0" xfId="0" applyNumberFormat="1" applyFont="1" applyFill="1" applyBorder="1" applyAlignment="1">
      <alignment horizontal="right" readingOrder="2"/>
    </xf>
    <xf numFmtId="164" fontId="2" fillId="2" borderId="0" xfId="0" applyNumberFormat="1" applyFont="1" applyFill="1"/>
    <xf numFmtId="165" fontId="2" fillId="2" borderId="0" xfId="0" applyNumberFormat="1" applyFont="1" applyFill="1"/>
    <xf numFmtId="165" fontId="2" fillId="3" borderId="0" xfId="0" applyNumberFormat="1" applyFont="1" applyFill="1"/>
    <xf numFmtId="165" fontId="2" fillId="5" borderId="0" xfId="0" applyNumberFormat="1" applyFont="1" applyFill="1"/>
    <xf numFmtId="166" fontId="0" fillId="2" borderId="0" xfId="0" applyNumberFormat="1" applyFill="1"/>
    <xf numFmtId="167" fontId="0" fillId="2" borderId="0" xfId="0" applyNumberFormat="1" applyFill="1"/>
    <xf numFmtId="164" fontId="2" fillId="5" borderId="0" xfId="0" applyNumberFormat="1" applyFont="1" applyFill="1"/>
    <xf numFmtId="10" fontId="2" fillId="5" borderId="0" xfId="1" applyNumberFormat="1" applyFont="1" applyFill="1"/>
    <xf numFmtId="10" fontId="2" fillId="3" borderId="0" xfId="1" applyNumberFormat="1" applyFont="1" applyFill="1"/>
    <xf numFmtId="164" fontId="2" fillId="3" borderId="0" xfId="0" applyNumberFormat="1" applyFont="1" applyFill="1"/>
    <xf numFmtId="10" fontId="0" fillId="2" borderId="0" xfId="1" applyNumberFormat="1" applyFont="1" applyFill="1"/>
    <xf numFmtId="10" fontId="0" fillId="3" borderId="0" xfId="1" applyNumberFormat="1" applyFont="1" applyFill="1"/>
    <xf numFmtId="10" fontId="0" fillId="5" borderId="0" xfId="1" applyNumberFormat="1" applyFont="1" applyFill="1"/>
    <xf numFmtId="167" fontId="0" fillId="3" borderId="0" xfId="0" applyNumberFormat="1" applyFill="1"/>
    <xf numFmtId="167" fontId="0" fillId="5" borderId="0" xfId="0" applyNumberFormat="1" applyFill="1"/>
    <xf numFmtId="164" fontId="0" fillId="8" borderId="0" xfId="0" applyNumberFormat="1" applyFill="1"/>
    <xf numFmtId="1" fontId="8" fillId="8" borderId="1" xfId="0" applyNumberFormat="1" applyFont="1" applyFill="1" applyBorder="1" applyAlignment="1">
      <alignment horizontal="center"/>
    </xf>
    <xf numFmtId="164" fontId="3" fillId="8" borderId="0" xfId="0" applyNumberFormat="1" applyFont="1" applyFill="1" applyAlignment="1">
      <alignment horizontal="right"/>
    </xf>
    <xf numFmtId="164" fontId="3" fillId="8" borderId="2" xfId="0" applyNumberFormat="1" applyFont="1" applyFill="1" applyBorder="1" applyAlignment="1" applyProtection="1">
      <alignment horizontal="center"/>
      <protection locked="0"/>
    </xf>
    <xf numFmtId="164" fontId="3" fillId="8" borderId="0" xfId="0" applyNumberFormat="1" applyFont="1" applyFill="1" applyBorder="1" applyAlignment="1" applyProtection="1">
      <alignment horizontal="center"/>
      <protection locked="0"/>
    </xf>
    <xf numFmtId="164" fontId="8" fillId="8" borderId="3" xfId="0" applyNumberFormat="1" applyFont="1" applyFill="1" applyBorder="1" applyAlignment="1">
      <alignment horizontal="center"/>
    </xf>
    <xf numFmtId="164" fontId="3" fillId="8" borderId="0" xfId="0" applyNumberFormat="1" applyFont="1" applyFill="1" applyAlignment="1">
      <alignment horizontal="center"/>
    </xf>
    <xf numFmtId="164" fontId="3" fillId="8" borderId="3" xfId="0" applyNumberFormat="1" applyFont="1" applyFill="1" applyBorder="1" applyAlignment="1">
      <alignment horizontal="center"/>
    </xf>
    <xf numFmtId="164" fontId="3" fillId="8" borderId="0" xfId="0" applyNumberFormat="1" applyFont="1" applyFill="1" applyBorder="1" applyAlignment="1">
      <alignment horizontal="center"/>
    </xf>
    <xf numFmtId="164" fontId="3" fillId="8" borderId="4" xfId="0" applyNumberFormat="1" applyFont="1" applyFill="1" applyBorder="1" applyAlignment="1">
      <alignment horizontal="center"/>
    </xf>
    <xf numFmtId="164" fontId="3" fillId="8" borderId="5" xfId="0" applyNumberFormat="1" applyFont="1" applyFill="1" applyBorder="1" applyAlignment="1">
      <alignment horizontal="center"/>
    </xf>
    <xf numFmtId="164" fontId="3" fillId="8" borderId="0" xfId="0" applyNumberFormat="1" applyFont="1" applyFill="1" applyBorder="1" applyAlignment="1">
      <alignment horizontal="right"/>
    </xf>
    <xf numFmtId="164" fontId="3" fillId="8" borderId="6" xfId="0" applyNumberFormat="1" applyFont="1" applyFill="1" applyBorder="1" applyAlignment="1" applyProtection="1">
      <alignment horizontal="center"/>
      <protection locked="0"/>
    </xf>
    <xf numFmtId="164" fontId="3" fillId="8" borderId="7" xfId="0" applyNumberFormat="1" applyFont="1" applyFill="1" applyBorder="1" applyAlignment="1" applyProtection="1">
      <alignment horizontal="center"/>
      <protection locked="0"/>
    </xf>
    <xf numFmtId="164" fontId="5" fillId="8" borderId="0" xfId="0" applyNumberFormat="1" applyFont="1" applyFill="1" applyAlignment="1">
      <alignment horizontal="right"/>
    </xf>
    <xf numFmtId="164" fontId="3" fillId="8" borderId="0" xfId="0" applyNumberFormat="1" applyFont="1" applyFill="1" applyAlignment="1">
      <alignment readingOrder="2"/>
    </xf>
    <xf numFmtId="164" fontId="8" fillId="8" borderId="0" xfId="0" applyNumberFormat="1" applyFont="1" applyFill="1" applyAlignment="1">
      <alignment readingOrder="2"/>
    </xf>
    <xf numFmtId="164" fontId="3" fillId="8" borderId="8" xfId="0" applyNumberFormat="1" applyFont="1" applyFill="1" applyBorder="1" applyAlignment="1" applyProtection="1">
      <alignment horizontal="center"/>
      <protection locked="0"/>
    </xf>
    <xf numFmtId="164" fontId="3" fillId="8" borderId="9" xfId="0" applyNumberFormat="1" applyFont="1" applyFill="1" applyBorder="1" applyAlignment="1" applyProtection="1">
      <alignment horizontal="center"/>
      <protection locked="0"/>
    </xf>
    <xf numFmtId="164" fontId="3" fillId="8" borderId="9" xfId="0" applyNumberFormat="1" applyFont="1" applyFill="1" applyBorder="1" applyAlignment="1">
      <alignment horizontal="center"/>
    </xf>
    <xf numFmtId="165" fontId="2" fillId="8" borderId="0" xfId="0" applyNumberFormat="1" applyFont="1" applyFill="1"/>
    <xf numFmtId="167" fontId="0" fillId="8" borderId="0" xfId="0" applyNumberFormat="1" applyFill="1"/>
    <xf numFmtId="0" fontId="4" fillId="8" borderId="0" xfId="0" applyFont="1" applyFill="1"/>
    <xf numFmtId="0" fontId="19" fillId="0" borderId="0" xfId="0" applyFont="1"/>
    <xf numFmtId="3" fontId="19" fillId="0" borderId="0" xfId="0" applyNumberFormat="1" applyFont="1"/>
    <xf numFmtId="168" fontId="19" fillId="0" borderId="0" xfId="0" applyNumberFormat="1" applyFont="1" applyAlignment="1">
      <alignment horizontal="center"/>
    </xf>
    <xf numFmtId="0" fontId="19" fillId="0" borderId="6" xfId="0" applyFont="1" applyBorder="1"/>
    <xf numFmtId="3" fontId="19" fillId="0" borderId="6" xfId="0" applyNumberFormat="1" applyFont="1" applyBorder="1"/>
    <xf numFmtId="168" fontId="19" fillId="0" borderId="6" xfId="0" applyNumberFormat="1" applyFont="1" applyBorder="1" applyAlignment="1">
      <alignment horizontal="center"/>
    </xf>
    <xf numFmtId="3" fontId="0" fillId="0" borderId="0" xfId="0" applyNumberFormat="1"/>
    <xf numFmtId="168" fontId="0" fillId="0" borderId="0" xfId="0" applyNumberFormat="1" applyAlignment="1">
      <alignment horizontal="center"/>
    </xf>
    <xf numFmtId="0" fontId="0" fillId="9" borderId="0" xfId="0" applyFill="1"/>
    <xf numFmtId="169" fontId="0" fillId="0" borderId="0" xfId="0" applyNumberFormat="1"/>
    <xf numFmtId="3" fontId="19" fillId="0" borderId="0" xfId="0" applyNumberFormat="1" applyFont="1" applyAlignment="1">
      <alignment horizontal="center"/>
    </xf>
    <xf numFmtId="3" fontId="19" fillId="0" borderId="6" xfId="0" applyNumberFormat="1" applyFont="1" applyBorder="1" applyAlignment="1">
      <alignment horizontal="center"/>
    </xf>
    <xf numFmtId="168" fontId="0" fillId="0" borderId="0" xfId="0" applyNumberFormat="1"/>
    <xf numFmtId="166" fontId="0" fillId="8" borderId="0" xfId="0" applyNumberFormat="1" applyFill="1"/>
    <xf numFmtId="0" fontId="0" fillId="0" borderId="0" xfId="0" applyFill="1"/>
    <xf numFmtId="170" fontId="0" fillId="0" borderId="0" xfId="0" applyNumberFormat="1"/>
    <xf numFmtId="0" fontId="4" fillId="0" borderId="0" xfId="0" applyFont="1" applyFill="1"/>
    <xf numFmtId="0" fontId="19" fillId="10" borderId="0" xfId="0" applyFont="1" applyFill="1"/>
    <xf numFmtId="0" fontId="4" fillId="2" borderId="0" xfId="0" applyFont="1" applyFill="1" applyAlignment="1">
      <alignment horizontal="center"/>
    </xf>
    <xf numFmtId="0" fontId="4" fillId="11" borderId="0" xfId="0" applyFont="1" applyFill="1"/>
    <xf numFmtId="0" fontId="20" fillId="0" borderId="0" xfId="0" applyFont="1"/>
    <xf numFmtId="0" fontId="2" fillId="12" borderId="0" xfId="0" applyFont="1" applyFill="1"/>
    <xf numFmtId="166" fontId="2" fillId="8" borderId="0" xfId="0" applyNumberFormat="1" applyFont="1" applyFill="1"/>
    <xf numFmtId="171" fontId="0" fillId="0" borderId="0" xfId="2" applyNumberFormat="1" applyFont="1"/>
    <xf numFmtId="0" fontId="2" fillId="13" borderId="0" xfId="0" applyFont="1" applyFill="1"/>
    <xf numFmtId="0" fontId="0" fillId="13" borderId="0" xfId="0" applyFill="1"/>
    <xf numFmtId="171" fontId="0" fillId="0" borderId="0" xfId="0" applyNumberFormat="1"/>
    <xf numFmtId="43" fontId="2" fillId="13" borderId="0" xfId="0" applyNumberFormat="1" applyFont="1" applyFill="1"/>
    <xf numFmtId="172" fontId="0" fillId="0" borderId="0" xfId="0" applyNumberFormat="1"/>
    <xf numFmtId="0" fontId="2" fillId="14" borderId="0" xfId="0" applyFont="1" applyFill="1"/>
    <xf numFmtId="0" fontId="0" fillId="14" borderId="0" xfId="0" applyFill="1"/>
    <xf numFmtId="9" fontId="0" fillId="0" borderId="0" xfId="1" applyFont="1"/>
    <xf numFmtId="164" fontId="3" fillId="7" borderId="6" xfId="0" applyNumberFormat="1" applyFont="1" applyFill="1" applyBorder="1" applyAlignment="1">
      <alignment horizontal="center"/>
    </xf>
    <xf numFmtId="164" fontId="3" fillId="7" borderId="0" xfId="0" applyNumberFormat="1" applyFont="1" applyFill="1" applyAlignment="1" applyProtection="1">
      <alignment horizontal="right" vertical="top" wrapText="1"/>
      <protection locked="0"/>
    </xf>
    <xf numFmtId="0" fontId="0" fillId="0" borderId="0" xfId="0" applyAlignment="1" applyProtection="1">
      <alignment horizontal="right" vertical="top" wrapText="1"/>
      <protection locked="0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&#1508;&#1512;&#1493;&#1497;&#1497;&#1511;&#1496;&#1497;&#1501;%20&#1495;&#1491;&#1513;&#1497;&#1501;%20&#1489;&#1496;&#1497;&#1508;&#1493;&#1500;\&#1504;&#1497;&#1514;&#1493;&#1495;%20&#1506;&#1500;&#1493;&#1497;&#1493;&#1514;%20&#1514;&#1508;&#1506;&#1493;&#1500;%20&#1500;&#1513;&#1504;&#1514;%202010\&#1505;&#1502;&#1493;&#1500;&#1510;&#1497;&#1493;&#1514;%20&#1500;&#1506;&#1500;&#1493;&#1497;&#1493;&#1514;%20&#1514;&#1508;&#1506;&#1493;&#1500;-%20&#1506;&#1501;%20&#1488;&#1497;&#1500;&#150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511;&#1493;&#1489;&#1509;%20&#1500;&#1489;&#1495;&#1497;&#1504;&#1514;%20&#1514;&#1497;&#1511;&#1493;&#1504;&#1497;&#1501;%20&#1492;&#1506;&#1493;&#1500;&#1497;&#1501;%20&#1502;&#1492;&#1513;&#1497;&#1502;&#1493;&#15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עלויות תפעול 9 חודשים 2011"/>
      <sheetName val=" ניתוח תפעול 2012"/>
      <sheetName val="ניתוח עלויות תפעול 2010"/>
      <sheetName val="נתוני תאגידים"/>
      <sheetName val="מפקדי נכסים"/>
      <sheetName val="אשכול חברתי"/>
      <sheetName val="בחינת שונות התאגידים"/>
      <sheetName val="נתונים 2010"/>
      <sheetName val="התפלגות 2010"/>
    </sheetNames>
    <sheetDataSet>
      <sheetData sheetId="0"/>
      <sheetData sheetId="1"/>
      <sheetData sheetId="2"/>
      <sheetData sheetId="3">
        <row r="1">
          <cell r="A1" t="str">
            <v>.</v>
          </cell>
          <cell r="B1" t="str">
            <v>התאגיד</v>
          </cell>
          <cell r="D1" t="str">
            <v>מיתב (פתח תקווה)</v>
          </cell>
          <cell r="E1"/>
          <cell r="F1" t="str">
            <v>התנור</v>
          </cell>
          <cell r="G1"/>
          <cell r="H1" t="str">
            <v>מי נתניה (נתניה)</v>
          </cell>
          <cell r="I1"/>
          <cell r="J1" t="str">
            <v>מי אריאל (אריאל)</v>
          </cell>
          <cell r="K1"/>
          <cell r="L1" t="str">
            <v>מי מודיעין (מודיעין)</v>
          </cell>
          <cell r="M1"/>
          <cell r="N1" t="str">
            <v>הגיחון (ירושלים)</v>
          </cell>
          <cell r="O1"/>
          <cell r="P1" t="str">
            <v>מניב ראשון (ראשון)</v>
          </cell>
          <cell r="Q1"/>
          <cell r="R1" t="str">
            <v>עין נטפים (אילת)</v>
          </cell>
          <cell r="S1"/>
          <cell r="T1" t="str">
            <v>מי נע (נצרת)</v>
          </cell>
          <cell r="U1" t="str">
            <v>מי רקת</v>
          </cell>
          <cell r="V1" t="str">
            <v>יובלים אשדוד</v>
          </cell>
          <cell r="W1" t="str">
            <v>מי שבע</v>
          </cell>
          <cell r="X1" t="str">
            <v>מי שקמה</v>
          </cell>
          <cell r="Y1" t="str">
            <v>פלג הגליל</v>
          </cell>
          <cell r="Z1" t="str">
            <v>באר מים חיים</v>
          </cell>
          <cell r="AA1" t="str">
            <v>מי ציונה</v>
          </cell>
          <cell r="AB1" t="str">
            <v>מי לוד</v>
          </cell>
          <cell r="AC1" t="str">
            <v>תמ"ר רמלה</v>
          </cell>
          <cell r="AD1" t="str">
            <v>מי חדרה</v>
          </cell>
          <cell r="AE1" t="str">
            <v>כפרי הגליל התחתון</v>
          </cell>
          <cell r="AF1" t="str">
            <v>מי עירון</v>
          </cell>
          <cell r="AG1" t="str">
            <v>הרי נצרת</v>
          </cell>
          <cell r="AH1" t="str">
            <v>מעלות</v>
          </cell>
          <cell r="AI1" t="str">
            <v>קריית אתא</v>
          </cell>
          <cell r="AJ1" t="str">
            <v>רעננה</v>
          </cell>
          <cell r="AK1" t="str">
            <v>קריית גת</v>
          </cell>
          <cell r="AL1" t="str">
            <v>הרצליה</v>
          </cell>
          <cell r="AM1" t="str">
            <v>רמת השרון</v>
          </cell>
          <cell r="AN1" t="str">
            <v>חיפה</v>
          </cell>
          <cell r="AO1" t="str">
            <v>מי יבנה</v>
          </cell>
          <cell r="AP1" t="str">
            <v>מי כרמיאל</v>
          </cell>
          <cell r="AQ1" t="str">
            <v>רהט</v>
          </cell>
          <cell r="AR1" t="str">
            <v>מי רחובות</v>
          </cell>
          <cell r="AS1" t="str">
            <v>עין אפק</v>
          </cell>
          <cell r="AT1" t="str">
            <v>מי מוצקין</v>
          </cell>
          <cell r="AU1" t="str">
            <v>מי קריית ביאליק</v>
          </cell>
          <cell r="AV1" t="str">
            <v>מי השפלה</v>
          </cell>
          <cell r="AW1" t="str">
            <v>תל אביב א</v>
          </cell>
          <cell r="AX1" t="str">
            <v>תל אביב ב</v>
          </cell>
          <cell r="AY1" t="str">
            <v>מי השרון</v>
          </cell>
          <cell r="AZ1" t="str">
            <v>בדואים</v>
          </cell>
          <cell r="BA1" t="str">
            <v>רמת גן</v>
          </cell>
          <cell r="BB1" t="str">
            <v>גבעתיים</v>
          </cell>
          <cell r="BC1" t="str">
            <v>בת ים</v>
          </cell>
          <cell r="BD1" t="str">
            <v>בקעת בית הכרם</v>
          </cell>
          <cell r="BE1" t="str">
            <v>קריית אונו</v>
          </cell>
          <cell r="BF1" t="str">
            <v>סובב שפרעם</v>
          </cell>
          <cell r="BG1" t="str">
            <v>בית שמש</v>
          </cell>
          <cell r="BH1" t="str">
            <v>הוד השרון</v>
          </cell>
          <cell r="BI1" t="str">
            <v>מי אשקלון</v>
          </cell>
          <cell r="BJ1" t="str">
            <v>עכו</v>
          </cell>
          <cell r="BK1" t="str">
            <v>ישובי המשולש</v>
          </cell>
          <cell r="BL1" t="str">
            <v>ימים</v>
          </cell>
          <cell r="BM1" t="str">
            <v>מעיינות העמקים</v>
          </cell>
          <cell r="BN1" t="str">
            <v>מי דרום</v>
          </cell>
          <cell r="BO1" t="str">
            <v>אל עין</v>
          </cell>
          <cell r="BP1" t="str">
            <v>מי גליל</v>
          </cell>
        </row>
        <row r="2">
          <cell r="D2" t="str">
            <v>מיתב מים תיעול וביוב בע"מ</v>
          </cell>
          <cell r="E2"/>
          <cell r="F2" t="str">
            <v>התנור מים וביוב בע"מ</v>
          </cell>
          <cell r="G2"/>
          <cell r="H2" t="str">
            <v>מי נתניה (2003) בע"מ</v>
          </cell>
          <cell r="I2"/>
          <cell r="J2" t="str">
            <v>יובלים בשומרון בע"מ</v>
          </cell>
          <cell r="K2"/>
          <cell r="L2" t="str">
            <v>מי מודיעין</v>
          </cell>
          <cell r="M2"/>
          <cell r="N2" t="str">
            <v>חברת הגיחון בע"מ תאגיד המים והביוב של ירושלים</v>
          </cell>
          <cell r="O2"/>
          <cell r="P2" t="str">
            <v>מניב ראשון בע"מ</v>
          </cell>
          <cell r="Q2"/>
          <cell r="R2" t="str">
            <v>עין נטפים מפעלי מים וביוב אילת בע"מ</v>
          </cell>
          <cell r="S2"/>
          <cell r="T2" t="str">
            <v>מי נע חברת המים והביוב של עיריית נצרת עילית בע"מ</v>
          </cell>
          <cell r="U2" t="str">
            <v>מי רקת טבריה בע"מ</v>
          </cell>
          <cell r="V2" t="str">
            <v>יובלים אשדוד בע"מ</v>
          </cell>
          <cell r="W2" t="str">
            <v>מי שבע תאגיד המים והביוב לבאר שבע בע"מ</v>
          </cell>
          <cell r="X2" t="str">
            <v>מי שקמה תאגיד המים והביוב בע"מ</v>
          </cell>
          <cell r="Y2" t="str">
            <v>פלג הגליל החברה האזורית למים וביוב בע"מ</v>
          </cell>
          <cell r="Z2" t="str">
            <v>באר מים חיים בע"מ</v>
          </cell>
          <cell r="AA2" t="str">
            <v>מי ציונה בע"מ</v>
          </cell>
          <cell r="AB2" t="str">
            <v>מי לוד בע"מ</v>
          </cell>
          <cell r="AC2" t="str">
            <v>תמ"ר תאגיד מים רמלה בע"מ</v>
          </cell>
          <cell r="AD2" t="str">
            <v>מי חדרה בע"מ</v>
          </cell>
          <cell r="AE2" t="str">
            <v>כפרי גליל תחתון בע"מ</v>
          </cell>
          <cell r="AF2" t="str">
            <v>מי עירון בע"מ</v>
          </cell>
          <cell r="AG2" t="str">
            <v>הרי נצרת מפעלי מים וביוב בע"מ</v>
          </cell>
          <cell r="AH2" t="str">
            <v>מעלות</v>
          </cell>
          <cell r="AI2" t="str">
            <v>קריית אתא</v>
          </cell>
          <cell r="AJ2" t="str">
            <v>רעננה</v>
          </cell>
          <cell r="AK2" t="str">
            <v>קריית גת</v>
          </cell>
          <cell r="AL2" t="str">
            <v>הרצליה</v>
          </cell>
          <cell r="AM2" t="str">
            <v>רמת השרון</v>
          </cell>
          <cell r="AN2" t="str">
            <v>חיפה</v>
          </cell>
          <cell r="AO2" t="str">
            <v>מי יבנה</v>
          </cell>
          <cell r="AP2" t="str">
            <v>מי כרמיאל</v>
          </cell>
          <cell r="AQ2" t="str">
            <v>רהט</v>
          </cell>
          <cell r="AR2" t="str">
            <v>מי רחובות</v>
          </cell>
          <cell r="AS2" t="str">
            <v>עין אפק</v>
          </cell>
          <cell r="AT2" t="str">
            <v>מי מוצקין</v>
          </cell>
          <cell r="AU2" t="str">
            <v>מי קריית ביאליק</v>
          </cell>
          <cell r="AV2" t="str">
            <v>מי השפלה</v>
          </cell>
          <cell r="AX2" t="str">
            <v>תל אביב ב</v>
          </cell>
          <cell r="AY2" t="str">
            <v>מי השרון</v>
          </cell>
          <cell r="AZ2" t="str">
            <v>בדואים</v>
          </cell>
          <cell r="BA2" t="str">
            <v>רמת גן</v>
          </cell>
          <cell r="BB2" t="str">
            <v>גבעתיים</v>
          </cell>
          <cell r="BC2" t="str">
            <v>בת ים</v>
          </cell>
          <cell r="BD2" t="str">
            <v>בקעת בית הכרם</v>
          </cell>
          <cell r="BE2" t="str">
            <v>קריית אונו</v>
          </cell>
          <cell r="BF2" t="str">
            <v>סובב שפרעם</v>
          </cell>
          <cell r="BG2" t="str">
            <v>בית שמש</v>
          </cell>
          <cell r="BH2" t="str">
            <v>הוד השרון</v>
          </cell>
          <cell r="BI2" t="str">
            <v>מי אשקלון</v>
          </cell>
          <cell r="BJ2" t="str">
            <v>עכו</v>
          </cell>
          <cell r="BK2" t="str">
            <v>ישובי המשולש</v>
          </cell>
          <cell r="BL2" t="str">
            <v>ימים</v>
          </cell>
          <cell r="BM2" t="str">
            <v>מעיינות העמקים</v>
          </cell>
          <cell r="BN2" t="str">
            <v>מי דרום</v>
          </cell>
          <cell r="BO2" t="str">
            <v>אל עין</v>
          </cell>
          <cell r="BP2" t="str">
            <v>מי גליל</v>
          </cell>
        </row>
        <row r="3">
          <cell r="D3" t="str">
            <v>חישוב תעריפים</v>
          </cell>
          <cell r="E3"/>
          <cell r="F3" t="str">
            <v>חישוב תעריפים</v>
          </cell>
          <cell r="G3"/>
          <cell r="H3" t="str">
            <v>חישוב תעריפים</v>
          </cell>
          <cell r="I3"/>
          <cell r="J3" t="str">
            <v>חישוב תעריפים</v>
          </cell>
          <cell r="K3"/>
          <cell r="L3" t="str">
            <v>חישוב תעריפים</v>
          </cell>
          <cell r="M3"/>
          <cell r="N3" t="str">
            <v>חישוב תעריפים</v>
          </cell>
          <cell r="O3"/>
          <cell r="P3" t="str">
            <v>חישוב תעריפים</v>
          </cell>
          <cell r="Q3"/>
          <cell r="R3" t="str">
            <v>חישוב תעריפים</v>
          </cell>
          <cell r="S3"/>
          <cell r="T3" t="str">
            <v>חישוב תעריפים</v>
          </cell>
        </row>
        <row r="4">
          <cell r="B4" t="str">
            <v>שנת ההצמדה</v>
          </cell>
          <cell r="D4">
            <v>2009</v>
          </cell>
          <cell r="F4">
            <v>2009</v>
          </cell>
          <cell r="H4">
            <v>2009</v>
          </cell>
          <cell r="J4">
            <v>2009</v>
          </cell>
          <cell r="L4">
            <v>2009</v>
          </cell>
          <cell r="N4">
            <v>2009</v>
          </cell>
          <cell r="P4">
            <v>2009</v>
          </cell>
          <cell r="R4">
            <v>2009</v>
          </cell>
          <cell r="T4">
            <v>2009</v>
          </cell>
          <cell r="U4">
            <v>2009</v>
          </cell>
          <cell r="V4">
            <v>2009</v>
          </cell>
          <cell r="W4">
            <v>2009</v>
          </cell>
          <cell r="X4">
            <v>2009</v>
          </cell>
          <cell r="Y4">
            <v>2009</v>
          </cell>
          <cell r="Z4">
            <v>2009</v>
          </cell>
          <cell r="AA4">
            <v>2009</v>
          </cell>
          <cell r="AB4">
            <v>2009</v>
          </cell>
          <cell r="AC4">
            <v>2009</v>
          </cell>
          <cell r="AD4">
            <v>2009</v>
          </cell>
          <cell r="AE4">
            <v>2009</v>
          </cell>
          <cell r="AF4">
            <v>2009</v>
          </cell>
          <cell r="AG4">
            <v>2009</v>
          </cell>
          <cell r="AH4">
            <v>2009</v>
          </cell>
          <cell r="AI4">
            <v>2009</v>
          </cell>
          <cell r="AJ4">
            <v>2009</v>
          </cell>
          <cell r="AK4">
            <v>2009</v>
          </cell>
          <cell r="AL4">
            <v>2009</v>
          </cell>
          <cell r="AM4">
            <v>2009</v>
          </cell>
          <cell r="AN4">
            <v>2009</v>
          </cell>
          <cell r="AO4">
            <v>2009</v>
          </cell>
          <cell r="AP4">
            <v>2009</v>
          </cell>
          <cell r="AQ4">
            <v>2009</v>
          </cell>
          <cell r="AR4">
            <v>2009</v>
          </cell>
          <cell r="AS4">
            <v>2009</v>
          </cell>
          <cell r="AT4">
            <v>2009</v>
          </cell>
          <cell r="AU4">
            <v>2009</v>
          </cell>
          <cell r="AV4">
            <v>2009</v>
          </cell>
          <cell r="AW4">
            <v>2009</v>
          </cell>
          <cell r="AX4">
            <v>2009</v>
          </cell>
          <cell r="AY4">
            <v>2009</v>
          </cell>
          <cell r="AZ4">
            <v>2009</v>
          </cell>
          <cell r="BA4">
            <v>2009</v>
          </cell>
          <cell r="BB4">
            <v>2009</v>
          </cell>
          <cell r="BC4">
            <v>2009</v>
          </cell>
          <cell r="BD4">
            <v>2009</v>
          </cell>
          <cell r="BE4">
            <v>2009</v>
          </cell>
          <cell r="BF4">
            <v>2009</v>
          </cell>
          <cell r="BG4">
            <v>2009</v>
          </cell>
          <cell r="BH4">
            <v>2009</v>
          </cell>
          <cell r="BI4">
            <v>2009</v>
          </cell>
          <cell r="BJ4">
            <v>2009</v>
          </cell>
          <cell r="BK4">
            <v>2009</v>
          </cell>
          <cell r="BL4">
            <v>2009</v>
          </cell>
          <cell r="BM4">
            <v>2009</v>
          </cell>
          <cell r="BN4">
            <v>2009</v>
          </cell>
          <cell r="BO4">
            <v>2009</v>
          </cell>
          <cell r="BP4">
            <v>2009</v>
          </cell>
        </row>
        <row r="5">
          <cell r="B5" t="str">
            <v>שנת מפקד</v>
          </cell>
          <cell r="D5">
            <v>2009</v>
          </cell>
          <cell r="E5"/>
          <cell r="F5">
            <v>2006</v>
          </cell>
          <cell r="G5"/>
          <cell r="H5">
            <v>2009</v>
          </cell>
          <cell r="I5"/>
          <cell r="J5">
            <v>2008</v>
          </cell>
          <cell r="K5"/>
          <cell r="L5">
            <v>2005</v>
          </cell>
          <cell r="M5"/>
          <cell r="N5">
            <v>2007</v>
          </cell>
          <cell r="O5"/>
          <cell r="P5">
            <v>2003</v>
          </cell>
          <cell r="Q5"/>
          <cell r="R5">
            <v>2005</v>
          </cell>
          <cell r="S5"/>
          <cell r="T5">
            <v>2003</v>
          </cell>
          <cell r="U5">
            <v>2008</v>
          </cell>
          <cell r="V5">
            <v>2008</v>
          </cell>
          <cell r="W5">
            <v>2008</v>
          </cell>
          <cell r="X5">
            <v>2008</v>
          </cell>
          <cell r="Y5">
            <v>2008</v>
          </cell>
          <cell r="Z5">
            <v>2008</v>
          </cell>
          <cell r="AA5">
            <v>2008</v>
          </cell>
          <cell r="AB5">
            <v>2008</v>
          </cell>
          <cell r="AC5">
            <v>2008</v>
          </cell>
          <cell r="AD5">
            <v>2008</v>
          </cell>
          <cell r="AE5">
            <v>2008</v>
          </cell>
          <cell r="AF5">
            <v>2008</v>
          </cell>
          <cell r="AG5">
            <v>2008</v>
          </cell>
          <cell r="AH5">
            <v>2008</v>
          </cell>
          <cell r="AI5">
            <v>2008</v>
          </cell>
          <cell r="AJ5">
            <v>2008</v>
          </cell>
          <cell r="AK5">
            <v>2008</v>
          </cell>
          <cell r="AL5">
            <v>2008</v>
          </cell>
          <cell r="AM5">
            <v>2008</v>
          </cell>
          <cell r="AN5">
            <v>2008</v>
          </cell>
          <cell r="AO5">
            <v>2008</v>
          </cell>
          <cell r="AP5">
            <v>2008</v>
          </cell>
          <cell r="AQ5">
            <v>2008</v>
          </cell>
          <cell r="AR5">
            <v>2008</v>
          </cell>
          <cell r="AS5">
            <v>2008</v>
          </cell>
          <cell r="AT5">
            <v>2008</v>
          </cell>
          <cell r="AU5">
            <v>2008</v>
          </cell>
          <cell r="AV5">
            <v>2008</v>
          </cell>
          <cell r="AW5" t="e">
            <v>#REF!</v>
          </cell>
          <cell r="AX5">
            <v>2008</v>
          </cell>
          <cell r="AY5">
            <v>2008</v>
          </cell>
          <cell r="AZ5">
            <v>2008</v>
          </cell>
          <cell r="BA5">
            <v>2008</v>
          </cell>
          <cell r="BB5">
            <v>2008</v>
          </cell>
          <cell r="BC5">
            <v>2008</v>
          </cell>
          <cell r="BD5">
            <v>2008</v>
          </cell>
          <cell r="BE5">
            <v>2008</v>
          </cell>
          <cell r="BF5">
            <v>2008</v>
          </cell>
          <cell r="BG5">
            <v>2009</v>
          </cell>
          <cell r="BH5">
            <v>2009</v>
          </cell>
          <cell r="BI5">
            <v>2008</v>
          </cell>
          <cell r="BJ5">
            <v>2008</v>
          </cell>
          <cell r="BK5">
            <v>2008</v>
          </cell>
          <cell r="BL5">
            <v>2008</v>
          </cell>
          <cell r="BM5">
            <v>2009</v>
          </cell>
          <cell r="BN5">
            <v>2008</v>
          </cell>
          <cell r="BO5">
            <v>2008</v>
          </cell>
          <cell r="BP5">
            <v>2008</v>
          </cell>
        </row>
        <row r="6">
          <cell r="B6"/>
          <cell r="D6"/>
          <cell r="E6"/>
          <cell r="F6" t="str">
            <v>מטולה מ-2003</v>
          </cell>
          <cell r="G6"/>
          <cell r="H6"/>
          <cell r="I6"/>
          <cell r="J6"/>
          <cell r="K6"/>
          <cell r="L6"/>
          <cell r="M6"/>
          <cell r="N6"/>
          <cell r="O6"/>
          <cell r="P6"/>
          <cell r="Q6"/>
          <cell r="R6"/>
          <cell r="S6"/>
          <cell r="T6"/>
          <cell r="U6"/>
          <cell r="V6"/>
          <cell r="W6"/>
          <cell r="X6"/>
          <cell r="Y6"/>
          <cell r="Z6"/>
          <cell r="AA6"/>
          <cell r="AB6"/>
          <cell r="AC6"/>
          <cell r="AD6"/>
          <cell r="AE6"/>
          <cell r="AF6"/>
          <cell r="AG6"/>
          <cell r="AH6"/>
          <cell r="AI6"/>
          <cell r="AJ6"/>
          <cell r="AK6"/>
          <cell r="AL6"/>
          <cell r="AM6"/>
          <cell r="AN6"/>
          <cell r="AO6"/>
          <cell r="AP6"/>
          <cell r="AQ6"/>
          <cell r="AR6"/>
          <cell r="AS6"/>
          <cell r="AT6"/>
          <cell r="AU6"/>
          <cell r="AV6"/>
          <cell r="AW6"/>
          <cell r="AX6"/>
          <cell r="AY6"/>
          <cell r="AZ6"/>
          <cell r="BA6"/>
          <cell r="BB6"/>
          <cell r="BC6"/>
          <cell r="BD6"/>
          <cell r="BE6"/>
          <cell r="BF6"/>
          <cell r="BG6"/>
          <cell r="BH6"/>
          <cell r="BI6"/>
          <cell r="BJ6"/>
          <cell r="BK6"/>
          <cell r="BL6"/>
          <cell r="BM6"/>
          <cell r="BN6"/>
          <cell r="BO6"/>
          <cell r="BP6"/>
        </row>
        <row r="7">
          <cell r="B7" t="str">
            <v>פחת גביה 2010</v>
          </cell>
          <cell r="D7">
            <v>0.08</v>
          </cell>
          <cell r="E7"/>
          <cell r="F7">
            <v>0.08</v>
          </cell>
          <cell r="G7"/>
          <cell r="H7">
            <v>0.08</v>
          </cell>
          <cell r="I7"/>
          <cell r="J7">
            <v>0.08</v>
          </cell>
          <cell r="K7"/>
          <cell r="L7">
            <v>0.08</v>
          </cell>
          <cell r="M7"/>
          <cell r="N7">
            <v>0.12</v>
          </cell>
          <cell r="O7"/>
          <cell r="P7">
            <v>0.08</v>
          </cell>
          <cell r="Q7"/>
          <cell r="R7">
            <v>0.08</v>
          </cell>
          <cell r="S7"/>
          <cell r="T7">
            <v>0.08</v>
          </cell>
          <cell r="U7">
            <v>0.12</v>
          </cell>
          <cell r="V7">
            <v>0.08</v>
          </cell>
          <cell r="W7">
            <v>0.08</v>
          </cell>
          <cell r="X7">
            <v>0.08</v>
          </cell>
          <cell r="Y7">
            <v>0.12</v>
          </cell>
          <cell r="Z7">
            <v>0.12</v>
          </cell>
          <cell r="AA7">
            <v>0.08</v>
          </cell>
          <cell r="AB7">
            <v>0.12</v>
          </cell>
          <cell r="AC7">
            <v>0.12</v>
          </cell>
          <cell r="AD7">
            <v>0.08</v>
          </cell>
          <cell r="AE7">
            <v>0.12</v>
          </cell>
          <cell r="AF7">
            <v>0.12</v>
          </cell>
          <cell r="AG7">
            <v>0.12</v>
          </cell>
          <cell r="AH7">
            <v>0.12</v>
          </cell>
          <cell r="AI7">
            <v>0.08</v>
          </cell>
          <cell r="AJ7">
            <v>0.08</v>
          </cell>
          <cell r="AK7">
            <v>0.12</v>
          </cell>
          <cell r="AL7">
            <v>0.08</v>
          </cell>
          <cell r="AM7">
            <v>0.08</v>
          </cell>
          <cell r="AN7">
            <v>0.08</v>
          </cell>
          <cell r="AO7">
            <v>0.08</v>
          </cell>
          <cell r="AP7">
            <v>0.08</v>
          </cell>
          <cell r="AQ7">
            <v>0.12</v>
          </cell>
          <cell r="AR7">
            <v>0.08</v>
          </cell>
          <cell r="AS7">
            <v>0.08</v>
          </cell>
          <cell r="AT7">
            <v>0.08</v>
          </cell>
          <cell r="AU7">
            <v>0.08</v>
          </cell>
          <cell r="AV7">
            <v>0.08</v>
          </cell>
          <cell r="AW7">
            <v>0.08</v>
          </cell>
          <cell r="AX7">
            <v>0.08</v>
          </cell>
          <cell r="AY7">
            <v>0.08</v>
          </cell>
          <cell r="AZ7">
            <v>0.12</v>
          </cell>
          <cell r="BA7">
            <v>0.08</v>
          </cell>
          <cell r="BB7">
            <v>0.08</v>
          </cell>
          <cell r="BC7">
            <v>0.08</v>
          </cell>
          <cell r="BD7">
            <v>0.12</v>
          </cell>
          <cell r="BE7">
            <v>0.08</v>
          </cell>
          <cell r="BF7">
            <v>0.12</v>
          </cell>
          <cell r="BG7">
            <v>0.12</v>
          </cell>
          <cell r="BH7">
            <v>0.08</v>
          </cell>
          <cell r="BI7">
            <v>0.12</v>
          </cell>
          <cell r="BJ7">
            <v>0.12</v>
          </cell>
          <cell r="BK7">
            <v>0.12</v>
          </cell>
          <cell r="BL7">
            <v>0.08</v>
          </cell>
          <cell r="BM7">
            <v>0.08</v>
          </cell>
          <cell r="BN7">
            <v>0.12</v>
          </cell>
          <cell r="BO7">
            <v>0.12</v>
          </cell>
          <cell r="BP7">
            <v>0.12</v>
          </cell>
          <cell r="BQ7"/>
          <cell r="BR7"/>
          <cell r="BS7"/>
          <cell r="BT7"/>
          <cell r="BU7"/>
          <cell r="BV7"/>
        </row>
        <row r="8">
          <cell r="B8" t="str">
            <v>פחת גביה2011</v>
          </cell>
          <cell r="D8">
            <v>6.5000000000000002E-2</v>
          </cell>
          <cell r="E8"/>
          <cell r="F8">
            <v>6.5000000000000002E-2</v>
          </cell>
          <cell r="G8"/>
          <cell r="H8">
            <v>6.5000000000000002E-2</v>
          </cell>
          <cell r="I8"/>
          <cell r="J8">
            <v>6.5000000000000002E-2</v>
          </cell>
          <cell r="K8"/>
          <cell r="L8">
            <v>6.5000000000000002E-2</v>
          </cell>
          <cell r="M8"/>
          <cell r="N8">
            <v>0.105</v>
          </cell>
          <cell r="O8"/>
          <cell r="P8">
            <v>6.5000000000000002E-2</v>
          </cell>
          <cell r="Q8"/>
          <cell r="R8">
            <v>6.5000000000000002E-2</v>
          </cell>
          <cell r="S8"/>
          <cell r="T8">
            <v>6.5000000000000002E-2</v>
          </cell>
          <cell r="U8">
            <v>0.105</v>
          </cell>
          <cell r="V8">
            <v>6.5000000000000002E-2</v>
          </cell>
          <cell r="W8">
            <v>6.5000000000000002E-2</v>
          </cell>
          <cell r="X8">
            <v>6.5000000000000002E-2</v>
          </cell>
          <cell r="Y8">
            <v>0.105</v>
          </cell>
          <cell r="Z8">
            <v>0.105</v>
          </cell>
          <cell r="AA8">
            <v>6.5000000000000002E-2</v>
          </cell>
          <cell r="AB8">
            <v>0.105</v>
          </cell>
          <cell r="AC8">
            <v>0.105</v>
          </cell>
          <cell r="AD8">
            <v>6.5000000000000002E-2</v>
          </cell>
          <cell r="AE8">
            <v>0.105</v>
          </cell>
          <cell r="AF8">
            <v>0.105</v>
          </cell>
          <cell r="AG8">
            <v>0.105</v>
          </cell>
          <cell r="AH8">
            <v>0.105</v>
          </cell>
          <cell r="AI8">
            <v>6.5000000000000002E-2</v>
          </cell>
          <cell r="AJ8">
            <v>6.5000000000000002E-2</v>
          </cell>
          <cell r="AK8">
            <v>0.105</v>
          </cell>
          <cell r="AL8">
            <v>6.5000000000000002E-2</v>
          </cell>
          <cell r="AM8">
            <v>6.5000000000000002E-2</v>
          </cell>
          <cell r="AN8">
            <v>6.5000000000000002E-2</v>
          </cell>
          <cell r="AO8">
            <v>6.5000000000000002E-2</v>
          </cell>
          <cell r="AP8">
            <v>6.5000000000000002E-2</v>
          </cell>
          <cell r="AQ8">
            <v>0.105</v>
          </cell>
          <cell r="AR8">
            <v>6.5000000000000002E-2</v>
          </cell>
          <cell r="AS8">
            <v>6.5000000000000002E-2</v>
          </cell>
          <cell r="AT8">
            <v>6.5000000000000002E-2</v>
          </cell>
          <cell r="AU8">
            <v>6.5000000000000002E-2</v>
          </cell>
          <cell r="AV8">
            <v>6.5000000000000002E-2</v>
          </cell>
          <cell r="AW8">
            <v>6.5000000000000002E-2</v>
          </cell>
          <cell r="AX8">
            <v>6.5000000000000002E-2</v>
          </cell>
          <cell r="AY8">
            <v>6.5000000000000002E-2</v>
          </cell>
          <cell r="AZ8">
            <v>0.105</v>
          </cell>
          <cell r="BA8">
            <v>6.5000000000000002E-2</v>
          </cell>
          <cell r="BB8">
            <v>6.5000000000000002E-2</v>
          </cell>
          <cell r="BC8">
            <v>6.5000000000000002E-2</v>
          </cell>
          <cell r="BD8">
            <v>0.105</v>
          </cell>
          <cell r="BE8">
            <v>6.5000000000000002E-2</v>
          </cell>
          <cell r="BF8">
            <v>0.105</v>
          </cell>
          <cell r="BG8">
            <v>0.105</v>
          </cell>
          <cell r="BH8">
            <v>6.5000000000000002E-2</v>
          </cell>
          <cell r="BI8">
            <v>0.105</v>
          </cell>
          <cell r="BJ8">
            <v>0.105</v>
          </cell>
          <cell r="BK8">
            <v>0.105</v>
          </cell>
          <cell r="BL8">
            <v>6.5000000000000002E-2</v>
          </cell>
          <cell r="BM8">
            <v>6.5000000000000002E-2</v>
          </cell>
          <cell r="BN8">
            <v>0.105</v>
          </cell>
          <cell r="BO8">
            <v>0.105</v>
          </cell>
          <cell r="BP8">
            <v>0.105</v>
          </cell>
        </row>
        <row r="9">
          <cell r="B9" t="str">
            <v>פחת גביה 2012</v>
          </cell>
          <cell r="D9">
            <v>7.0000000000000007E-2</v>
          </cell>
          <cell r="E9"/>
          <cell r="F9">
            <v>7.0000000000000007E-2</v>
          </cell>
          <cell r="G9"/>
          <cell r="H9">
            <v>7.0000000000000007E-2</v>
          </cell>
          <cell r="I9"/>
          <cell r="J9">
            <v>7.0000000000000007E-2</v>
          </cell>
          <cell r="K9"/>
          <cell r="L9">
            <v>7.0000000000000007E-2</v>
          </cell>
          <cell r="M9"/>
          <cell r="N9">
            <v>0.09</v>
          </cell>
          <cell r="O9"/>
          <cell r="P9">
            <v>7.0000000000000007E-2</v>
          </cell>
          <cell r="Q9"/>
          <cell r="R9">
            <v>7.0000000000000007E-2</v>
          </cell>
          <cell r="S9"/>
          <cell r="T9">
            <v>7.0000000000000007E-2</v>
          </cell>
          <cell r="U9">
            <v>0.09</v>
          </cell>
          <cell r="V9">
            <v>7.0000000000000007E-2</v>
          </cell>
          <cell r="W9">
            <v>7.0000000000000007E-2</v>
          </cell>
          <cell r="X9">
            <v>7.0000000000000007E-2</v>
          </cell>
          <cell r="Y9">
            <v>0.09</v>
          </cell>
          <cell r="Z9">
            <v>0.09</v>
          </cell>
          <cell r="AA9">
            <v>7.0000000000000007E-2</v>
          </cell>
          <cell r="AB9">
            <v>0.09</v>
          </cell>
          <cell r="AC9">
            <v>0.09</v>
          </cell>
          <cell r="AD9">
            <v>7.0000000000000007E-2</v>
          </cell>
          <cell r="AE9">
            <v>0.09</v>
          </cell>
          <cell r="AF9">
            <v>0.09</v>
          </cell>
          <cell r="AG9">
            <v>0.09</v>
          </cell>
          <cell r="AH9">
            <v>0.09</v>
          </cell>
          <cell r="AI9">
            <v>7.0000000000000007E-2</v>
          </cell>
          <cell r="AJ9">
            <v>7.0000000000000007E-2</v>
          </cell>
          <cell r="AK9">
            <v>0.09</v>
          </cell>
          <cell r="AL9">
            <v>7.0000000000000007E-2</v>
          </cell>
          <cell r="AM9">
            <v>7.0000000000000007E-2</v>
          </cell>
          <cell r="AN9">
            <v>7.0000000000000007E-2</v>
          </cell>
          <cell r="AO9">
            <v>7.0000000000000007E-2</v>
          </cell>
          <cell r="AP9">
            <v>7.0000000000000007E-2</v>
          </cell>
          <cell r="AQ9">
            <v>0.09</v>
          </cell>
          <cell r="AR9">
            <v>7.0000000000000007E-2</v>
          </cell>
          <cell r="AS9">
            <v>7.0000000000000007E-2</v>
          </cell>
          <cell r="AT9">
            <v>7.0000000000000007E-2</v>
          </cell>
          <cell r="AU9">
            <v>7.0000000000000007E-2</v>
          </cell>
          <cell r="AV9">
            <v>7.0000000000000007E-2</v>
          </cell>
          <cell r="AW9">
            <v>7.0000000000000007E-2</v>
          </cell>
          <cell r="AX9">
            <v>7.0000000000000007E-2</v>
          </cell>
          <cell r="AY9">
            <v>7.0000000000000007E-2</v>
          </cell>
          <cell r="AZ9">
            <v>0.09</v>
          </cell>
          <cell r="BA9">
            <v>7.0000000000000007E-2</v>
          </cell>
          <cell r="BB9">
            <v>7.0000000000000007E-2</v>
          </cell>
          <cell r="BC9">
            <v>7.0000000000000007E-2</v>
          </cell>
          <cell r="BD9">
            <v>0.09</v>
          </cell>
          <cell r="BE9">
            <v>7.0000000000000007E-2</v>
          </cell>
          <cell r="BF9">
            <v>0.09</v>
          </cell>
          <cell r="BG9">
            <v>0.09</v>
          </cell>
          <cell r="BH9">
            <v>7.0000000000000007E-2</v>
          </cell>
          <cell r="BI9">
            <v>0.09</v>
          </cell>
          <cell r="BJ9">
            <v>0.09</v>
          </cell>
          <cell r="BK9">
            <v>0.09</v>
          </cell>
          <cell r="BL9">
            <v>7.0000000000000007E-2</v>
          </cell>
          <cell r="BM9">
            <v>7.0000000000000007E-2</v>
          </cell>
          <cell r="BN9">
            <v>0.09</v>
          </cell>
          <cell r="BO9">
            <v>0.09</v>
          </cell>
          <cell r="BP9">
            <v>0.09</v>
          </cell>
          <cell r="BQ9"/>
          <cell r="BR9"/>
          <cell r="BS9"/>
          <cell r="BT9"/>
          <cell r="BU9"/>
          <cell r="BV9"/>
        </row>
        <row r="10">
          <cell r="B10" t="str">
            <v>פחת גביה 2013</v>
          </cell>
          <cell r="D10">
            <v>6.5000000000000002E-2</v>
          </cell>
          <cell r="E10"/>
          <cell r="F10">
            <v>6.5000000000000002E-2</v>
          </cell>
          <cell r="G10"/>
          <cell r="H10">
            <v>6.5000000000000002E-2</v>
          </cell>
          <cell r="I10"/>
          <cell r="J10">
            <v>6.5000000000000002E-2</v>
          </cell>
          <cell r="K10"/>
          <cell r="L10">
            <v>6.5000000000000002E-2</v>
          </cell>
          <cell r="M10"/>
          <cell r="N10">
            <v>7.4999999999999997E-2</v>
          </cell>
          <cell r="O10"/>
          <cell r="P10">
            <v>6.5000000000000002E-2</v>
          </cell>
          <cell r="Q10"/>
          <cell r="R10">
            <v>6.5000000000000002E-2</v>
          </cell>
          <cell r="S10"/>
          <cell r="T10">
            <v>6.5000000000000002E-2</v>
          </cell>
          <cell r="U10">
            <v>7.4999999999999997E-2</v>
          </cell>
          <cell r="V10">
            <v>6.5000000000000002E-2</v>
          </cell>
          <cell r="W10">
            <v>6.5000000000000002E-2</v>
          </cell>
          <cell r="X10">
            <v>6.5000000000000002E-2</v>
          </cell>
          <cell r="Y10">
            <v>7.4999999999999997E-2</v>
          </cell>
          <cell r="Z10">
            <v>7.4999999999999997E-2</v>
          </cell>
          <cell r="AA10">
            <v>6.5000000000000002E-2</v>
          </cell>
          <cell r="AB10">
            <v>7.4999999999999997E-2</v>
          </cell>
          <cell r="AC10">
            <v>7.4999999999999997E-2</v>
          </cell>
          <cell r="AD10">
            <v>6.5000000000000002E-2</v>
          </cell>
          <cell r="AE10">
            <v>7.4999999999999997E-2</v>
          </cell>
          <cell r="AF10">
            <v>7.4999999999999997E-2</v>
          </cell>
          <cell r="AG10">
            <v>7.4999999999999997E-2</v>
          </cell>
          <cell r="AH10">
            <v>7.4999999999999997E-2</v>
          </cell>
          <cell r="AI10">
            <v>6.5000000000000002E-2</v>
          </cell>
          <cell r="AJ10">
            <v>6.5000000000000002E-2</v>
          </cell>
          <cell r="AK10">
            <v>7.4999999999999997E-2</v>
          </cell>
          <cell r="AL10">
            <v>6.5000000000000002E-2</v>
          </cell>
          <cell r="AM10">
            <v>6.5000000000000002E-2</v>
          </cell>
          <cell r="AN10">
            <v>6.5000000000000002E-2</v>
          </cell>
          <cell r="AO10">
            <v>6.5000000000000002E-2</v>
          </cell>
          <cell r="AP10">
            <v>6.5000000000000002E-2</v>
          </cell>
          <cell r="AQ10">
            <v>7.4999999999999997E-2</v>
          </cell>
          <cell r="AR10">
            <v>6.5000000000000002E-2</v>
          </cell>
          <cell r="AS10">
            <v>6.5000000000000002E-2</v>
          </cell>
          <cell r="AT10">
            <v>6.5000000000000002E-2</v>
          </cell>
          <cell r="AU10">
            <v>6.5000000000000002E-2</v>
          </cell>
          <cell r="AV10">
            <v>6.5000000000000002E-2</v>
          </cell>
          <cell r="AW10">
            <v>6.5000000000000002E-2</v>
          </cell>
          <cell r="AX10">
            <v>6.5000000000000002E-2</v>
          </cell>
          <cell r="AY10">
            <v>6.5000000000000002E-2</v>
          </cell>
          <cell r="AZ10">
            <v>7.4999999999999997E-2</v>
          </cell>
          <cell r="BA10">
            <v>6.5000000000000002E-2</v>
          </cell>
          <cell r="BB10">
            <v>6.5000000000000002E-2</v>
          </cell>
          <cell r="BC10">
            <v>6.5000000000000002E-2</v>
          </cell>
          <cell r="BD10">
            <v>7.4999999999999997E-2</v>
          </cell>
          <cell r="BE10">
            <v>6.5000000000000002E-2</v>
          </cell>
          <cell r="BF10">
            <v>7.4999999999999997E-2</v>
          </cell>
          <cell r="BG10">
            <v>7.4999999999999997E-2</v>
          </cell>
          <cell r="BH10">
            <v>6.5000000000000002E-2</v>
          </cell>
          <cell r="BI10">
            <v>7.4999999999999997E-2</v>
          </cell>
          <cell r="BJ10">
            <v>7.4999999999999997E-2</v>
          </cell>
          <cell r="BK10">
            <v>7.4999999999999997E-2</v>
          </cell>
          <cell r="BL10">
            <v>6.5000000000000002E-2</v>
          </cell>
          <cell r="BM10">
            <v>6.5000000000000002E-2</v>
          </cell>
          <cell r="BN10">
            <v>7.4999999999999997E-2</v>
          </cell>
          <cell r="BO10">
            <v>7.4999999999999997E-2</v>
          </cell>
          <cell r="BP10">
            <v>7.4999999999999997E-2</v>
          </cell>
        </row>
        <row r="11">
          <cell r="B11" t="str">
            <v>פחת גביה 2014</v>
          </cell>
          <cell r="D11">
            <v>0.06</v>
          </cell>
          <cell r="E11"/>
          <cell r="F11">
            <v>0.06</v>
          </cell>
          <cell r="G11"/>
          <cell r="H11">
            <v>0.06</v>
          </cell>
          <cell r="I11"/>
          <cell r="J11">
            <v>0.06</v>
          </cell>
          <cell r="K11"/>
          <cell r="L11">
            <v>0.06</v>
          </cell>
          <cell r="M11"/>
          <cell r="N11">
            <v>0.06</v>
          </cell>
          <cell r="O11"/>
          <cell r="P11">
            <v>0.06</v>
          </cell>
          <cell r="Q11"/>
          <cell r="R11">
            <v>0.06</v>
          </cell>
          <cell r="S11"/>
          <cell r="T11">
            <v>0.06</v>
          </cell>
          <cell r="U11">
            <v>0.06</v>
          </cell>
          <cell r="V11">
            <v>0.06</v>
          </cell>
          <cell r="W11">
            <v>0.06</v>
          </cell>
          <cell r="X11">
            <v>0.06</v>
          </cell>
          <cell r="Y11">
            <v>0.06</v>
          </cell>
          <cell r="Z11">
            <v>0.06</v>
          </cell>
          <cell r="AA11">
            <v>0.06</v>
          </cell>
          <cell r="AB11">
            <v>0.06</v>
          </cell>
          <cell r="AC11">
            <v>0.06</v>
          </cell>
          <cell r="AD11">
            <v>0.06</v>
          </cell>
          <cell r="AE11">
            <v>0.06</v>
          </cell>
          <cell r="AF11">
            <v>0.06</v>
          </cell>
          <cell r="AG11">
            <v>0.06</v>
          </cell>
          <cell r="AH11">
            <v>0.06</v>
          </cell>
          <cell r="AI11">
            <v>0.06</v>
          </cell>
          <cell r="AJ11">
            <v>0.06</v>
          </cell>
          <cell r="AK11">
            <v>0.06</v>
          </cell>
          <cell r="AL11">
            <v>0.06</v>
          </cell>
          <cell r="AM11">
            <v>0.06</v>
          </cell>
          <cell r="AN11">
            <v>0.06</v>
          </cell>
          <cell r="AO11">
            <v>0.06</v>
          </cell>
          <cell r="AP11">
            <v>0.06</v>
          </cell>
          <cell r="AQ11">
            <v>0.06</v>
          </cell>
          <cell r="AR11">
            <v>0.06</v>
          </cell>
          <cell r="AS11">
            <v>0.06</v>
          </cell>
          <cell r="AT11">
            <v>0.06</v>
          </cell>
          <cell r="AU11">
            <v>0.06</v>
          </cell>
          <cell r="AV11">
            <v>0.06</v>
          </cell>
          <cell r="AW11">
            <v>0.06</v>
          </cell>
          <cell r="AX11">
            <v>0.06</v>
          </cell>
          <cell r="AY11">
            <v>0.06</v>
          </cell>
          <cell r="AZ11">
            <v>0.06</v>
          </cell>
          <cell r="BA11">
            <v>0.06</v>
          </cell>
          <cell r="BB11">
            <v>0.06</v>
          </cell>
          <cell r="BC11">
            <v>0.06</v>
          </cell>
          <cell r="BD11">
            <v>0.06</v>
          </cell>
          <cell r="BE11">
            <v>0.06</v>
          </cell>
          <cell r="BF11">
            <v>0.06</v>
          </cell>
          <cell r="BG11">
            <v>0.06</v>
          </cell>
          <cell r="BH11">
            <v>0.06</v>
          </cell>
          <cell r="BI11">
            <v>0.06</v>
          </cell>
          <cell r="BJ11">
            <v>0.06</v>
          </cell>
          <cell r="BK11">
            <v>0.06</v>
          </cell>
          <cell r="BL11">
            <v>0.06</v>
          </cell>
          <cell r="BM11">
            <v>0.06</v>
          </cell>
          <cell r="BN11">
            <v>0.06</v>
          </cell>
          <cell r="BO11">
            <v>0.06</v>
          </cell>
          <cell r="BP11">
            <v>0.06</v>
          </cell>
        </row>
        <row r="12">
          <cell r="B12" t="str">
            <v>פחת מים 2010</v>
          </cell>
          <cell r="D12">
            <v>0.11</v>
          </cell>
          <cell r="E12"/>
          <cell r="F12">
            <v>0.11</v>
          </cell>
          <cell r="G12"/>
          <cell r="H12">
            <v>0.11</v>
          </cell>
          <cell r="I12"/>
          <cell r="J12">
            <v>0.11</v>
          </cell>
          <cell r="K12"/>
          <cell r="L12">
            <v>0.11</v>
          </cell>
          <cell r="M12"/>
          <cell r="N12">
            <v>0.15</v>
          </cell>
          <cell r="O12"/>
          <cell r="P12">
            <v>0.11</v>
          </cell>
          <cell r="Q12"/>
          <cell r="R12">
            <v>0.11</v>
          </cell>
          <cell r="S12"/>
          <cell r="T12">
            <v>0.11</v>
          </cell>
          <cell r="U12">
            <v>0.15</v>
          </cell>
          <cell r="V12">
            <v>0.11</v>
          </cell>
          <cell r="W12">
            <v>0.11</v>
          </cell>
          <cell r="X12">
            <v>0.11</v>
          </cell>
          <cell r="Y12">
            <v>0.15</v>
          </cell>
          <cell r="Z12">
            <v>0.15</v>
          </cell>
          <cell r="AA12">
            <v>0.11</v>
          </cell>
          <cell r="AB12">
            <v>0.15</v>
          </cell>
          <cell r="AC12">
            <v>0.15</v>
          </cell>
          <cell r="AD12">
            <v>0.11</v>
          </cell>
          <cell r="AE12">
            <v>0.15</v>
          </cell>
          <cell r="AF12">
            <v>0.15</v>
          </cell>
          <cell r="AG12">
            <v>0.15</v>
          </cell>
          <cell r="AH12">
            <v>0.15</v>
          </cell>
          <cell r="AI12">
            <v>0.11</v>
          </cell>
          <cell r="AJ12">
            <v>0.11</v>
          </cell>
          <cell r="AK12">
            <v>0.15</v>
          </cell>
          <cell r="AL12">
            <v>0.11</v>
          </cell>
          <cell r="AM12">
            <v>0.11</v>
          </cell>
          <cell r="AN12">
            <v>0.11</v>
          </cell>
          <cell r="AO12">
            <v>0.11</v>
          </cell>
          <cell r="AP12">
            <v>0.11</v>
          </cell>
          <cell r="AQ12">
            <v>0.15</v>
          </cell>
          <cell r="AR12">
            <v>0.11</v>
          </cell>
          <cell r="AS12">
            <v>0.11</v>
          </cell>
          <cell r="AT12">
            <v>0.11</v>
          </cell>
          <cell r="AU12">
            <v>0.11</v>
          </cell>
          <cell r="AV12">
            <v>0.11</v>
          </cell>
          <cell r="AW12">
            <v>0.11</v>
          </cell>
          <cell r="AX12">
            <v>0.11</v>
          </cell>
          <cell r="AY12">
            <v>0.11</v>
          </cell>
          <cell r="AZ12">
            <v>0.15</v>
          </cell>
          <cell r="BA12">
            <v>0.11</v>
          </cell>
          <cell r="BB12">
            <v>0.11</v>
          </cell>
          <cell r="BC12">
            <v>0.11</v>
          </cell>
          <cell r="BD12">
            <v>0.15</v>
          </cell>
          <cell r="BE12">
            <v>0.11</v>
          </cell>
          <cell r="BF12">
            <v>0.15</v>
          </cell>
          <cell r="BG12">
            <v>0.15</v>
          </cell>
          <cell r="BH12">
            <v>0.11</v>
          </cell>
          <cell r="BI12">
            <v>0.15</v>
          </cell>
          <cell r="BJ12">
            <v>0.15</v>
          </cell>
          <cell r="BK12">
            <v>0.15</v>
          </cell>
          <cell r="BL12">
            <v>0.11</v>
          </cell>
          <cell r="BM12">
            <v>0.11</v>
          </cell>
          <cell r="BN12">
            <v>0.15</v>
          </cell>
          <cell r="BO12">
            <v>0.15</v>
          </cell>
          <cell r="BP12">
            <v>0.15</v>
          </cell>
        </row>
        <row r="13">
          <cell r="B13" t="str">
            <v>פחת מים 2011</v>
          </cell>
          <cell r="D13">
            <v>8.7499999999999994E-2</v>
          </cell>
          <cell r="E13"/>
          <cell r="F13">
            <v>8.7499999999999994E-2</v>
          </cell>
          <cell r="G13"/>
          <cell r="H13">
            <v>8.7499999999999994E-2</v>
          </cell>
          <cell r="I13"/>
          <cell r="J13">
            <v>8.7499999999999994E-2</v>
          </cell>
          <cell r="K13"/>
          <cell r="L13">
            <v>8.7499999999999994E-2</v>
          </cell>
          <cell r="M13"/>
          <cell r="N13">
            <v>0.13250000000000001</v>
          </cell>
          <cell r="O13"/>
          <cell r="P13">
            <v>8.7499999999999994E-2</v>
          </cell>
          <cell r="Q13"/>
          <cell r="R13">
            <v>8.7499999999999994E-2</v>
          </cell>
          <cell r="S13"/>
          <cell r="T13">
            <v>8.7499999999999994E-2</v>
          </cell>
          <cell r="U13">
            <v>0.13250000000000001</v>
          </cell>
          <cell r="V13">
            <v>8.7499999999999994E-2</v>
          </cell>
          <cell r="W13">
            <v>8.7499999999999994E-2</v>
          </cell>
          <cell r="X13">
            <v>8.7499999999999994E-2</v>
          </cell>
          <cell r="Y13">
            <v>0.13250000000000001</v>
          </cell>
          <cell r="Z13">
            <v>0.13250000000000001</v>
          </cell>
          <cell r="AA13">
            <v>8.7499999999999994E-2</v>
          </cell>
          <cell r="AB13">
            <v>0.13250000000000001</v>
          </cell>
          <cell r="AC13">
            <v>0.13250000000000001</v>
          </cell>
          <cell r="AD13">
            <v>8.7499999999999994E-2</v>
          </cell>
          <cell r="AE13">
            <v>0.13250000000000001</v>
          </cell>
          <cell r="AF13">
            <v>0.13250000000000001</v>
          </cell>
          <cell r="AG13">
            <v>0.13250000000000001</v>
          </cell>
          <cell r="AH13">
            <v>0.13250000000000001</v>
          </cell>
          <cell r="AI13">
            <v>8.7499999999999994E-2</v>
          </cell>
          <cell r="AJ13">
            <v>8.7499999999999994E-2</v>
          </cell>
          <cell r="AK13">
            <v>0.13250000000000001</v>
          </cell>
          <cell r="AL13">
            <v>8.7499999999999994E-2</v>
          </cell>
          <cell r="AM13">
            <v>8.7499999999999994E-2</v>
          </cell>
          <cell r="AN13">
            <v>8.7499999999999994E-2</v>
          </cell>
          <cell r="AO13">
            <v>8.7499999999999994E-2</v>
          </cell>
          <cell r="AP13">
            <v>8.7499999999999994E-2</v>
          </cell>
          <cell r="AQ13">
            <v>0.13250000000000001</v>
          </cell>
          <cell r="AR13">
            <v>8.7499999999999994E-2</v>
          </cell>
          <cell r="AS13">
            <v>8.7499999999999994E-2</v>
          </cell>
          <cell r="AT13">
            <v>8.7499999999999994E-2</v>
          </cell>
          <cell r="AU13">
            <v>8.7499999999999994E-2</v>
          </cell>
          <cell r="AV13">
            <v>8.7499999999999994E-2</v>
          </cell>
          <cell r="AW13">
            <v>8.7499999999999994E-2</v>
          </cell>
          <cell r="AX13">
            <v>8.7499999999999994E-2</v>
          </cell>
          <cell r="AY13">
            <v>8.7499999999999994E-2</v>
          </cell>
          <cell r="AZ13">
            <v>0.13250000000000001</v>
          </cell>
          <cell r="BA13">
            <v>8.7499999999999994E-2</v>
          </cell>
          <cell r="BB13">
            <v>8.7499999999999994E-2</v>
          </cell>
          <cell r="BC13">
            <v>8.7499999999999994E-2</v>
          </cell>
          <cell r="BD13">
            <v>0.13250000000000001</v>
          </cell>
          <cell r="BE13">
            <v>8.7499999999999994E-2</v>
          </cell>
          <cell r="BF13">
            <v>0.13250000000000001</v>
          </cell>
          <cell r="BG13">
            <v>0.13250000000000001</v>
          </cell>
          <cell r="BH13">
            <v>8.7499999999999994E-2</v>
          </cell>
          <cell r="BI13">
            <v>0.13250000000000001</v>
          </cell>
          <cell r="BJ13">
            <v>0.13250000000000001</v>
          </cell>
          <cell r="BK13">
            <v>0.13250000000000001</v>
          </cell>
          <cell r="BL13">
            <v>8.7499999999999994E-2</v>
          </cell>
          <cell r="BM13">
            <v>8.7499999999999994E-2</v>
          </cell>
          <cell r="BN13">
            <v>0.13250000000000001</v>
          </cell>
          <cell r="BO13">
            <v>0.13250000000000001</v>
          </cell>
          <cell r="BP13">
            <v>0.13250000000000001</v>
          </cell>
        </row>
        <row r="14">
          <cell r="B14" t="str">
            <v>פחת מים 2012</v>
          </cell>
          <cell r="D14">
            <v>9.5000000000000001E-2</v>
          </cell>
          <cell r="E14"/>
          <cell r="F14">
            <v>9.5000000000000001E-2</v>
          </cell>
          <cell r="G14"/>
          <cell r="H14">
            <v>9.5000000000000001E-2</v>
          </cell>
          <cell r="I14"/>
          <cell r="J14">
            <v>9.5000000000000001E-2</v>
          </cell>
          <cell r="K14"/>
          <cell r="L14">
            <v>9.5000000000000001E-2</v>
          </cell>
          <cell r="M14"/>
          <cell r="N14">
            <v>0.115</v>
          </cell>
          <cell r="O14"/>
          <cell r="P14">
            <v>9.5000000000000001E-2</v>
          </cell>
          <cell r="Q14"/>
          <cell r="R14">
            <v>9.5000000000000001E-2</v>
          </cell>
          <cell r="S14"/>
          <cell r="T14">
            <v>9.5000000000000001E-2</v>
          </cell>
          <cell r="U14">
            <v>0.115</v>
          </cell>
          <cell r="V14">
            <v>9.5000000000000001E-2</v>
          </cell>
          <cell r="W14">
            <v>9.5000000000000001E-2</v>
          </cell>
          <cell r="X14">
            <v>9.5000000000000001E-2</v>
          </cell>
          <cell r="Y14">
            <v>0.115</v>
          </cell>
          <cell r="Z14">
            <v>0.115</v>
          </cell>
          <cell r="AA14">
            <v>9.5000000000000001E-2</v>
          </cell>
          <cell r="AB14">
            <v>0.115</v>
          </cell>
          <cell r="AC14">
            <v>0.115</v>
          </cell>
          <cell r="AD14">
            <v>9.5000000000000001E-2</v>
          </cell>
          <cell r="AE14">
            <v>0.115</v>
          </cell>
          <cell r="AF14">
            <v>0.115</v>
          </cell>
          <cell r="AG14">
            <v>0.115</v>
          </cell>
          <cell r="AH14">
            <v>0.115</v>
          </cell>
          <cell r="AI14">
            <v>9.5000000000000001E-2</v>
          </cell>
          <cell r="AJ14">
            <v>9.5000000000000001E-2</v>
          </cell>
          <cell r="AK14">
            <v>0.115</v>
          </cell>
          <cell r="AL14">
            <v>9.5000000000000001E-2</v>
          </cell>
          <cell r="AM14">
            <v>9.5000000000000001E-2</v>
          </cell>
          <cell r="AN14">
            <v>9.5000000000000001E-2</v>
          </cell>
          <cell r="AO14">
            <v>9.5000000000000001E-2</v>
          </cell>
          <cell r="AP14">
            <v>9.5000000000000001E-2</v>
          </cell>
          <cell r="AQ14">
            <v>0.115</v>
          </cell>
          <cell r="AR14">
            <v>9.5000000000000001E-2</v>
          </cell>
          <cell r="AS14">
            <v>9.5000000000000001E-2</v>
          </cell>
          <cell r="AT14">
            <v>9.5000000000000001E-2</v>
          </cell>
          <cell r="AU14">
            <v>9.5000000000000001E-2</v>
          </cell>
          <cell r="AV14">
            <v>9.5000000000000001E-2</v>
          </cell>
          <cell r="AW14">
            <v>9.5000000000000001E-2</v>
          </cell>
          <cell r="AX14">
            <v>9.5000000000000001E-2</v>
          </cell>
          <cell r="AY14">
            <v>9.5000000000000001E-2</v>
          </cell>
          <cell r="AZ14">
            <v>0.115</v>
          </cell>
          <cell r="BA14">
            <v>9.5000000000000001E-2</v>
          </cell>
          <cell r="BB14">
            <v>9.5000000000000001E-2</v>
          </cell>
          <cell r="BC14">
            <v>9.5000000000000001E-2</v>
          </cell>
          <cell r="BD14">
            <v>0.115</v>
          </cell>
          <cell r="BE14">
            <v>9.5000000000000001E-2</v>
          </cell>
          <cell r="BF14">
            <v>0.115</v>
          </cell>
          <cell r="BG14">
            <v>0.115</v>
          </cell>
          <cell r="BH14">
            <v>9.5000000000000001E-2</v>
          </cell>
          <cell r="BI14">
            <v>0.115</v>
          </cell>
          <cell r="BJ14">
            <v>0.115</v>
          </cell>
          <cell r="BK14">
            <v>0.115</v>
          </cell>
          <cell r="BL14">
            <v>9.5000000000000001E-2</v>
          </cell>
          <cell r="BM14">
            <v>9.5000000000000001E-2</v>
          </cell>
          <cell r="BN14">
            <v>0.115</v>
          </cell>
          <cell r="BO14">
            <v>0.115</v>
          </cell>
          <cell r="BP14">
            <v>0.115</v>
          </cell>
        </row>
        <row r="15">
          <cell r="B15" t="str">
            <v>פחת מים 2013</v>
          </cell>
          <cell r="D15">
            <v>8.7499999999999994E-2</v>
          </cell>
          <cell r="E15"/>
          <cell r="F15">
            <v>8.7499999999999994E-2</v>
          </cell>
          <cell r="G15"/>
          <cell r="H15">
            <v>8.7499999999999994E-2</v>
          </cell>
          <cell r="I15"/>
          <cell r="J15">
            <v>8.7499999999999994E-2</v>
          </cell>
          <cell r="K15"/>
          <cell r="L15">
            <v>8.7499999999999994E-2</v>
          </cell>
          <cell r="M15"/>
          <cell r="N15">
            <v>9.7500000000000003E-2</v>
          </cell>
          <cell r="O15"/>
          <cell r="P15">
            <v>8.7499999999999994E-2</v>
          </cell>
          <cell r="Q15"/>
          <cell r="R15">
            <v>8.7499999999999994E-2</v>
          </cell>
          <cell r="S15"/>
          <cell r="T15">
            <v>8.7499999999999994E-2</v>
          </cell>
          <cell r="U15">
            <v>9.7500000000000003E-2</v>
          </cell>
          <cell r="V15">
            <v>8.7499999999999994E-2</v>
          </cell>
          <cell r="W15">
            <v>8.7499999999999994E-2</v>
          </cell>
          <cell r="X15">
            <v>8.7499999999999994E-2</v>
          </cell>
          <cell r="Y15">
            <v>9.7500000000000003E-2</v>
          </cell>
          <cell r="Z15">
            <v>9.7500000000000003E-2</v>
          </cell>
          <cell r="AA15">
            <v>8.7499999999999994E-2</v>
          </cell>
          <cell r="AB15">
            <v>9.7500000000000003E-2</v>
          </cell>
          <cell r="AC15">
            <v>9.7500000000000003E-2</v>
          </cell>
          <cell r="AD15">
            <v>8.7499999999999994E-2</v>
          </cell>
          <cell r="AE15">
            <v>9.7500000000000003E-2</v>
          </cell>
          <cell r="AF15">
            <v>9.7500000000000003E-2</v>
          </cell>
          <cell r="AG15">
            <v>9.7500000000000003E-2</v>
          </cell>
          <cell r="AH15">
            <v>9.7500000000000003E-2</v>
          </cell>
          <cell r="AI15">
            <v>8.7499999999999994E-2</v>
          </cell>
          <cell r="AJ15">
            <v>8.7499999999999994E-2</v>
          </cell>
          <cell r="AK15">
            <v>9.7500000000000003E-2</v>
          </cell>
          <cell r="AL15">
            <v>8.7499999999999994E-2</v>
          </cell>
          <cell r="AM15">
            <v>8.7499999999999994E-2</v>
          </cell>
          <cell r="AN15">
            <v>8.7499999999999994E-2</v>
          </cell>
          <cell r="AO15">
            <v>8.7499999999999994E-2</v>
          </cell>
          <cell r="AP15">
            <v>8.7499999999999994E-2</v>
          </cell>
          <cell r="AQ15">
            <v>9.7500000000000003E-2</v>
          </cell>
          <cell r="AR15">
            <v>8.7499999999999994E-2</v>
          </cell>
          <cell r="AS15">
            <v>8.7499999999999994E-2</v>
          </cell>
          <cell r="AT15">
            <v>8.7499999999999994E-2</v>
          </cell>
          <cell r="AU15">
            <v>8.7499999999999994E-2</v>
          </cell>
          <cell r="AV15">
            <v>8.7499999999999994E-2</v>
          </cell>
          <cell r="AW15">
            <v>8.7499999999999994E-2</v>
          </cell>
          <cell r="AX15">
            <v>8.7499999999999994E-2</v>
          </cell>
          <cell r="AY15">
            <v>8.7499999999999994E-2</v>
          </cell>
          <cell r="AZ15">
            <v>9.7500000000000003E-2</v>
          </cell>
          <cell r="BA15">
            <v>8.7499999999999994E-2</v>
          </cell>
          <cell r="BB15">
            <v>8.7499999999999994E-2</v>
          </cell>
          <cell r="BC15">
            <v>8.7499999999999994E-2</v>
          </cell>
          <cell r="BD15">
            <v>9.7500000000000003E-2</v>
          </cell>
          <cell r="BE15">
            <v>8.7499999999999994E-2</v>
          </cell>
          <cell r="BF15">
            <v>9.7500000000000003E-2</v>
          </cell>
          <cell r="BG15">
            <v>9.7500000000000003E-2</v>
          </cell>
          <cell r="BH15">
            <v>8.7499999999999994E-2</v>
          </cell>
          <cell r="BI15">
            <v>9.7500000000000003E-2</v>
          </cell>
          <cell r="BJ15">
            <v>9.7500000000000003E-2</v>
          </cell>
          <cell r="BK15">
            <v>9.7500000000000003E-2</v>
          </cell>
          <cell r="BL15">
            <v>8.7499999999999994E-2</v>
          </cell>
          <cell r="BM15">
            <v>8.7499999999999994E-2</v>
          </cell>
          <cell r="BN15">
            <v>9.7500000000000003E-2</v>
          </cell>
          <cell r="BO15">
            <v>9.7500000000000003E-2</v>
          </cell>
          <cell r="BP15">
            <v>9.7500000000000003E-2</v>
          </cell>
          <cell r="BQ15"/>
        </row>
        <row r="16">
          <cell r="B16" t="str">
            <v>פחת מים2014</v>
          </cell>
          <cell r="C16"/>
          <cell r="D16">
            <v>0.08</v>
          </cell>
          <cell r="E16"/>
          <cell r="F16">
            <v>0.08</v>
          </cell>
          <cell r="G16"/>
          <cell r="H16">
            <v>0.08</v>
          </cell>
          <cell r="I16"/>
          <cell r="J16">
            <v>0.08</v>
          </cell>
          <cell r="K16"/>
          <cell r="L16">
            <v>0.08</v>
          </cell>
          <cell r="M16"/>
          <cell r="N16">
            <v>0.08</v>
          </cell>
          <cell r="O16"/>
          <cell r="P16">
            <v>0.08</v>
          </cell>
          <cell r="Q16"/>
          <cell r="R16">
            <v>0.08</v>
          </cell>
          <cell r="S16"/>
          <cell r="T16">
            <v>0.08</v>
          </cell>
          <cell r="U16">
            <v>0.08</v>
          </cell>
          <cell r="V16">
            <v>0.08</v>
          </cell>
          <cell r="W16">
            <v>0.08</v>
          </cell>
          <cell r="X16">
            <v>0.08</v>
          </cell>
          <cell r="Y16">
            <v>0.08</v>
          </cell>
          <cell r="Z16">
            <v>0.08</v>
          </cell>
          <cell r="AA16">
            <v>0.08</v>
          </cell>
          <cell r="AB16">
            <v>0.08</v>
          </cell>
          <cell r="AC16">
            <v>0.08</v>
          </cell>
          <cell r="AD16">
            <v>0.08</v>
          </cell>
          <cell r="AE16">
            <v>0.08</v>
          </cell>
          <cell r="AF16">
            <v>0.08</v>
          </cell>
          <cell r="AG16">
            <v>0.08</v>
          </cell>
          <cell r="AH16">
            <v>0.08</v>
          </cell>
          <cell r="AI16">
            <v>0.08</v>
          </cell>
          <cell r="AJ16">
            <v>0.08</v>
          </cell>
          <cell r="AK16">
            <v>0.08</v>
          </cell>
          <cell r="AL16">
            <v>0.08</v>
          </cell>
          <cell r="AM16">
            <v>0.08</v>
          </cell>
          <cell r="AN16">
            <v>0.08</v>
          </cell>
          <cell r="AO16">
            <v>0.08</v>
          </cell>
          <cell r="AP16">
            <v>0.08</v>
          </cell>
          <cell r="AQ16">
            <v>0.08</v>
          </cell>
          <cell r="AR16">
            <v>0.08</v>
          </cell>
          <cell r="AS16">
            <v>0.08</v>
          </cell>
          <cell r="AT16">
            <v>0.08</v>
          </cell>
          <cell r="AU16">
            <v>0.08</v>
          </cell>
          <cell r="AV16">
            <v>0.08</v>
          </cell>
          <cell r="AW16">
            <v>0.08</v>
          </cell>
          <cell r="AX16">
            <v>0.08</v>
          </cell>
          <cell r="AY16">
            <v>0.08</v>
          </cell>
          <cell r="AZ16">
            <v>0.08</v>
          </cell>
          <cell r="BA16">
            <v>0.08</v>
          </cell>
          <cell r="BB16">
            <v>0.08</v>
          </cell>
          <cell r="BC16">
            <v>0.08</v>
          </cell>
          <cell r="BD16">
            <v>0.08</v>
          </cell>
          <cell r="BE16">
            <v>0.08</v>
          </cell>
          <cell r="BF16">
            <v>0.08</v>
          </cell>
          <cell r="BG16">
            <v>0.08</v>
          </cell>
          <cell r="BH16">
            <v>0.08</v>
          </cell>
          <cell r="BI16">
            <v>0.08</v>
          </cell>
          <cell r="BJ16">
            <v>0.08</v>
          </cell>
          <cell r="BK16">
            <v>0.08</v>
          </cell>
          <cell r="BL16">
            <v>0.08</v>
          </cell>
          <cell r="BM16">
            <v>0.08</v>
          </cell>
          <cell r="BN16">
            <v>0.08</v>
          </cell>
          <cell r="BO16">
            <v>0.08</v>
          </cell>
          <cell r="BP16">
            <v>0.08</v>
          </cell>
          <cell r="BQ16"/>
          <cell r="BR16"/>
          <cell r="BS16"/>
          <cell r="BT16"/>
          <cell r="BU16"/>
          <cell r="BV16"/>
        </row>
        <row r="17">
          <cell r="T17"/>
          <cell r="U17"/>
          <cell r="Y17"/>
        </row>
        <row r="18">
          <cell r="B18" t="str">
            <v>שיעור החוב המוכר</v>
          </cell>
          <cell r="D18">
            <v>0.31259578257918458</v>
          </cell>
          <cell r="E18"/>
          <cell r="F18">
            <v>0.4</v>
          </cell>
          <cell r="G18"/>
          <cell r="H18">
            <v>0.55000000000000004</v>
          </cell>
          <cell r="I18"/>
          <cell r="J18">
            <v>0.4</v>
          </cell>
          <cell r="K18"/>
          <cell r="L18">
            <v>0.3</v>
          </cell>
          <cell r="M18"/>
          <cell r="N18">
            <v>0.19700000000000001</v>
          </cell>
          <cell r="O18"/>
          <cell r="P18">
            <v>0.5</v>
          </cell>
          <cell r="Q18"/>
          <cell r="R18">
            <v>0.3</v>
          </cell>
          <cell r="S18"/>
          <cell r="T18">
            <v>0.4</v>
          </cell>
          <cell r="U18">
            <v>0.4</v>
          </cell>
          <cell r="V18">
            <v>0.3</v>
          </cell>
          <cell r="W18">
            <v>0.35</v>
          </cell>
          <cell r="X18">
            <v>0.4</v>
          </cell>
          <cell r="Y18">
            <v>0.4</v>
          </cell>
          <cell r="Z18">
            <v>0.3</v>
          </cell>
          <cell r="AA18">
            <v>0.3</v>
          </cell>
          <cell r="AB18">
            <v>0.3</v>
          </cell>
          <cell r="AC18">
            <v>0.3</v>
          </cell>
          <cell r="AD18">
            <v>0.3</v>
          </cell>
          <cell r="AE18">
            <v>0.4</v>
          </cell>
          <cell r="AF18">
            <v>0.4</v>
          </cell>
          <cell r="AG18">
            <v>0.4</v>
          </cell>
          <cell r="AH18">
            <v>0.4</v>
          </cell>
          <cell r="AI18">
            <v>0.3</v>
          </cell>
          <cell r="AJ18">
            <v>0.3</v>
          </cell>
          <cell r="AK18">
            <v>0.3</v>
          </cell>
          <cell r="AL18">
            <v>0.35</v>
          </cell>
          <cell r="AM18">
            <v>0.3</v>
          </cell>
          <cell r="AN18">
            <v>0.4</v>
          </cell>
          <cell r="AO18">
            <v>0.3</v>
          </cell>
          <cell r="AP18">
            <v>0.3</v>
          </cell>
          <cell r="AQ18">
            <v>0.3</v>
          </cell>
          <cell r="AR18">
            <v>0.3</v>
          </cell>
          <cell r="AS18">
            <v>0.3</v>
          </cell>
          <cell r="AT18">
            <v>0.3</v>
          </cell>
          <cell r="AU18">
            <v>0.3</v>
          </cell>
          <cell r="AV18">
            <v>0.4</v>
          </cell>
          <cell r="AW18">
            <v>0.4</v>
          </cell>
          <cell r="AX18">
            <v>0.4</v>
          </cell>
          <cell r="AY18">
            <v>0.4</v>
          </cell>
          <cell r="AZ18">
            <v>0.4</v>
          </cell>
          <cell r="BA18">
            <v>0.3</v>
          </cell>
          <cell r="BB18">
            <v>0.3</v>
          </cell>
          <cell r="BC18">
            <v>0.3</v>
          </cell>
          <cell r="BD18">
            <v>0.35</v>
          </cell>
          <cell r="BE18">
            <v>0.3</v>
          </cell>
          <cell r="BF18">
            <v>0.4</v>
          </cell>
          <cell r="BG18">
            <v>0.3</v>
          </cell>
          <cell r="BH18">
            <v>0.3</v>
          </cell>
          <cell r="BI18">
            <v>0.4</v>
          </cell>
          <cell r="BJ18">
            <v>0.3</v>
          </cell>
          <cell r="BK18">
            <v>0.4</v>
          </cell>
          <cell r="BL18">
            <v>0.3</v>
          </cell>
          <cell r="BM18">
            <v>0.4</v>
          </cell>
          <cell r="BN18">
            <v>0.4</v>
          </cell>
          <cell r="BO18">
            <v>0.4</v>
          </cell>
          <cell r="BP18">
            <v>0.4</v>
          </cell>
        </row>
        <row r="19">
          <cell r="B19" t="str">
            <v>ערך כינון מופחת מים</v>
          </cell>
          <cell r="D19"/>
          <cell r="E19"/>
          <cell r="F19"/>
          <cell r="G19"/>
          <cell r="H19"/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/>
          <cell r="T19"/>
          <cell r="U19"/>
          <cell r="V19"/>
          <cell r="W19"/>
          <cell r="X19"/>
          <cell r="Y19"/>
          <cell r="Z19"/>
          <cell r="AA19"/>
          <cell r="AB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  <cell r="AS19"/>
          <cell r="AT19"/>
          <cell r="AU19"/>
          <cell r="AV19"/>
          <cell r="AW19"/>
          <cell r="AX19"/>
          <cell r="AY19"/>
          <cell r="AZ19"/>
          <cell r="BA19"/>
          <cell r="BB19"/>
          <cell r="BC19"/>
          <cell r="BD19"/>
          <cell r="BE19"/>
          <cell r="BF19"/>
          <cell r="BG19"/>
          <cell r="BH19"/>
          <cell r="BI19"/>
          <cell r="BJ19"/>
          <cell r="BK19"/>
          <cell r="BL19"/>
          <cell r="BM19"/>
          <cell r="BN19"/>
          <cell r="BO19"/>
          <cell r="BP19"/>
        </row>
        <row r="20">
          <cell r="B20" t="str">
            <v>ערך כינון מופחת ביוב</v>
          </cell>
          <cell r="D20"/>
          <cell r="E20"/>
          <cell r="F20"/>
          <cell r="G20"/>
          <cell r="H20"/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/>
          <cell r="V20"/>
          <cell r="W20"/>
          <cell r="X20"/>
          <cell r="Y20"/>
          <cell r="Z20"/>
          <cell r="AA20"/>
          <cell r="AB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  <cell r="AS20"/>
          <cell r="AT20"/>
          <cell r="AU20"/>
          <cell r="AV20"/>
          <cell r="AW20"/>
          <cell r="AX20"/>
          <cell r="AY20"/>
          <cell r="AZ20"/>
          <cell r="BA20"/>
          <cell r="BB20"/>
          <cell r="BC20"/>
          <cell r="BD20"/>
          <cell r="BE20"/>
          <cell r="BF20"/>
          <cell r="BG20"/>
          <cell r="BH20"/>
          <cell r="BI20"/>
          <cell r="BJ20"/>
          <cell r="BK20"/>
          <cell r="BL20"/>
          <cell r="BM20"/>
          <cell r="BN20"/>
          <cell r="BO20"/>
          <cell r="BP20"/>
        </row>
        <row r="21">
          <cell r="B21" t="str">
            <v>סה"כ</v>
          </cell>
          <cell r="D21"/>
          <cell r="E21"/>
          <cell r="F21"/>
          <cell r="G21"/>
          <cell r="H21"/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/>
          <cell r="T21"/>
          <cell r="U21"/>
          <cell r="V21"/>
          <cell r="W21"/>
          <cell r="X21"/>
          <cell r="Y21"/>
          <cell r="Z21"/>
          <cell r="AA21"/>
          <cell r="AB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  <cell r="AS21"/>
          <cell r="AT21"/>
          <cell r="AU21"/>
          <cell r="AV21"/>
          <cell r="AW21"/>
          <cell r="AX21"/>
          <cell r="AY21"/>
          <cell r="AZ21"/>
          <cell r="BA21"/>
          <cell r="BB21"/>
          <cell r="BC21"/>
          <cell r="BD21"/>
          <cell r="BE21"/>
          <cell r="BF21"/>
          <cell r="BG21"/>
          <cell r="BH21"/>
          <cell r="BI21"/>
          <cell r="BJ21"/>
          <cell r="BK21"/>
          <cell r="BL21"/>
          <cell r="BM21"/>
          <cell r="BN21"/>
          <cell r="BO21"/>
          <cell r="BP21"/>
        </row>
        <row r="22">
          <cell r="T22"/>
          <cell r="U22"/>
          <cell r="Y22"/>
        </row>
        <row r="23">
          <cell r="T23"/>
          <cell r="U23"/>
          <cell r="Y23"/>
        </row>
        <row r="24">
          <cell r="D24"/>
          <cell r="F24"/>
          <cell r="H24"/>
          <cell r="J24"/>
          <cell r="L24"/>
          <cell r="N24"/>
          <cell r="P24"/>
          <cell r="R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  <cell r="AS24"/>
          <cell r="AT24"/>
          <cell r="AU24"/>
          <cell r="AV24"/>
          <cell r="AW24"/>
          <cell r="AX24"/>
          <cell r="AY24"/>
          <cell r="AZ24"/>
          <cell r="BA24"/>
          <cell r="BB24"/>
          <cell r="BC24"/>
          <cell r="BD24"/>
          <cell r="BE24"/>
          <cell r="BF24"/>
          <cell r="BG24"/>
          <cell r="BH24"/>
          <cell r="BI24"/>
          <cell r="BJ24"/>
          <cell r="BK24"/>
          <cell r="BL24"/>
          <cell r="BM24"/>
          <cell r="BN24"/>
          <cell r="BO24"/>
          <cell r="BP24"/>
        </row>
        <row r="25">
          <cell r="D25"/>
          <cell r="E25"/>
          <cell r="F25"/>
          <cell r="G25"/>
          <cell r="H25"/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/>
          <cell r="W25"/>
          <cell r="X25"/>
          <cell r="Y25"/>
          <cell r="Z25"/>
          <cell r="AA25"/>
          <cell r="AB25"/>
          <cell r="AC25"/>
          <cell r="AD25"/>
          <cell r="AE25"/>
          <cell r="AF25"/>
          <cell r="AG25"/>
          <cell r="AH25"/>
          <cell r="AI25"/>
          <cell r="AJ25"/>
          <cell r="AK25"/>
          <cell r="AL25"/>
          <cell r="AM25"/>
          <cell r="AN25"/>
          <cell r="AO25"/>
          <cell r="AP25"/>
          <cell r="AQ25"/>
          <cell r="AR25"/>
          <cell r="AS25"/>
          <cell r="AT25"/>
          <cell r="AU25"/>
          <cell r="AV25"/>
          <cell r="AW25"/>
          <cell r="AX25"/>
          <cell r="AY25"/>
          <cell r="AZ25"/>
          <cell r="BA25"/>
          <cell r="BB25"/>
          <cell r="BC25"/>
          <cell r="BD25"/>
          <cell r="BE25"/>
          <cell r="BF25"/>
          <cell r="BG25"/>
          <cell r="BH25"/>
          <cell r="BI25"/>
          <cell r="BJ25"/>
          <cell r="BK25"/>
          <cell r="BL25"/>
          <cell r="BM25"/>
          <cell r="BN25"/>
          <cell r="BO25"/>
          <cell r="BP25"/>
        </row>
        <row r="26">
          <cell r="B26" t="str">
            <v>שיעור החוב במוכר</v>
          </cell>
          <cell r="D26"/>
          <cell r="E26"/>
          <cell r="F26"/>
          <cell r="G26"/>
          <cell r="H26"/>
          <cell r="I26"/>
          <cell r="J26"/>
          <cell r="K26"/>
          <cell r="L26"/>
          <cell r="M26"/>
          <cell r="N26"/>
          <cell r="O26"/>
          <cell r="P26"/>
          <cell r="Q26"/>
          <cell r="R26"/>
          <cell r="S26"/>
          <cell r="T26"/>
          <cell r="U26"/>
          <cell r="V26"/>
          <cell r="W26"/>
          <cell r="X26"/>
          <cell r="Y26"/>
          <cell r="Z26"/>
          <cell r="AA26"/>
          <cell r="AB26"/>
          <cell r="AC26"/>
          <cell r="AD26"/>
          <cell r="AE26"/>
          <cell r="AF26"/>
          <cell r="AG26"/>
          <cell r="AH26"/>
          <cell r="AI26"/>
          <cell r="AJ26"/>
          <cell r="AK26"/>
          <cell r="AL26"/>
          <cell r="AM26"/>
          <cell r="AN26"/>
          <cell r="AO26"/>
          <cell r="AP26"/>
          <cell r="AQ26"/>
          <cell r="AR26"/>
          <cell r="AS26"/>
          <cell r="AT26"/>
          <cell r="AU26"/>
          <cell r="AV26"/>
          <cell r="AW26"/>
          <cell r="AX26"/>
          <cell r="AY26"/>
          <cell r="AZ26"/>
          <cell r="BA26"/>
          <cell r="BB26"/>
          <cell r="BC26"/>
          <cell r="BD26"/>
          <cell r="BE26"/>
          <cell r="BF26"/>
          <cell r="BG26"/>
          <cell r="BH26"/>
          <cell r="BI26"/>
          <cell r="BJ26"/>
          <cell r="BK26"/>
          <cell r="BL26"/>
          <cell r="BM26"/>
          <cell r="BN26"/>
          <cell r="BO26"/>
          <cell r="BP26"/>
          <cell r="BQ26"/>
        </row>
        <row r="27">
          <cell r="D27"/>
          <cell r="E27"/>
          <cell r="F27"/>
          <cell r="G27"/>
          <cell r="H27"/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T27"/>
          <cell r="U27"/>
          <cell r="V27"/>
          <cell r="W27"/>
          <cell r="X27"/>
          <cell r="Y27"/>
          <cell r="Z27"/>
          <cell r="AA27"/>
          <cell r="AB27"/>
          <cell r="AC27"/>
          <cell r="AD27"/>
          <cell r="AE27"/>
          <cell r="AF27"/>
          <cell r="AG27"/>
          <cell r="AH27"/>
          <cell r="AI27"/>
          <cell r="AJ27"/>
          <cell r="AK27"/>
          <cell r="AL27"/>
          <cell r="AM27"/>
          <cell r="AN27"/>
          <cell r="AO27"/>
          <cell r="AP27"/>
          <cell r="AQ27"/>
          <cell r="AR27"/>
          <cell r="AS27"/>
          <cell r="AT27"/>
          <cell r="AU27"/>
          <cell r="AV27"/>
          <cell r="AW27"/>
          <cell r="AX27"/>
          <cell r="AY27"/>
          <cell r="AZ27"/>
          <cell r="BA27"/>
          <cell r="BB27"/>
          <cell r="BC27"/>
          <cell r="BD27"/>
          <cell r="BE27"/>
          <cell r="BF27"/>
          <cell r="BG27"/>
          <cell r="BH27"/>
          <cell r="BI27"/>
          <cell r="BJ27"/>
          <cell r="BK27"/>
          <cell r="BL27"/>
          <cell r="BM27"/>
          <cell r="BN27"/>
          <cell r="BO27"/>
          <cell r="BP27"/>
          <cell r="BQ27"/>
        </row>
        <row r="28">
          <cell r="B28" t="str">
            <v>כמות בסיסית</v>
          </cell>
          <cell r="D28">
            <v>6462.03</v>
          </cell>
          <cell r="E28"/>
          <cell r="F28">
            <v>660.96</v>
          </cell>
          <cell r="G28"/>
          <cell r="H28">
            <v>5214.6000000000004</v>
          </cell>
          <cell r="I28"/>
          <cell r="J28">
            <v>492.96</v>
          </cell>
          <cell r="K28"/>
          <cell r="L28">
            <v>1874.64</v>
          </cell>
          <cell r="M28"/>
          <cell r="N28">
            <v>21999.87</v>
          </cell>
          <cell r="O28"/>
          <cell r="P28">
            <v>6661.23</v>
          </cell>
          <cell r="Q28"/>
          <cell r="R28">
            <v>1390.47</v>
          </cell>
          <cell r="S28"/>
          <cell r="T28">
            <v>2048.46</v>
          </cell>
          <cell r="U28">
            <v>1331.28</v>
          </cell>
          <cell r="V28">
            <v>6124.59</v>
          </cell>
          <cell r="W28">
            <v>5563.29</v>
          </cell>
          <cell r="X28">
            <v>5318.79</v>
          </cell>
          <cell r="Y28">
            <v>1373.85</v>
          </cell>
          <cell r="Z28">
            <v>4438.2</v>
          </cell>
          <cell r="AA28">
            <v>928.53</v>
          </cell>
          <cell r="AB28">
            <v>2003.28</v>
          </cell>
          <cell r="AC28">
            <v>1925.16</v>
          </cell>
          <cell r="AD28">
            <v>2289.96</v>
          </cell>
          <cell r="AE28">
            <v>1903.98</v>
          </cell>
          <cell r="AF28">
            <v>2766.24</v>
          </cell>
          <cell r="AG28">
            <v>3485.49</v>
          </cell>
          <cell r="AH28">
            <v>1128</v>
          </cell>
          <cell r="AI28">
            <v>1483.98</v>
          </cell>
          <cell r="AJ28">
            <v>2184.96</v>
          </cell>
          <cell r="AK28">
            <v>1433.82</v>
          </cell>
          <cell r="AL28">
            <v>2523.87</v>
          </cell>
          <cell r="AM28">
            <v>1103.55</v>
          </cell>
          <cell r="AN28">
            <v>7988.4</v>
          </cell>
          <cell r="AO28">
            <v>956.52</v>
          </cell>
          <cell r="AP28">
            <v>1323.24</v>
          </cell>
          <cell r="AQ28">
            <v>1217.0999999999999</v>
          </cell>
          <cell r="AR28">
            <v>3136.35</v>
          </cell>
          <cell r="AS28">
            <v>1123.5899999999999</v>
          </cell>
          <cell r="AT28">
            <v>1191.21</v>
          </cell>
          <cell r="AU28">
            <v>1094.9100000000001</v>
          </cell>
          <cell r="AV28">
            <v>1000.77</v>
          </cell>
          <cell r="AW28">
            <v>11531.97</v>
          </cell>
          <cell r="AX28">
            <v>11531.97</v>
          </cell>
          <cell r="AY28">
            <v>1681.56</v>
          </cell>
          <cell r="AZ28">
            <v>1446.72</v>
          </cell>
          <cell r="BA28">
            <v>1416.06</v>
          </cell>
          <cell r="BB28">
            <v>1416.06</v>
          </cell>
          <cell r="BC28">
            <v>1416.06</v>
          </cell>
          <cell r="BD28">
            <v>2596.77</v>
          </cell>
          <cell r="BE28">
            <v>786.9</v>
          </cell>
          <cell r="BF28">
            <v>3202.32</v>
          </cell>
          <cell r="BG28">
            <v>2084.46</v>
          </cell>
          <cell r="BH28">
            <v>1337.01</v>
          </cell>
          <cell r="BI28">
            <v>3232.77</v>
          </cell>
          <cell r="BJ28">
            <v>1378.83</v>
          </cell>
          <cell r="BK28">
            <v>1294.23</v>
          </cell>
          <cell r="BL28">
            <v>1151.1300000000001</v>
          </cell>
          <cell r="BM28">
            <v>1142.9100000000001</v>
          </cell>
          <cell r="BN28">
            <v>2149.59</v>
          </cell>
          <cell r="BO28">
            <v>1588.59</v>
          </cell>
          <cell r="BP28">
            <v>1884.93</v>
          </cell>
        </row>
        <row r="29">
          <cell r="B29" t="str">
            <v>ערך כינון מלא מים</v>
          </cell>
          <cell r="D29">
            <v>328508.109</v>
          </cell>
          <cell r="E29"/>
          <cell r="F29">
            <v>33014.14</v>
          </cell>
          <cell r="G29"/>
          <cell r="H29">
            <v>236927.17600000001</v>
          </cell>
          <cell r="I29"/>
          <cell r="J29">
            <v>46362.683000000005</v>
          </cell>
          <cell r="K29"/>
          <cell r="L29">
            <v>114350.91099999999</v>
          </cell>
          <cell r="M29"/>
          <cell r="N29">
            <v>1079644.7239999999</v>
          </cell>
          <cell r="O29"/>
          <cell r="P29">
            <v>191939</v>
          </cell>
          <cell r="Q29"/>
          <cell r="R29">
            <v>85215.2</v>
          </cell>
          <cell r="S29"/>
          <cell r="T29">
            <v>89731.676999999996</v>
          </cell>
          <cell r="U29">
            <v>140191.04999999999</v>
          </cell>
          <cell r="V29">
            <v>163362</v>
          </cell>
          <cell r="W29">
            <v>258750.93100000001</v>
          </cell>
          <cell r="X29">
            <v>136255.462</v>
          </cell>
          <cell r="Y29">
            <v>74238.816999999995</v>
          </cell>
          <cell r="Z29">
            <v>80247.885999999999</v>
          </cell>
          <cell r="AA29">
            <v>53159.347000000002</v>
          </cell>
          <cell r="AB29">
            <v>37348.976000000002</v>
          </cell>
          <cell r="AC29">
            <v>48096.627999999997</v>
          </cell>
          <cell r="AD29">
            <v>101123.076</v>
          </cell>
          <cell r="AE29">
            <v>67916.22</v>
          </cell>
          <cell r="AF29">
            <v>70375.556500000006</v>
          </cell>
          <cell r="AG29">
            <v>105410.803</v>
          </cell>
          <cell r="AH29">
            <v>66036.721000000005</v>
          </cell>
          <cell r="AI29">
            <v>60284.837</v>
          </cell>
          <cell r="AJ29">
            <v>148222.15</v>
          </cell>
          <cell r="AK29">
            <v>56516.51</v>
          </cell>
          <cell r="AL29">
            <v>150246.74</v>
          </cell>
          <cell r="AM29">
            <v>71544.476999999999</v>
          </cell>
          <cell r="AN29">
            <v>527997.44200000004</v>
          </cell>
          <cell r="AO29">
            <v>42330.392999999996</v>
          </cell>
          <cell r="AP29">
            <v>60948.444000000003</v>
          </cell>
          <cell r="AQ29">
            <v>56675.9</v>
          </cell>
          <cell r="AR29">
            <v>94580.448999999993</v>
          </cell>
          <cell r="AS29">
            <v>63745.4</v>
          </cell>
          <cell r="AT29">
            <v>24443.168000000001</v>
          </cell>
          <cell r="AU29">
            <v>28153.657999999999</v>
          </cell>
          <cell r="AV29">
            <v>51488.02</v>
          </cell>
          <cell r="AW29">
            <v>636108.54299999995</v>
          </cell>
          <cell r="AX29">
            <v>647432.31799999997</v>
          </cell>
          <cell r="AY29">
            <v>88873.834000000003</v>
          </cell>
          <cell r="AZ29">
            <v>52788.646000000001</v>
          </cell>
          <cell r="BA29">
            <v>180183.212</v>
          </cell>
          <cell r="BB29">
            <v>53752.67</v>
          </cell>
          <cell r="BC29">
            <v>83864.077999999994</v>
          </cell>
          <cell r="BD29">
            <v>59327.199999999997</v>
          </cell>
          <cell r="BE29">
            <v>46623.877</v>
          </cell>
          <cell r="BF29">
            <v>116321.54700000001</v>
          </cell>
          <cell r="BG29">
            <v>67788.540999999997</v>
          </cell>
          <cell r="BH29">
            <v>74356.22</v>
          </cell>
          <cell r="BI29">
            <v>132489.30600000001</v>
          </cell>
          <cell r="BJ29">
            <v>68538.741999999998</v>
          </cell>
          <cell r="BK29">
            <v>93214.053</v>
          </cell>
          <cell r="BL29">
            <v>46378.072</v>
          </cell>
          <cell r="BM29">
            <v>25133.884999999998</v>
          </cell>
          <cell r="BN29">
            <v>63387.902999999998</v>
          </cell>
          <cell r="BO29">
            <v>106503.645</v>
          </cell>
          <cell r="BP29">
            <v>103838.185</v>
          </cell>
          <cell r="BQ29">
            <v>76076.804999999993</v>
          </cell>
        </row>
        <row r="30">
          <cell r="B30" t="str">
            <v>ערך כינון מלא ביוב</v>
          </cell>
          <cell r="D30">
            <v>245317.13</v>
          </cell>
          <cell r="E30"/>
          <cell r="F30">
            <v>33844.574999999997</v>
          </cell>
          <cell r="G30"/>
          <cell r="H30">
            <v>252628.94099999999</v>
          </cell>
          <cell r="I30"/>
          <cell r="J30">
            <v>24733.653999999999</v>
          </cell>
          <cell r="K30"/>
          <cell r="L30">
            <v>125528.54300000001</v>
          </cell>
          <cell r="M30"/>
          <cell r="N30">
            <v>684843.30299999996</v>
          </cell>
          <cell r="O30"/>
          <cell r="P30">
            <v>229223</v>
          </cell>
          <cell r="Q30"/>
          <cell r="R30">
            <v>135863.62599999999</v>
          </cell>
          <cell r="S30"/>
          <cell r="T30">
            <v>92663.16399999999</v>
          </cell>
          <cell r="U30">
            <v>107272.06200000001</v>
          </cell>
          <cell r="V30">
            <v>204104</v>
          </cell>
          <cell r="W30">
            <v>360722.07799999998</v>
          </cell>
          <cell r="X30">
            <v>146817.323</v>
          </cell>
          <cell r="Y30">
            <v>64870.347999999998</v>
          </cell>
          <cell r="Z30">
            <v>86446.161999999997</v>
          </cell>
          <cell r="AA30">
            <v>48674.103000000003</v>
          </cell>
          <cell r="AB30">
            <v>55668.593000000001</v>
          </cell>
          <cell r="AC30">
            <v>56934.606</v>
          </cell>
          <cell r="AD30">
            <v>91267.22</v>
          </cell>
          <cell r="AE30">
            <v>111225.52</v>
          </cell>
          <cell r="AF30">
            <v>72780.696500000005</v>
          </cell>
          <cell r="AG30">
            <v>113466.24000000001</v>
          </cell>
          <cell r="AH30">
            <v>102344.04</v>
          </cell>
          <cell r="AI30">
            <v>62995.159</v>
          </cell>
          <cell r="AJ30">
            <v>118453.75</v>
          </cell>
          <cell r="AK30">
            <v>58395.175000000003</v>
          </cell>
          <cell r="AL30">
            <v>140191.745</v>
          </cell>
          <cell r="AM30">
            <v>63210.995999999999</v>
          </cell>
          <cell r="AN30">
            <v>550123.22199999995</v>
          </cell>
          <cell r="AO30">
            <v>61928.95</v>
          </cell>
          <cell r="AP30">
            <v>42809.966999999997</v>
          </cell>
          <cell r="AQ30">
            <v>54566.235999999997</v>
          </cell>
          <cell r="AR30">
            <v>139366.43100000001</v>
          </cell>
          <cell r="AS30">
            <v>75664.47</v>
          </cell>
          <cell r="AT30">
            <v>42255.516000000003</v>
          </cell>
          <cell r="AU30">
            <v>37481.69</v>
          </cell>
          <cell r="AV30">
            <v>54450.51</v>
          </cell>
          <cell r="AW30">
            <v>534127.32499999995</v>
          </cell>
          <cell r="AX30">
            <v>617374.04</v>
          </cell>
          <cell r="AY30">
            <v>87839.25</v>
          </cell>
          <cell r="AZ30">
            <v>85908.513999999996</v>
          </cell>
          <cell r="BA30">
            <v>166390.87100000001</v>
          </cell>
          <cell r="BB30">
            <v>45911.474999999999</v>
          </cell>
          <cell r="BC30">
            <v>79039.866999999998</v>
          </cell>
          <cell r="BD30">
            <v>113765.853</v>
          </cell>
          <cell r="BE30">
            <v>36710.088000000003</v>
          </cell>
          <cell r="BF30">
            <v>161906.348</v>
          </cell>
          <cell r="BG30">
            <v>51337.775000000001</v>
          </cell>
          <cell r="BH30">
            <v>85437.08</v>
          </cell>
          <cell r="BI30">
            <v>189667.34399999998</v>
          </cell>
          <cell r="BJ30">
            <v>76683.823999999993</v>
          </cell>
          <cell r="BK30">
            <v>50513.906999999999</v>
          </cell>
          <cell r="BL30">
            <v>60681.883999999998</v>
          </cell>
          <cell r="BM30">
            <v>32786.85</v>
          </cell>
          <cell r="BN30">
            <v>95956.629000000001</v>
          </cell>
          <cell r="BO30">
            <v>138499.9</v>
          </cell>
          <cell r="BP30">
            <v>138635.20300000001</v>
          </cell>
          <cell r="BQ30">
            <v>133901.14300000001</v>
          </cell>
        </row>
        <row r="31">
          <cell r="B31" t="str">
            <v>ערך כינון מלא</v>
          </cell>
          <cell r="D31">
            <v>573825.23900000006</v>
          </cell>
          <cell r="E31"/>
          <cell r="F31">
            <v>66858.714999999997</v>
          </cell>
          <cell r="G31"/>
          <cell r="H31">
            <v>489556.11699999997</v>
          </cell>
          <cell r="I31"/>
          <cell r="J31">
            <v>71096.337</v>
          </cell>
          <cell r="K31"/>
          <cell r="L31">
            <v>239879.454</v>
          </cell>
          <cell r="M31"/>
          <cell r="N31">
            <v>1764488.0269999998</v>
          </cell>
          <cell r="O31"/>
          <cell r="P31">
            <v>421162</v>
          </cell>
          <cell r="Q31"/>
          <cell r="R31">
            <v>221078.826</v>
          </cell>
          <cell r="S31"/>
          <cell r="T31">
            <v>182394.84099999999</v>
          </cell>
          <cell r="U31">
            <v>247463.11199999999</v>
          </cell>
          <cell r="V31">
            <v>367466</v>
          </cell>
          <cell r="W31">
            <v>619473.00899999996</v>
          </cell>
          <cell r="X31">
            <v>283072.78500000003</v>
          </cell>
          <cell r="Y31">
            <v>139109.16499999998</v>
          </cell>
          <cell r="Z31">
            <v>166694.04800000001</v>
          </cell>
          <cell r="AA31">
            <v>101833.45000000001</v>
          </cell>
          <cell r="AB31">
            <v>93017.569000000003</v>
          </cell>
          <cell r="AC31">
            <v>105031.234</v>
          </cell>
          <cell r="AD31">
            <v>192390.296</v>
          </cell>
          <cell r="AE31">
            <v>179141.74</v>
          </cell>
          <cell r="AF31">
            <v>143156.25300000003</v>
          </cell>
          <cell r="AG31">
            <v>218877.04300000001</v>
          </cell>
          <cell r="AH31">
            <v>168380.761</v>
          </cell>
          <cell r="AI31">
            <v>123279.996</v>
          </cell>
          <cell r="AJ31">
            <v>266675.90000000002</v>
          </cell>
          <cell r="AK31">
            <v>114911.685</v>
          </cell>
          <cell r="AL31">
            <v>290438.48499999999</v>
          </cell>
          <cell r="AM31">
            <v>134755.473</v>
          </cell>
          <cell r="AN31">
            <v>1078120.6639999999</v>
          </cell>
          <cell r="AO31">
            <v>104259.34299999999</v>
          </cell>
          <cell r="AP31">
            <v>103758.41099999999</v>
          </cell>
          <cell r="AQ31">
            <v>111242.136</v>
          </cell>
          <cell r="AR31">
            <v>233946.88</v>
          </cell>
          <cell r="AS31">
            <v>139409.87</v>
          </cell>
          <cell r="AT31">
            <v>66698.684000000008</v>
          </cell>
          <cell r="AU31">
            <v>65635.347999999998</v>
          </cell>
          <cell r="AV31">
            <v>105938.53</v>
          </cell>
          <cell r="AW31">
            <v>1170235.8679999998</v>
          </cell>
          <cell r="AX31">
            <v>1264806.358</v>
          </cell>
          <cell r="AY31">
            <v>176713.084</v>
          </cell>
          <cell r="AZ31">
            <v>138697.16</v>
          </cell>
          <cell r="BA31">
            <v>346574.08299999998</v>
          </cell>
          <cell r="BB31">
            <v>99664.14499999999</v>
          </cell>
          <cell r="BC31">
            <v>162903.94500000001</v>
          </cell>
          <cell r="BD31">
            <v>173093.05300000001</v>
          </cell>
          <cell r="BE31">
            <v>83333.964999999997</v>
          </cell>
          <cell r="BF31">
            <v>278227.89500000002</v>
          </cell>
          <cell r="BG31">
            <v>119126.31599999999</v>
          </cell>
          <cell r="BH31">
            <v>159793.29999999999</v>
          </cell>
          <cell r="BI31">
            <v>322156.65000000002</v>
          </cell>
          <cell r="BJ31">
            <v>145222.56599999999</v>
          </cell>
          <cell r="BK31">
            <v>143727.96</v>
          </cell>
          <cell r="BL31">
            <v>107059.95600000001</v>
          </cell>
          <cell r="BM31">
            <v>57920.735000000001</v>
          </cell>
          <cell r="BN31">
            <v>159344.53200000001</v>
          </cell>
          <cell r="BO31">
            <v>245003.54499999998</v>
          </cell>
          <cell r="BP31">
            <v>242473.38800000001</v>
          </cell>
          <cell r="BQ31">
            <v>209977.948</v>
          </cell>
        </row>
        <row r="32">
          <cell r="D32"/>
          <cell r="E32"/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Y32"/>
          <cell r="Z32"/>
          <cell r="AA32"/>
          <cell r="AB32"/>
          <cell r="AC32"/>
          <cell r="AD32"/>
          <cell r="AE32"/>
          <cell r="AF32"/>
          <cell r="AG32"/>
          <cell r="AH32"/>
          <cell r="AI32"/>
          <cell r="AJ32"/>
          <cell r="AK32"/>
          <cell r="AL32"/>
          <cell r="AM32"/>
          <cell r="AN32"/>
          <cell r="AO32"/>
          <cell r="AP32"/>
          <cell r="AQ32"/>
          <cell r="AR32"/>
          <cell r="AS32"/>
          <cell r="AT32"/>
          <cell r="AU32"/>
          <cell r="AV32"/>
          <cell r="AW32"/>
          <cell r="AX32"/>
          <cell r="AY32"/>
          <cell r="AZ32"/>
          <cell r="BA32"/>
          <cell r="BB32"/>
          <cell r="BC32"/>
          <cell r="BD32"/>
          <cell r="BE32"/>
          <cell r="BF32"/>
          <cell r="BG32"/>
          <cell r="BH32"/>
          <cell r="BI32"/>
          <cell r="BJ32"/>
          <cell r="BK32"/>
          <cell r="BL32"/>
          <cell r="BM32"/>
          <cell r="BN32"/>
          <cell r="BO32"/>
          <cell r="BP32"/>
          <cell r="BQ32"/>
        </row>
        <row r="33">
          <cell r="D33"/>
          <cell r="E33"/>
          <cell r="F33"/>
          <cell r="G33"/>
          <cell r="H33"/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  <cell r="T33"/>
          <cell r="U33"/>
          <cell r="V33"/>
          <cell r="W33"/>
          <cell r="X33"/>
          <cell r="Y33"/>
          <cell r="Z33"/>
          <cell r="AA33"/>
          <cell r="AB33"/>
          <cell r="AC33"/>
          <cell r="AD33"/>
          <cell r="AE33"/>
          <cell r="AF33"/>
          <cell r="AG33"/>
          <cell r="AH33"/>
          <cell r="AI33"/>
          <cell r="AJ33"/>
          <cell r="AK33"/>
          <cell r="AL33"/>
          <cell r="AM33"/>
          <cell r="AN33"/>
          <cell r="AO33"/>
          <cell r="AP33"/>
          <cell r="AQ33"/>
          <cell r="AR33"/>
          <cell r="AS33"/>
          <cell r="AT33"/>
          <cell r="AU33"/>
          <cell r="AV33"/>
          <cell r="AW33"/>
          <cell r="AX33"/>
          <cell r="AY33"/>
          <cell r="AZ33"/>
          <cell r="BA33"/>
          <cell r="BB33"/>
          <cell r="BC33"/>
          <cell r="BD33"/>
          <cell r="BE33"/>
          <cell r="BF33"/>
          <cell r="BG33"/>
          <cell r="BH33"/>
          <cell r="BI33"/>
          <cell r="BJ33"/>
          <cell r="BK33"/>
          <cell r="BL33"/>
          <cell r="BM33"/>
          <cell r="BN33"/>
          <cell r="BO33"/>
          <cell r="BP33"/>
          <cell r="BQ33"/>
        </row>
        <row r="34">
          <cell r="B34" t="str">
            <v>רשימת הישובים</v>
          </cell>
          <cell r="D34" t="str">
            <v xml:space="preserve">פתח תקוה </v>
          </cell>
          <cell r="E34"/>
          <cell r="F34" t="str">
            <v>קרית שמונה</v>
          </cell>
          <cell r="G34"/>
          <cell r="H34" t="str">
            <v>נתניה</v>
          </cell>
          <cell r="I34"/>
          <cell r="J34" t="str">
            <v>אריאל</v>
          </cell>
          <cell r="K34"/>
          <cell r="L34" t="str">
            <v>מודיעין-מכבים-רעות</v>
          </cell>
          <cell r="M34"/>
          <cell r="N34" t="str">
            <v xml:space="preserve">ירושלים </v>
          </cell>
          <cell r="O34"/>
          <cell r="P34" t="str">
            <v>ראשון לציון</v>
          </cell>
          <cell r="Q34"/>
          <cell r="R34" t="str">
            <v xml:space="preserve">אילת </v>
          </cell>
          <cell r="S34"/>
          <cell r="T34" t="str">
            <v xml:space="preserve">נצרת עילית </v>
          </cell>
          <cell r="U34" t="str">
            <v>טבריה</v>
          </cell>
          <cell r="V34" t="str">
            <v>אשדוד</v>
          </cell>
          <cell r="W34" t="str">
            <v>באר שבע</v>
          </cell>
          <cell r="X34" t="str">
            <v>חולון</v>
          </cell>
          <cell r="Y34" t="str">
            <v>צפת</v>
          </cell>
          <cell r="Z34" t="str">
            <v>בני ברק</v>
          </cell>
          <cell r="AA34" t="str">
            <v>נס ציונה</v>
          </cell>
          <cell r="AB34" t="str">
            <v>לוד</v>
          </cell>
          <cell r="AC34" t="str">
            <v>רמלה</v>
          </cell>
          <cell r="AD34" t="str">
            <v>חדרה</v>
          </cell>
          <cell r="AE34" t="str">
            <v>כפר כנא</v>
          </cell>
          <cell r="AF34" t="str">
            <v>אום אל-פחם</v>
          </cell>
          <cell r="AG34" t="str">
            <v>נצרת</v>
          </cell>
          <cell r="AH34" t="str">
            <v>מעלות-תרשיחא</v>
          </cell>
          <cell r="AI34" t="str">
            <v>קריית אתא</v>
          </cell>
          <cell r="AJ34" t="str">
            <v>רעננה</v>
          </cell>
          <cell r="AK34" t="str">
            <v>קריית גת</v>
          </cell>
          <cell r="AL34" t="str">
            <v>הרצליה</v>
          </cell>
          <cell r="AM34" t="str">
            <v>רמת השרון</v>
          </cell>
          <cell r="AN34" t="str">
            <v>חיפה</v>
          </cell>
          <cell r="AO34" t="str">
            <v>יבנה</v>
          </cell>
          <cell r="AP34" t="str">
            <v>כרמיאל</v>
          </cell>
          <cell r="AQ34" t="str">
            <v>רהט</v>
          </cell>
          <cell r="AR34" t="str">
            <v>רחובות</v>
          </cell>
          <cell r="AS34" t="str">
            <v>ראש העין</v>
          </cell>
          <cell r="AT34" t="str">
            <v>קריית מוצקין</v>
          </cell>
          <cell r="AU34" t="str">
            <v>קריית ביאליק</v>
          </cell>
          <cell r="AV34" t="str">
            <v>קריית עקרון</v>
          </cell>
          <cell r="AW34" t="str">
            <v>תל אביב-יפו</v>
          </cell>
          <cell r="AX34" t="str">
            <v>תל אביב-יפו</v>
          </cell>
          <cell r="AY34" t="str">
            <v>אבן יהודה</v>
          </cell>
          <cell r="AZ34" t="str">
            <v>תל שבע</v>
          </cell>
          <cell r="BA34" t="str">
            <v>רמת גן</v>
          </cell>
          <cell r="BB34" t="str">
            <v xml:space="preserve">גבעתיים </v>
          </cell>
          <cell r="BC34" t="str">
            <v xml:space="preserve">בת ים </v>
          </cell>
          <cell r="BD34" t="str">
            <v>אל שאג'ור</v>
          </cell>
          <cell r="BE34" t="str">
            <v xml:space="preserve">קרית אונו </v>
          </cell>
          <cell r="BF34" t="str">
            <v xml:space="preserve">שפרעם </v>
          </cell>
          <cell r="BG34" t="str">
            <v>בית שמש</v>
          </cell>
          <cell r="BH34" t="str">
            <v>הוד השרון</v>
          </cell>
          <cell r="BI34" t="str">
            <v xml:space="preserve">אשקלון </v>
          </cell>
          <cell r="BJ34" t="str">
            <v>עכו</v>
          </cell>
          <cell r="BK34"/>
          <cell r="BL34" t="str">
            <v>קריית ים</v>
          </cell>
          <cell r="BM34" t="str">
            <v>קריית טבעון</v>
          </cell>
          <cell r="BN34" t="str">
            <v>דימונה</v>
          </cell>
          <cell r="BO34" t="str">
            <v>אבו סנאן</v>
          </cell>
          <cell r="BP34" t="str">
            <v>אל שאג'ור</v>
          </cell>
        </row>
        <row r="35">
          <cell r="D35" t="str">
            <v>אלעד</v>
          </cell>
          <cell r="E35"/>
          <cell r="F35" t="str">
            <v xml:space="preserve">מטולה </v>
          </cell>
          <cell r="G35"/>
          <cell r="H35"/>
          <cell r="I35"/>
          <cell r="J35" t="str">
            <v>קרני שומרון</v>
          </cell>
          <cell r="K35"/>
          <cell r="L35"/>
          <cell r="M35"/>
          <cell r="N35" t="str">
            <v>אבו גוש</v>
          </cell>
          <cell r="O35"/>
          <cell r="P35"/>
          <cell r="Q35"/>
          <cell r="R35"/>
          <cell r="S35"/>
          <cell r="T35" t="str">
            <v>מגדל העמק</v>
          </cell>
          <cell r="U35" t="str">
            <v>מגדל</v>
          </cell>
          <cell r="V35"/>
          <cell r="W35"/>
          <cell r="X35" t="str">
            <v>אזור</v>
          </cell>
          <cell r="Y35" t="str">
            <v>חצור הגלילית</v>
          </cell>
          <cell r="Z35"/>
          <cell r="AA35"/>
          <cell r="AB35"/>
          <cell r="AC35"/>
          <cell r="AD35"/>
          <cell r="AE35" t="str">
            <v>טורעאן</v>
          </cell>
          <cell r="AF35" t="str">
            <v>ערערה</v>
          </cell>
          <cell r="AG35" t="str">
            <v>ריינה</v>
          </cell>
          <cell r="AH35" t="str">
            <v>שלומי</v>
          </cell>
          <cell r="AI35"/>
          <cell r="AJ35"/>
          <cell r="AK35"/>
          <cell r="AL35"/>
          <cell r="AM35"/>
          <cell r="AN35"/>
          <cell r="AO35" t="str">
            <v>גן יבנה</v>
          </cell>
          <cell r="AP35"/>
          <cell r="AQ35"/>
          <cell r="AR35"/>
          <cell r="AS35" t="str">
            <v>אורנית</v>
          </cell>
          <cell r="AT35"/>
          <cell r="AU35"/>
          <cell r="AV35" t="str">
            <v>בני עייש</v>
          </cell>
          <cell r="AW35"/>
          <cell r="AX35"/>
          <cell r="AY35" t="str">
            <v>כפר יונה</v>
          </cell>
          <cell r="AZ35" t="str">
            <v>כסיפה</v>
          </cell>
          <cell r="BA35"/>
          <cell r="BB35"/>
          <cell r="BC35"/>
          <cell r="BD35" t="str">
            <v>דיר חנא</v>
          </cell>
          <cell r="BE35"/>
          <cell r="BF35" t="str">
            <v xml:space="preserve">כפר מנדא </v>
          </cell>
          <cell r="BG35"/>
          <cell r="BH35"/>
          <cell r="BI35" t="str">
            <v>נתיבות</v>
          </cell>
          <cell r="BJ35"/>
          <cell r="BK35" t="str">
            <v xml:space="preserve">ג'לג'וליה </v>
          </cell>
          <cell r="BL35"/>
          <cell r="BM35" t="str">
            <v>יקנעם עילית</v>
          </cell>
          <cell r="BN35" t="str">
            <v>ערד</v>
          </cell>
          <cell r="BO35" t="str">
            <v>ג'דידה אלמכר</v>
          </cell>
          <cell r="BP35" t="str">
            <v>דיר חנא</v>
          </cell>
        </row>
        <row r="36">
          <cell r="B36"/>
          <cell r="D36" t="str">
            <v>כפר ברא</v>
          </cell>
          <cell r="E36"/>
          <cell r="F36" t="str">
            <v>קצרין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 t="str">
            <v>יבניאל</v>
          </cell>
          <cell r="V36"/>
          <cell r="W36"/>
          <cell r="X36" t="str">
            <v>בית דגן</v>
          </cell>
          <cell r="Y36" t="str">
            <v>טובא-זנגרייה</v>
          </cell>
          <cell r="Z36"/>
          <cell r="AA36"/>
          <cell r="AB36"/>
          <cell r="AC36"/>
          <cell r="AD36"/>
          <cell r="AE36" t="str">
            <v>בועיינה-נוג'ידאת</v>
          </cell>
          <cell r="AF36" t="str">
            <v>כפר קרע</v>
          </cell>
          <cell r="AG36" t="str">
            <v>יפיע</v>
          </cell>
          <cell r="AH36" t="str">
            <v>כפר ורדים</v>
          </cell>
          <cell r="AI36"/>
          <cell r="AJ36"/>
          <cell r="AK36"/>
          <cell r="AL36"/>
          <cell r="AM36"/>
          <cell r="AN36"/>
          <cell r="AO36"/>
          <cell r="AP36"/>
          <cell r="AQ36"/>
          <cell r="AR36"/>
          <cell r="AS36"/>
          <cell r="AT36"/>
          <cell r="AU36"/>
          <cell r="AV36" t="str">
            <v>גדרה</v>
          </cell>
          <cell r="AW36"/>
          <cell r="AX36"/>
          <cell r="AY36" t="str">
            <v>פרדסיה</v>
          </cell>
          <cell r="AZ36" t="str">
            <v>ערערה</v>
          </cell>
          <cell r="BA36"/>
          <cell r="BB36"/>
          <cell r="BC36"/>
          <cell r="BD36" t="str">
            <v>נחף</v>
          </cell>
          <cell r="BE36"/>
          <cell r="BF36" t="str">
            <v>זרזיר</v>
          </cell>
          <cell r="BG36"/>
          <cell r="BH36"/>
          <cell r="BI36"/>
          <cell r="BJ36"/>
          <cell r="BK36" t="str">
            <v>כפר קאסם</v>
          </cell>
          <cell r="BL36"/>
          <cell r="BM36" t="str">
            <v>רמת ישי</v>
          </cell>
          <cell r="BN36" t="str">
            <v>ירוחם</v>
          </cell>
          <cell r="BO36" t="str">
            <v xml:space="preserve">ג'וליס </v>
          </cell>
          <cell r="BP36" t="str">
            <v>נחף</v>
          </cell>
        </row>
        <row r="37">
          <cell r="D37"/>
          <cell r="E37"/>
          <cell r="F37"/>
          <cell r="G37"/>
          <cell r="H37"/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 t="str">
            <v>כפר כמא</v>
          </cell>
          <cell r="V37"/>
          <cell r="W37"/>
          <cell r="X37"/>
          <cell r="Y37" t="str">
            <v>גוש חלב</v>
          </cell>
          <cell r="Z37"/>
          <cell r="AA37"/>
          <cell r="AB37"/>
          <cell r="AC37"/>
          <cell r="AD37"/>
          <cell r="AE37" t="str">
            <v>דבורייה</v>
          </cell>
          <cell r="AF37" t="str">
            <v>מעלה עירון</v>
          </cell>
          <cell r="AG37" t="str">
            <v>עילוט</v>
          </cell>
          <cell r="AH37" t="str">
            <v>כסרא-סמיע</v>
          </cell>
          <cell r="AI37"/>
          <cell r="AJ37"/>
          <cell r="AK37"/>
          <cell r="AL37"/>
          <cell r="AM37"/>
          <cell r="AN37"/>
          <cell r="AO37"/>
          <cell r="AP37"/>
          <cell r="AQ37"/>
          <cell r="AR37"/>
          <cell r="AS37"/>
          <cell r="AT37"/>
          <cell r="AU37"/>
          <cell r="AV37" t="str">
            <v>קריית מלאכי</v>
          </cell>
          <cell r="AW37"/>
          <cell r="AX37"/>
          <cell r="AY37" t="str">
            <v>קדימה צורן</v>
          </cell>
          <cell r="AZ37" t="str">
            <v>לקיה</v>
          </cell>
          <cell r="BA37"/>
          <cell r="BB37"/>
          <cell r="BC37"/>
          <cell r="BD37" t="str">
            <v>עראבה</v>
          </cell>
          <cell r="BE37"/>
          <cell r="BF37" t="str">
            <v xml:space="preserve">כאבול </v>
          </cell>
          <cell r="BG37"/>
          <cell r="BH37"/>
          <cell r="BI37"/>
          <cell r="BJ37"/>
          <cell r="BK37" t="str">
            <v>טירה</v>
          </cell>
          <cell r="BL37"/>
          <cell r="BM37"/>
          <cell r="BN37" t="str">
            <v>מצפה רמון</v>
          </cell>
          <cell r="BO37" t="str">
            <v>כפר יאסיף</v>
          </cell>
          <cell r="BP37" t="str">
            <v>עראבה</v>
          </cell>
        </row>
        <row r="38">
          <cell r="D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Y38" t="str">
            <v>יסוד המעלה</v>
          </cell>
          <cell r="Z38"/>
          <cell r="AA38"/>
          <cell r="AB38"/>
          <cell r="AC38"/>
          <cell r="AD38"/>
          <cell r="AE38" t="str">
            <v>עין מאהל</v>
          </cell>
          <cell r="AF38" t="str">
            <v>בסמ"ה</v>
          </cell>
          <cell r="AG38" t="str">
            <v>אכסאל</v>
          </cell>
          <cell r="AH38"/>
          <cell r="AI38"/>
          <cell r="AJ38"/>
          <cell r="AK38"/>
          <cell r="AL38"/>
          <cell r="AM38"/>
          <cell r="AN38"/>
          <cell r="AO38"/>
          <cell r="AP38"/>
          <cell r="AQ38"/>
          <cell r="AR38"/>
          <cell r="AS38"/>
          <cell r="AT38"/>
          <cell r="AU38"/>
          <cell r="AV38"/>
          <cell r="AW38"/>
          <cell r="AX38"/>
          <cell r="AY38" t="str">
            <v>תל מונד</v>
          </cell>
          <cell r="AZ38"/>
          <cell r="BA38"/>
          <cell r="BB38"/>
          <cell r="BC38"/>
          <cell r="BD38" t="str">
            <v>סכנין</v>
          </cell>
          <cell r="BE38"/>
          <cell r="BF38" t="str">
            <v>טמרה</v>
          </cell>
          <cell r="BG38"/>
          <cell r="BH38"/>
          <cell r="BI38"/>
          <cell r="BJ38"/>
          <cell r="BK38"/>
          <cell r="BL38"/>
          <cell r="BM38"/>
          <cell r="BN38"/>
          <cell r="BO38" t="str">
            <v>ירכא</v>
          </cell>
          <cell r="BP38" t="str">
            <v>סכנין</v>
          </cell>
        </row>
        <row r="39">
          <cell r="B39"/>
          <cell r="D39"/>
          <cell r="E39"/>
          <cell r="F39"/>
          <cell r="G39"/>
          <cell r="H39"/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T39"/>
          <cell r="U39"/>
          <cell r="V39"/>
          <cell r="W39"/>
          <cell r="X39"/>
          <cell r="Y39"/>
          <cell r="Z39"/>
          <cell r="AA39"/>
          <cell r="AB39"/>
          <cell r="AC39"/>
          <cell r="AD39"/>
          <cell r="AE39" t="str">
            <v>משהד</v>
          </cell>
          <cell r="AF39"/>
          <cell r="AG39"/>
          <cell r="AH39"/>
          <cell r="AI39"/>
          <cell r="AJ39"/>
          <cell r="AK39"/>
          <cell r="AL39"/>
          <cell r="AM39"/>
          <cell r="AN39"/>
          <cell r="AO39"/>
          <cell r="AP39"/>
          <cell r="AQ39"/>
          <cell r="AR39"/>
          <cell r="AS39"/>
          <cell r="AT39"/>
          <cell r="AU39"/>
          <cell r="AV39"/>
          <cell r="AW39"/>
          <cell r="AX39"/>
          <cell r="AY39"/>
          <cell r="AZ39"/>
          <cell r="BA39"/>
          <cell r="BB39"/>
          <cell r="BC39"/>
          <cell r="BD39"/>
          <cell r="BE39"/>
          <cell r="BF39" t="str">
            <v xml:space="preserve">בסמת טבעון </v>
          </cell>
          <cell r="BG39"/>
          <cell r="BH39"/>
          <cell r="BI39"/>
          <cell r="BJ39"/>
          <cell r="BK39"/>
          <cell r="BL39"/>
          <cell r="BM39"/>
          <cell r="BN39"/>
          <cell r="BO39" t="str">
            <v>מזרעה</v>
          </cell>
          <cell r="BP39"/>
        </row>
        <row r="40">
          <cell r="B40"/>
          <cell r="D40"/>
          <cell r="E40"/>
          <cell r="F40"/>
          <cell r="G40"/>
          <cell r="H40"/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S40"/>
          <cell r="T40"/>
          <cell r="U40"/>
          <cell r="V40"/>
          <cell r="W40"/>
          <cell r="X40"/>
          <cell r="Y40"/>
          <cell r="Z40"/>
          <cell r="AA40"/>
          <cell r="AB40"/>
          <cell r="AC40"/>
          <cell r="AD40"/>
          <cell r="AE40" t="str">
            <v>שיבלי</v>
          </cell>
          <cell r="AF40"/>
          <cell r="AG40"/>
          <cell r="AH40"/>
          <cell r="AI40"/>
          <cell r="AJ40"/>
          <cell r="AK40"/>
          <cell r="AL40"/>
          <cell r="AM40"/>
          <cell r="AN40"/>
          <cell r="AO40"/>
          <cell r="AP40"/>
          <cell r="AQ40"/>
          <cell r="AR40"/>
          <cell r="AS40"/>
          <cell r="AT40"/>
          <cell r="AU40"/>
          <cell r="AV40"/>
          <cell r="AW40"/>
          <cell r="AX40"/>
          <cell r="AY40"/>
          <cell r="AZ40"/>
          <cell r="BA40"/>
          <cell r="BB40"/>
          <cell r="BC40"/>
          <cell r="BD40"/>
          <cell r="BE40"/>
          <cell r="BF40" t="str">
            <v xml:space="preserve">שעב </v>
          </cell>
          <cell r="BG40"/>
          <cell r="BH40"/>
          <cell r="BI40"/>
          <cell r="BJ40"/>
          <cell r="BK40"/>
          <cell r="BL40"/>
          <cell r="BM40"/>
          <cell r="BN40"/>
          <cell r="BO40"/>
          <cell r="BP40"/>
        </row>
        <row r="41">
          <cell r="BF41" t="str">
            <v xml:space="preserve">אעבלין  </v>
          </cell>
        </row>
        <row r="42">
          <cell r="A42">
            <v>0</v>
          </cell>
          <cell r="B42"/>
          <cell r="C42"/>
          <cell r="D42" t="str">
            <v xml:space="preserve">פתח תקוה  אלעד כפר ברא    </v>
          </cell>
          <cell r="E42" t="str">
            <v xml:space="preserve">      </v>
          </cell>
          <cell r="F42" t="str">
            <v xml:space="preserve">קרית שמונה מטולה  קצרין    </v>
          </cell>
          <cell r="G42" t="str">
            <v xml:space="preserve">      </v>
          </cell>
          <cell r="H42" t="str">
            <v xml:space="preserve">נתניה      </v>
          </cell>
          <cell r="I42" t="str">
            <v xml:space="preserve">      </v>
          </cell>
          <cell r="J42" t="str">
            <v xml:space="preserve">אריאל קרני שומרון     </v>
          </cell>
          <cell r="K42" t="str">
            <v xml:space="preserve">      </v>
          </cell>
          <cell r="L42" t="str">
            <v xml:space="preserve">מודיעין-מכבים-רעות      </v>
          </cell>
          <cell r="M42" t="str">
            <v xml:space="preserve">      </v>
          </cell>
          <cell r="N42" t="str">
            <v xml:space="preserve">ירושלים  אבו גוש     </v>
          </cell>
          <cell r="O42" t="str">
            <v xml:space="preserve">      </v>
          </cell>
          <cell r="P42" t="str">
            <v xml:space="preserve">ראשון לציון      </v>
          </cell>
          <cell r="Q42" t="str">
            <v xml:space="preserve">      </v>
          </cell>
          <cell r="R42" t="str">
            <v xml:space="preserve">אילת       </v>
          </cell>
          <cell r="S42" t="str">
            <v xml:space="preserve">      </v>
          </cell>
          <cell r="T42" t="str">
            <v xml:space="preserve">נצרת עילית  מגדל העמק     </v>
          </cell>
          <cell r="U42" t="str">
            <v xml:space="preserve">טבריה מגדל יבניאל כפר כמא   </v>
          </cell>
          <cell r="V42" t="str">
            <v xml:space="preserve">אשדוד      </v>
          </cell>
          <cell r="W42" t="str">
            <v xml:space="preserve">באר שבע      </v>
          </cell>
          <cell r="X42" t="str">
            <v xml:space="preserve">חולון אזור בית דגן    </v>
          </cell>
          <cell r="Y42" t="str">
            <v xml:space="preserve">צפת חצור הגלילית טובא-זנגרייה גוש חלב יסוד המעלה  </v>
          </cell>
          <cell r="Z42" t="str">
            <v xml:space="preserve">בני ברק      </v>
          </cell>
          <cell r="AA42" t="str">
            <v xml:space="preserve">נס ציונה      </v>
          </cell>
          <cell r="AB42" t="str">
            <v xml:space="preserve">לוד      </v>
          </cell>
          <cell r="AC42" t="str">
            <v xml:space="preserve">רמלה      </v>
          </cell>
          <cell r="AD42" t="str">
            <v xml:space="preserve">חדרה      </v>
          </cell>
          <cell r="AE42" t="str">
            <v>כפר כנא טורעאן בועיינה-נוג'ידאת דבורייה עין מאהל משהד שיבלי</v>
          </cell>
          <cell r="AF42" t="str">
            <v xml:space="preserve">אום אל-פחם ערערה כפר קרע מעלה עירון בסמ"ה  </v>
          </cell>
          <cell r="AG42" t="str">
            <v xml:space="preserve">נצרת ריינה יפיע עילוט אכסאל  </v>
          </cell>
          <cell r="AH42" t="str">
            <v xml:space="preserve">מעלות-תרשיחא שלומי כפר ורדים כסרא-סמיע   </v>
          </cell>
          <cell r="AI42" t="str">
            <v xml:space="preserve">קריית אתא      </v>
          </cell>
          <cell r="AJ42" t="str">
            <v xml:space="preserve">רעננה      </v>
          </cell>
          <cell r="AK42" t="str">
            <v xml:space="preserve">קריית גת      </v>
          </cell>
          <cell r="AL42" t="str">
            <v xml:space="preserve">הרצליה      </v>
          </cell>
          <cell r="AM42" t="str">
            <v xml:space="preserve">רמת השרון      </v>
          </cell>
          <cell r="AN42" t="str">
            <v xml:space="preserve">חיפה      </v>
          </cell>
          <cell r="AO42" t="str">
            <v xml:space="preserve">יבנה גן יבנה     </v>
          </cell>
          <cell r="AP42" t="str">
            <v xml:space="preserve">כרמיאל      </v>
          </cell>
          <cell r="AQ42" t="str">
            <v xml:space="preserve">רהט      </v>
          </cell>
          <cell r="AR42" t="str">
            <v xml:space="preserve">רחובות      </v>
          </cell>
          <cell r="AS42" t="str">
            <v xml:space="preserve">ראש העין אורנית     </v>
          </cell>
          <cell r="AT42" t="str">
            <v xml:space="preserve">קריית מוצקין      </v>
          </cell>
          <cell r="AU42" t="str">
            <v xml:space="preserve">קריית ביאליק      </v>
          </cell>
          <cell r="AV42" t="str">
            <v xml:space="preserve">קריית עקרון בני עייש גדרה קריית מלאכי   </v>
          </cell>
          <cell r="AW42" t="str">
            <v xml:space="preserve">תל אביב-יפו      </v>
          </cell>
          <cell r="AX42" t="str">
            <v xml:space="preserve">תל אביב-יפו      </v>
          </cell>
          <cell r="AY42" t="str">
            <v xml:space="preserve">אבן יהודה כפר יונה פרדסיה קדימה צורן תל מונד  </v>
          </cell>
          <cell r="AZ42" t="str">
            <v xml:space="preserve">תל שבע כסיפה ערערה לקיה   </v>
          </cell>
          <cell r="BA42" t="str">
            <v xml:space="preserve">רמת גן      </v>
          </cell>
          <cell r="BB42" t="str">
            <v xml:space="preserve">גבעתיים       </v>
          </cell>
          <cell r="BC42" t="str">
            <v xml:space="preserve">בת ים       </v>
          </cell>
          <cell r="BD42" t="str">
            <v xml:space="preserve">אל שאג'ור דיר חנא נחף עראבה סכנין  </v>
          </cell>
          <cell r="BE42" t="str">
            <v xml:space="preserve">קרית אונו       </v>
          </cell>
          <cell r="BF42" t="str">
            <v xml:space="preserve">שפרעם  כפר מנדא  זרזיר כאבול  טמרה בסמת טבעון  שעב </v>
          </cell>
          <cell r="BG42" t="str">
            <v xml:space="preserve">בית שמש      </v>
          </cell>
          <cell r="BH42" t="str">
            <v xml:space="preserve">הוד השרון      </v>
          </cell>
          <cell r="BI42" t="str">
            <v xml:space="preserve">אשקלון  נתיבות     </v>
          </cell>
          <cell r="BJ42" t="str">
            <v xml:space="preserve">עכו      </v>
          </cell>
          <cell r="BK42" t="str">
            <v xml:space="preserve"> ג'לג'וליה  כפר קאסם טירה   </v>
          </cell>
          <cell r="BL42" t="str">
            <v xml:space="preserve">קריית ים      </v>
          </cell>
          <cell r="BM42" t="str">
            <v xml:space="preserve">קריית טבעון יקנעם עילית רמת ישי    </v>
          </cell>
          <cell r="BN42" t="str">
            <v xml:space="preserve">דימונה ערד ירוחם מצפה רמון   </v>
          </cell>
          <cell r="BO42" t="str">
            <v xml:space="preserve">אבו סנאן ג'דידה אלמכר ג'וליס  כפר יאסיף ירכא מזרעה </v>
          </cell>
          <cell r="BP42" t="str">
            <v xml:space="preserve">אל שאג'ור דיר חנא נחף עראבה סכנין  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  <cell r="FD42">
            <v>0</v>
          </cell>
          <cell r="FE42">
            <v>0</v>
          </cell>
          <cell r="FF42">
            <v>0</v>
          </cell>
          <cell r="FG42">
            <v>0</v>
          </cell>
          <cell r="FH42">
            <v>0</v>
          </cell>
          <cell r="FI42">
            <v>0</v>
          </cell>
          <cell r="FJ42">
            <v>0</v>
          </cell>
          <cell r="FK42">
            <v>0</v>
          </cell>
          <cell r="FL42">
            <v>0</v>
          </cell>
          <cell r="FM42">
            <v>0</v>
          </cell>
          <cell r="FN42">
            <v>0</v>
          </cell>
          <cell r="FO42">
            <v>0</v>
          </cell>
          <cell r="FP42">
            <v>0</v>
          </cell>
          <cell r="FQ42">
            <v>0</v>
          </cell>
          <cell r="FR42">
            <v>0</v>
          </cell>
          <cell r="FS42">
            <v>0</v>
          </cell>
          <cell r="FT42">
            <v>0</v>
          </cell>
          <cell r="FU42">
            <v>0</v>
          </cell>
          <cell r="FV42">
            <v>0</v>
          </cell>
          <cell r="FW42">
            <v>0</v>
          </cell>
          <cell r="FX42">
            <v>0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  <cell r="GJ42">
            <v>0</v>
          </cell>
          <cell r="GK42">
            <v>0</v>
          </cell>
          <cell r="GL42">
            <v>0</v>
          </cell>
          <cell r="GM42">
            <v>0</v>
          </cell>
          <cell r="GN42">
            <v>0</v>
          </cell>
          <cell r="GO42">
            <v>0</v>
          </cell>
          <cell r="GP42">
            <v>0</v>
          </cell>
          <cell r="GQ42">
            <v>0</v>
          </cell>
          <cell r="GR42">
            <v>0</v>
          </cell>
          <cell r="GS42">
            <v>0</v>
          </cell>
          <cell r="GT42">
            <v>0</v>
          </cell>
          <cell r="GU42">
            <v>0</v>
          </cell>
          <cell r="GV42">
            <v>0</v>
          </cell>
          <cell r="GW42">
            <v>0</v>
          </cell>
          <cell r="GX42">
            <v>0</v>
          </cell>
          <cell r="GY42">
            <v>0</v>
          </cell>
          <cell r="GZ42">
            <v>0</v>
          </cell>
          <cell r="HA42">
            <v>0</v>
          </cell>
          <cell r="HB42">
            <v>0</v>
          </cell>
          <cell r="HC42">
            <v>0</v>
          </cell>
          <cell r="HD42">
            <v>0</v>
          </cell>
          <cell r="HE42">
            <v>0</v>
          </cell>
          <cell r="HF42">
            <v>0</v>
          </cell>
          <cell r="HG42">
            <v>0</v>
          </cell>
          <cell r="HH42">
            <v>0</v>
          </cell>
          <cell r="HI42">
            <v>0</v>
          </cell>
          <cell r="HJ42">
            <v>0</v>
          </cell>
          <cell r="HK42">
            <v>0</v>
          </cell>
          <cell r="HL42">
            <v>0</v>
          </cell>
          <cell r="HM42">
            <v>0</v>
          </cell>
          <cell r="HN42">
            <v>0</v>
          </cell>
          <cell r="HO42">
            <v>0</v>
          </cell>
          <cell r="HP42">
            <v>0</v>
          </cell>
          <cell r="HQ42">
            <v>0</v>
          </cell>
          <cell r="HR42">
            <v>0</v>
          </cell>
          <cell r="HS42">
            <v>0</v>
          </cell>
          <cell r="HT42">
            <v>0</v>
          </cell>
          <cell r="HU42">
            <v>0</v>
          </cell>
          <cell r="HV42">
            <v>0</v>
          </cell>
          <cell r="HW42">
            <v>0</v>
          </cell>
          <cell r="HX42">
            <v>0</v>
          </cell>
          <cell r="HY42">
            <v>0</v>
          </cell>
          <cell r="HZ42">
            <v>0</v>
          </cell>
          <cell r="IA42">
            <v>0</v>
          </cell>
          <cell r="IB42">
            <v>0</v>
          </cell>
          <cell r="IC42">
            <v>0</v>
          </cell>
          <cell r="ID42">
            <v>0</v>
          </cell>
          <cell r="IE42">
            <v>0</v>
          </cell>
          <cell r="IF42">
            <v>0</v>
          </cell>
          <cell r="IG42">
            <v>0</v>
          </cell>
          <cell r="IH42">
            <v>0</v>
          </cell>
          <cell r="II42">
            <v>0</v>
          </cell>
          <cell r="IJ42">
            <v>0</v>
          </cell>
          <cell r="IK42">
            <v>0</v>
          </cell>
          <cell r="IL42">
            <v>0</v>
          </cell>
          <cell r="IM42">
            <v>0</v>
          </cell>
          <cell r="IN42">
            <v>0</v>
          </cell>
          <cell r="IO42">
            <v>0</v>
          </cell>
          <cell r="IP42">
            <v>0</v>
          </cell>
          <cell r="IQ42">
            <v>0</v>
          </cell>
          <cell r="IR42">
            <v>0</v>
          </cell>
          <cell r="IS42">
            <v>0</v>
          </cell>
          <cell r="IT42">
            <v>0</v>
          </cell>
          <cell r="IU42">
            <v>0</v>
          </cell>
          <cell r="IV42">
            <v>0</v>
          </cell>
        </row>
        <row r="43">
          <cell r="A43">
            <v>0</v>
          </cell>
          <cell r="B43"/>
          <cell r="C43"/>
          <cell r="D43">
            <v>0</v>
          </cell>
          <cell r="E43">
            <v>0</v>
          </cell>
          <cell r="F43">
            <v>0</v>
          </cell>
          <cell r="G43"/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/>
          <cell r="AC43"/>
          <cell r="AD43"/>
          <cell r="AE43"/>
          <cell r="AF43"/>
          <cell r="AG43"/>
          <cell r="AH43"/>
          <cell r="AI43"/>
          <cell r="AJ43"/>
          <cell r="AK43"/>
          <cell r="AL43"/>
          <cell r="AM43"/>
          <cell r="AN43"/>
          <cell r="AO43"/>
          <cell r="AP43"/>
          <cell r="AQ43"/>
          <cell r="AR43"/>
          <cell r="AS43"/>
          <cell r="AT43"/>
          <cell r="AU43"/>
          <cell r="AV43"/>
          <cell r="AW43"/>
          <cell r="AX43"/>
          <cell r="AY43"/>
          <cell r="AZ43"/>
          <cell r="BA43"/>
          <cell r="BB43"/>
          <cell r="BC43"/>
          <cell r="BD43"/>
          <cell r="BE43"/>
          <cell r="BF43"/>
          <cell r="BG43"/>
          <cell r="BH43"/>
          <cell r="BI43"/>
          <cell r="BJ43"/>
          <cell r="BK43"/>
          <cell r="BL43"/>
          <cell r="BM43"/>
          <cell r="BN43"/>
          <cell r="BO43"/>
          <cell r="BP43"/>
          <cell r="BQ43"/>
          <cell r="BR43"/>
          <cell r="BS43"/>
          <cell r="BT43"/>
          <cell r="BU43"/>
          <cell r="BV43"/>
          <cell r="BW43"/>
          <cell r="BX43"/>
          <cell r="BY43"/>
          <cell r="BZ43"/>
          <cell r="CA43"/>
          <cell r="CB43"/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V43">
            <v>0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  <cell r="FD43">
            <v>0</v>
          </cell>
          <cell r="FE43">
            <v>0</v>
          </cell>
          <cell r="FF43">
            <v>0</v>
          </cell>
          <cell r="FG43">
            <v>0</v>
          </cell>
          <cell r="FH43">
            <v>0</v>
          </cell>
          <cell r="FI43">
            <v>0</v>
          </cell>
          <cell r="FJ43">
            <v>0</v>
          </cell>
          <cell r="FK43">
            <v>0</v>
          </cell>
          <cell r="FL43">
            <v>0</v>
          </cell>
          <cell r="FM43">
            <v>0</v>
          </cell>
          <cell r="FN43">
            <v>0</v>
          </cell>
          <cell r="FO43">
            <v>0</v>
          </cell>
          <cell r="FP43">
            <v>0</v>
          </cell>
          <cell r="FQ43">
            <v>0</v>
          </cell>
          <cell r="FR43">
            <v>0</v>
          </cell>
          <cell r="FS43">
            <v>0</v>
          </cell>
          <cell r="FT43">
            <v>0</v>
          </cell>
          <cell r="FU43">
            <v>0</v>
          </cell>
          <cell r="FV43">
            <v>0</v>
          </cell>
          <cell r="FW43">
            <v>0</v>
          </cell>
          <cell r="FX43">
            <v>0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  <cell r="GJ43">
            <v>0</v>
          </cell>
          <cell r="GK43">
            <v>0</v>
          </cell>
          <cell r="GL43">
            <v>0</v>
          </cell>
          <cell r="GM43">
            <v>0</v>
          </cell>
          <cell r="GN43">
            <v>0</v>
          </cell>
          <cell r="GO43">
            <v>0</v>
          </cell>
          <cell r="GP43">
            <v>0</v>
          </cell>
          <cell r="GQ43">
            <v>0</v>
          </cell>
          <cell r="GR43">
            <v>0</v>
          </cell>
          <cell r="GS43">
            <v>0</v>
          </cell>
          <cell r="GT43">
            <v>0</v>
          </cell>
          <cell r="GU43">
            <v>0</v>
          </cell>
          <cell r="GV43">
            <v>0</v>
          </cell>
          <cell r="GW43">
            <v>0</v>
          </cell>
          <cell r="GX43">
            <v>0</v>
          </cell>
          <cell r="GY43">
            <v>0</v>
          </cell>
          <cell r="GZ43">
            <v>0</v>
          </cell>
          <cell r="HA43">
            <v>0</v>
          </cell>
          <cell r="HB43">
            <v>0</v>
          </cell>
          <cell r="HC43">
            <v>0</v>
          </cell>
          <cell r="HD43">
            <v>0</v>
          </cell>
          <cell r="HE43">
            <v>0</v>
          </cell>
          <cell r="HF43">
            <v>0</v>
          </cell>
          <cell r="HG43">
            <v>0</v>
          </cell>
          <cell r="HH43">
            <v>0</v>
          </cell>
          <cell r="HI43">
            <v>0</v>
          </cell>
          <cell r="HJ43">
            <v>0</v>
          </cell>
          <cell r="HK43">
            <v>0</v>
          </cell>
          <cell r="HL43">
            <v>0</v>
          </cell>
          <cell r="HM43">
            <v>0</v>
          </cell>
          <cell r="HN43">
            <v>0</v>
          </cell>
          <cell r="HO43">
            <v>0</v>
          </cell>
          <cell r="HP43">
            <v>0</v>
          </cell>
          <cell r="HQ43">
            <v>0</v>
          </cell>
          <cell r="HR43">
            <v>0</v>
          </cell>
          <cell r="HS43">
            <v>0</v>
          </cell>
          <cell r="HT43">
            <v>0</v>
          </cell>
          <cell r="HU43">
            <v>0</v>
          </cell>
          <cell r="HV43">
            <v>0</v>
          </cell>
          <cell r="HW43">
            <v>0</v>
          </cell>
          <cell r="HX43">
            <v>0</v>
          </cell>
          <cell r="HY43">
            <v>0</v>
          </cell>
          <cell r="HZ43">
            <v>0</v>
          </cell>
          <cell r="IA43">
            <v>0</v>
          </cell>
          <cell r="IB43">
            <v>0</v>
          </cell>
          <cell r="IC43">
            <v>0</v>
          </cell>
          <cell r="ID43">
            <v>0</v>
          </cell>
          <cell r="IE43">
            <v>0</v>
          </cell>
          <cell r="IF43">
            <v>0</v>
          </cell>
          <cell r="IG43">
            <v>0</v>
          </cell>
          <cell r="IH43">
            <v>0</v>
          </cell>
          <cell r="II43">
            <v>0</v>
          </cell>
          <cell r="IJ43">
            <v>0</v>
          </cell>
          <cell r="IK43">
            <v>0</v>
          </cell>
          <cell r="IL43">
            <v>0</v>
          </cell>
          <cell r="IM43">
            <v>0</v>
          </cell>
          <cell r="IN43">
            <v>0</v>
          </cell>
          <cell r="IO43">
            <v>0</v>
          </cell>
          <cell r="IP43">
            <v>0</v>
          </cell>
          <cell r="IQ43">
            <v>0</v>
          </cell>
          <cell r="IR43">
            <v>0</v>
          </cell>
          <cell r="IS43">
            <v>0</v>
          </cell>
          <cell r="IT43">
            <v>0</v>
          </cell>
          <cell r="IU43">
            <v>0</v>
          </cell>
          <cell r="IV43">
            <v>0</v>
          </cell>
        </row>
        <row r="44">
          <cell r="A44">
            <v>0</v>
          </cell>
          <cell r="B44">
            <v>0</v>
          </cell>
          <cell r="C44"/>
          <cell r="D44">
            <v>0</v>
          </cell>
          <cell r="E44">
            <v>0</v>
          </cell>
          <cell r="F44">
            <v>0</v>
          </cell>
          <cell r="G44"/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/>
          <cell r="AC44"/>
          <cell r="AD44"/>
          <cell r="AE44"/>
          <cell r="AF44"/>
          <cell r="AG44"/>
          <cell r="AH44"/>
          <cell r="AI44"/>
          <cell r="AJ44"/>
          <cell r="AK44"/>
          <cell r="AL44"/>
          <cell r="AM44"/>
          <cell r="AN44"/>
          <cell r="AO44"/>
          <cell r="AP44"/>
          <cell r="AQ44"/>
          <cell r="AR44"/>
          <cell r="AS44"/>
          <cell r="AT44"/>
          <cell r="AU44"/>
          <cell r="AV44"/>
          <cell r="AW44"/>
          <cell r="AX44"/>
          <cell r="AY44"/>
          <cell r="AZ44"/>
          <cell r="BA44"/>
          <cell r="BB44"/>
          <cell r="BC44"/>
          <cell r="BD44"/>
          <cell r="BE44"/>
          <cell r="BF44"/>
          <cell r="BG44"/>
          <cell r="BH44"/>
          <cell r="BI44"/>
          <cell r="BJ44"/>
          <cell r="BK44"/>
          <cell r="BL44"/>
          <cell r="BM44"/>
          <cell r="BN44"/>
          <cell r="BO44"/>
          <cell r="BP44"/>
          <cell r="BQ44"/>
          <cell r="BR44"/>
          <cell r="BS44"/>
          <cell r="BT44"/>
          <cell r="BU44"/>
          <cell r="BV44"/>
          <cell r="BW44"/>
          <cell r="BX44"/>
          <cell r="BY44"/>
          <cell r="BZ44"/>
          <cell r="CA44"/>
          <cell r="CB44"/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  <cell r="FD44">
            <v>0</v>
          </cell>
          <cell r="FE44">
            <v>0</v>
          </cell>
          <cell r="FF44">
            <v>0</v>
          </cell>
          <cell r="FG44">
            <v>0</v>
          </cell>
          <cell r="FH44">
            <v>0</v>
          </cell>
          <cell r="FI44">
            <v>0</v>
          </cell>
          <cell r="FJ44">
            <v>0</v>
          </cell>
          <cell r="FK44">
            <v>0</v>
          </cell>
          <cell r="FL44">
            <v>0</v>
          </cell>
          <cell r="FM44">
            <v>0</v>
          </cell>
          <cell r="FN44">
            <v>0</v>
          </cell>
          <cell r="FO44">
            <v>0</v>
          </cell>
          <cell r="FP44">
            <v>0</v>
          </cell>
          <cell r="FQ44">
            <v>0</v>
          </cell>
          <cell r="FR44">
            <v>0</v>
          </cell>
          <cell r="FS44">
            <v>0</v>
          </cell>
          <cell r="FT44">
            <v>0</v>
          </cell>
          <cell r="FU44">
            <v>0</v>
          </cell>
          <cell r="FV44">
            <v>0</v>
          </cell>
          <cell r="FW44">
            <v>0</v>
          </cell>
          <cell r="FX44">
            <v>0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  <cell r="GJ44">
            <v>0</v>
          </cell>
          <cell r="GK44">
            <v>0</v>
          </cell>
          <cell r="GL44">
            <v>0</v>
          </cell>
          <cell r="GM44">
            <v>0</v>
          </cell>
          <cell r="GN44">
            <v>0</v>
          </cell>
          <cell r="GO44">
            <v>0</v>
          </cell>
          <cell r="GP44">
            <v>0</v>
          </cell>
          <cell r="GQ44">
            <v>0</v>
          </cell>
          <cell r="GR44">
            <v>0</v>
          </cell>
          <cell r="GS44">
            <v>0</v>
          </cell>
          <cell r="GT44">
            <v>0</v>
          </cell>
          <cell r="GU44">
            <v>0</v>
          </cell>
          <cell r="GV44">
            <v>0</v>
          </cell>
          <cell r="GW44">
            <v>0</v>
          </cell>
          <cell r="GX44">
            <v>0</v>
          </cell>
          <cell r="GY44">
            <v>0</v>
          </cell>
          <cell r="GZ44">
            <v>0</v>
          </cell>
          <cell r="HA44">
            <v>0</v>
          </cell>
          <cell r="HB44">
            <v>0</v>
          </cell>
          <cell r="HC44">
            <v>0</v>
          </cell>
          <cell r="HD44">
            <v>0</v>
          </cell>
          <cell r="HE44">
            <v>0</v>
          </cell>
          <cell r="HF44">
            <v>0</v>
          </cell>
          <cell r="HG44">
            <v>0</v>
          </cell>
          <cell r="HH44">
            <v>0</v>
          </cell>
          <cell r="HI44">
            <v>0</v>
          </cell>
          <cell r="HJ44">
            <v>0</v>
          </cell>
          <cell r="HK44">
            <v>0</v>
          </cell>
          <cell r="HL44">
            <v>0</v>
          </cell>
          <cell r="HM44">
            <v>0</v>
          </cell>
          <cell r="HN44">
            <v>0</v>
          </cell>
          <cell r="HO44">
            <v>0</v>
          </cell>
          <cell r="HP44">
            <v>0</v>
          </cell>
          <cell r="HQ44">
            <v>0</v>
          </cell>
          <cell r="HR44">
            <v>0</v>
          </cell>
          <cell r="HS44">
            <v>0</v>
          </cell>
          <cell r="HT44">
            <v>0</v>
          </cell>
          <cell r="HU44">
            <v>0</v>
          </cell>
          <cell r="HV44">
            <v>0</v>
          </cell>
          <cell r="HW44">
            <v>0</v>
          </cell>
          <cell r="HX44">
            <v>0</v>
          </cell>
          <cell r="HY44">
            <v>0</v>
          </cell>
          <cell r="HZ44">
            <v>0</v>
          </cell>
          <cell r="IA44">
            <v>0</v>
          </cell>
          <cell r="IB44">
            <v>0</v>
          </cell>
          <cell r="IC44">
            <v>0</v>
          </cell>
          <cell r="ID44">
            <v>0</v>
          </cell>
          <cell r="IE44">
            <v>0</v>
          </cell>
          <cell r="IF44">
            <v>0</v>
          </cell>
          <cell r="IG44">
            <v>0</v>
          </cell>
          <cell r="IH44">
            <v>0</v>
          </cell>
          <cell r="II44">
            <v>0</v>
          </cell>
          <cell r="IJ44">
            <v>0</v>
          </cell>
          <cell r="IK44">
            <v>0</v>
          </cell>
          <cell r="IL44">
            <v>0</v>
          </cell>
          <cell r="IM44">
            <v>0</v>
          </cell>
          <cell r="IN44">
            <v>0</v>
          </cell>
          <cell r="IO44">
            <v>0</v>
          </cell>
          <cell r="IP44">
            <v>0</v>
          </cell>
          <cell r="IQ44">
            <v>0</v>
          </cell>
          <cell r="IR44">
            <v>0</v>
          </cell>
          <cell r="IS44">
            <v>0</v>
          </cell>
          <cell r="IT44">
            <v>0</v>
          </cell>
          <cell r="IU44">
            <v>0</v>
          </cell>
          <cell r="IV44">
            <v>0</v>
          </cell>
        </row>
        <row r="47">
          <cell r="B47" t="str">
            <v>כמות מים נכנסת (רכישה+הפקה)</v>
          </cell>
          <cell r="D47">
            <v>17168.895</v>
          </cell>
          <cell r="E47"/>
          <cell r="F47">
            <v>2527.4059999999999</v>
          </cell>
          <cell r="G47"/>
          <cell r="H47">
            <v>17287.786</v>
          </cell>
          <cell r="I47">
            <v>0</v>
          </cell>
          <cell r="J47">
            <v>1498.93</v>
          </cell>
          <cell r="K47">
            <v>0</v>
          </cell>
          <cell r="L47">
            <v>6494.7920000000004</v>
          </cell>
          <cell r="M47">
            <v>0</v>
          </cell>
          <cell r="N47">
            <v>60271.078999999998</v>
          </cell>
          <cell r="O47">
            <v>0</v>
          </cell>
          <cell r="P47">
            <v>21954.236000000001</v>
          </cell>
          <cell r="Q47">
            <v>0</v>
          </cell>
          <cell r="R47">
            <v>12960.301000000001</v>
          </cell>
          <cell r="S47">
            <v>0</v>
          </cell>
          <cell r="T47">
            <v>4460.7299999999996</v>
          </cell>
          <cell r="U47">
            <v>5692.085</v>
          </cell>
          <cell r="V47">
            <v>19945.883999999998</v>
          </cell>
          <cell r="W47">
            <v>21411.146999999997</v>
          </cell>
          <cell r="X47">
            <v>16645.978999999999</v>
          </cell>
          <cell r="Y47">
            <v>3488.8150000000001</v>
          </cell>
          <cell r="Z47">
            <v>10846.606</v>
          </cell>
          <cell r="AA47">
            <v>3681.2719999999999</v>
          </cell>
          <cell r="AB47">
            <v>6521.3019999999997</v>
          </cell>
          <cell r="AC47">
            <v>5515.0129999999999</v>
          </cell>
          <cell r="AD47">
            <v>8579.0540000000001</v>
          </cell>
          <cell r="AE47">
            <v>1676.1020000000001</v>
          </cell>
          <cell r="AF47">
            <v>3459.31</v>
          </cell>
          <cell r="AG47">
            <v>6422.1289999999999</v>
          </cell>
          <cell r="AH47">
            <v>1944.204</v>
          </cell>
          <cell r="AI47">
            <v>4285.79</v>
          </cell>
          <cell r="AJ47">
            <v>7886.4490000000005</v>
          </cell>
          <cell r="AK47">
            <v>7642.13</v>
          </cell>
          <cell r="AL47">
            <v>11905.545999999998</v>
          </cell>
          <cell r="AM47">
            <v>5642.9030000000002</v>
          </cell>
          <cell r="AN47">
            <v>27789.128000000001</v>
          </cell>
          <cell r="AO47">
            <v>4415.6409999999996</v>
          </cell>
          <cell r="AP47">
            <v>4798.7269999999999</v>
          </cell>
          <cell r="AQ47">
            <v>3220.6889999999999</v>
          </cell>
          <cell r="AR47">
            <v>10032.969000000001</v>
          </cell>
          <cell r="AS47">
            <v>3888.0729999999999</v>
          </cell>
          <cell r="AT47">
            <v>3127.6060000000002</v>
          </cell>
          <cell r="AU47">
            <v>3314.4030000000002</v>
          </cell>
          <cell r="AV47">
            <v>927.31700000000001</v>
          </cell>
          <cell r="AW47">
            <v>47907.46</v>
          </cell>
          <cell r="AX47">
            <v>47907.46</v>
          </cell>
          <cell r="AY47">
            <v>1851.3970000000002</v>
          </cell>
          <cell r="AZ47">
            <v>1082.7449999999999</v>
          </cell>
          <cell r="BA47">
            <v>13163.936</v>
          </cell>
          <cell r="BB47">
            <v>4256.8890000000001</v>
          </cell>
          <cell r="BC47">
            <v>10443.365</v>
          </cell>
          <cell r="BD47">
            <v>2455.9499999999998</v>
          </cell>
          <cell r="BE47">
            <v>2923.913</v>
          </cell>
          <cell r="BF47">
            <v>3165.556</v>
          </cell>
          <cell r="BG47">
            <v>5820.0350000000008</v>
          </cell>
          <cell r="BH47">
            <v>4685.134</v>
          </cell>
          <cell r="BI47">
            <v>11176.074000000001</v>
          </cell>
          <cell r="BJ47">
            <v>4250.4409999999998</v>
          </cell>
          <cell r="BK47">
            <v>0</v>
          </cell>
          <cell r="BL47">
            <v>3111.7930000000001</v>
          </cell>
          <cell r="BM47">
            <v>1697.614</v>
          </cell>
          <cell r="BN47">
            <v>3657.6690000000003</v>
          </cell>
          <cell r="BO47">
            <v>827.46100000000001</v>
          </cell>
          <cell r="BP47">
            <v>2455.9499999999998</v>
          </cell>
        </row>
        <row r="48">
          <cell r="D48">
            <v>2229.3330000000001</v>
          </cell>
          <cell r="E48"/>
          <cell r="F48">
            <v>311.91400000000004</v>
          </cell>
          <cell r="G48"/>
          <cell r="H48">
            <v>0</v>
          </cell>
          <cell r="I48">
            <v>0</v>
          </cell>
          <cell r="J48">
            <v>623.12699999999995</v>
          </cell>
          <cell r="K48">
            <v>0</v>
          </cell>
          <cell r="L48">
            <v>0</v>
          </cell>
          <cell r="M48">
            <v>0</v>
          </cell>
          <cell r="N48">
            <v>437.63200000000001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3251.5650000000001</v>
          </cell>
          <cell r="U48">
            <v>396.86700000000002</v>
          </cell>
          <cell r="V48">
            <v>0</v>
          </cell>
          <cell r="W48">
            <v>0</v>
          </cell>
          <cell r="X48">
            <v>0</v>
          </cell>
          <cell r="Y48">
            <v>888.73099999999999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1006.64</v>
          </cell>
          <cell r="AF48">
            <v>1248.78</v>
          </cell>
          <cell r="AG48">
            <v>1328.008</v>
          </cell>
          <cell r="AH48">
            <v>1106.6469999999999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1720.316</v>
          </cell>
          <cell r="AP48">
            <v>0</v>
          </cell>
          <cell r="AQ48">
            <v>0</v>
          </cell>
          <cell r="AR48">
            <v>0</v>
          </cell>
          <cell r="AS48">
            <v>594.07000000000005</v>
          </cell>
          <cell r="AT48">
            <v>0</v>
          </cell>
          <cell r="AU48">
            <v>0</v>
          </cell>
          <cell r="AV48">
            <v>463.66</v>
          </cell>
          <cell r="AW48">
            <v>0</v>
          </cell>
          <cell r="AX48">
            <v>0</v>
          </cell>
          <cell r="AY48">
            <v>1861.546</v>
          </cell>
          <cell r="AZ48">
            <v>714.67200000000003</v>
          </cell>
          <cell r="BA48">
            <v>0</v>
          </cell>
          <cell r="BB48">
            <v>0</v>
          </cell>
          <cell r="BC48">
            <v>0</v>
          </cell>
          <cell r="BD48">
            <v>606.35</v>
          </cell>
          <cell r="BE48">
            <v>0</v>
          </cell>
          <cell r="BF48">
            <v>1192.44</v>
          </cell>
          <cell r="BG48">
            <v>0</v>
          </cell>
          <cell r="BH48">
            <v>0</v>
          </cell>
          <cell r="BI48">
            <v>2423.7199999999998</v>
          </cell>
          <cell r="BJ48">
            <v>0</v>
          </cell>
          <cell r="BK48">
            <v>928.83899999999994</v>
          </cell>
          <cell r="BL48">
            <v>0</v>
          </cell>
          <cell r="BM48">
            <v>1596.597</v>
          </cell>
          <cell r="BN48">
            <v>3112.596</v>
          </cell>
          <cell r="BO48">
            <v>1639.3330000000001</v>
          </cell>
          <cell r="BP48">
            <v>606.35</v>
          </cell>
        </row>
        <row r="49">
          <cell r="D49">
            <v>249.91</v>
          </cell>
          <cell r="E49"/>
          <cell r="F49">
            <v>864.15899999999999</v>
          </cell>
          <cell r="G49"/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632.48500000000001</v>
          </cell>
          <cell r="Y49">
            <v>751.98699999999997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411.23</v>
          </cell>
          <cell r="AF49">
            <v>1302.1290000000001</v>
          </cell>
          <cell r="AG49">
            <v>1101.05</v>
          </cell>
          <cell r="AH49">
            <v>686.75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1854.662</v>
          </cell>
          <cell r="AW49">
            <v>0</v>
          </cell>
          <cell r="AX49">
            <v>0</v>
          </cell>
          <cell r="AY49">
            <v>591.52799999999991</v>
          </cell>
          <cell r="AZ49">
            <v>1248.78</v>
          </cell>
          <cell r="BA49">
            <v>0</v>
          </cell>
          <cell r="BB49">
            <v>0</v>
          </cell>
          <cell r="BC49">
            <v>0</v>
          </cell>
          <cell r="BD49">
            <v>669.69599999999991</v>
          </cell>
          <cell r="BE49">
            <v>0</v>
          </cell>
          <cell r="BF49">
            <v>413.22200000000004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1727.53</v>
          </cell>
          <cell r="BL49">
            <v>0</v>
          </cell>
          <cell r="BM49">
            <v>713.66</v>
          </cell>
          <cell r="BN49">
            <v>1232.17</v>
          </cell>
          <cell r="BO49">
            <v>622.33000000000004</v>
          </cell>
          <cell r="BP49">
            <v>669.69599999999991</v>
          </cell>
        </row>
        <row r="50">
          <cell r="B50"/>
          <cell r="D50">
            <v>0</v>
          </cell>
          <cell r="E50"/>
          <cell r="F50">
            <v>0</v>
          </cell>
          <cell r="G50"/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257.23499999999996</v>
          </cell>
          <cell r="V50">
            <v>0</v>
          </cell>
          <cell r="W50">
            <v>0</v>
          </cell>
          <cell r="X50">
            <v>0</v>
          </cell>
          <cell r="Y50">
            <v>221.75800000000001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735.62099999999998</v>
          </cell>
          <cell r="AF50">
            <v>0</v>
          </cell>
          <cell r="AG50">
            <v>426.98</v>
          </cell>
          <cell r="AH50">
            <v>381.78699999999998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1912.58</v>
          </cell>
          <cell r="AW50">
            <v>0</v>
          </cell>
          <cell r="AX50">
            <v>0</v>
          </cell>
          <cell r="AY50">
            <v>1339.163</v>
          </cell>
          <cell r="AZ50">
            <v>1129.18</v>
          </cell>
          <cell r="BA50">
            <v>0</v>
          </cell>
          <cell r="BB50">
            <v>0</v>
          </cell>
          <cell r="BC50">
            <v>0</v>
          </cell>
          <cell r="BD50">
            <v>1867.47</v>
          </cell>
          <cell r="BE50">
            <v>0</v>
          </cell>
          <cell r="BF50">
            <v>672.80799999999999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1704.076</v>
          </cell>
          <cell r="BL50">
            <v>0</v>
          </cell>
          <cell r="BM50">
            <v>0</v>
          </cell>
          <cell r="BN50">
            <v>607.6</v>
          </cell>
          <cell r="BO50">
            <v>808.37300000000005</v>
          </cell>
          <cell r="BP50">
            <v>1867.47</v>
          </cell>
        </row>
        <row r="51">
          <cell r="D51">
            <v>0</v>
          </cell>
          <cell r="E51"/>
          <cell r="F51">
            <v>0</v>
          </cell>
          <cell r="G51"/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173.12899999999999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757.58</v>
          </cell>
          <cell r="AF51">
            <v>0</v>
          </cell>
          <cell r="AG51">
            <v>1077.6110000000001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1141.1410000000001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2114.02</v>
          </cell>
          <cell r="BE51">
            <v>0</v>
          </cell>
          <cell r="BF51">
            <v>2195.4960000000001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1810.64</v>
          </cell>
          <cell r="BP51">
            <v>2114.02</v>
          </cell>
        </row>
        <row r="52">
          <cell r="D52">
            <v>0</v>
          </cell>
          <cell r="E52"/>
          <cell r="F52">
            <v>0</v>
          </cell>
          <cell r="G52"/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534.27700000000004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488.1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245.44799999999998</v>
          </cell>
          <cell r="BP52">
            <v>0</v>
          </cell>
        </row>
        <row r="53">
          <cell r="D53">
            <v>0</v>
          </cell>
          <cell r="E53"/>
          <cell r="F53">
            <v>0</v>
          </cell>
          <cell r="G53"/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397.35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441.75200000000001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</row>
        <row r="54">
          <cell r="Y54"/>
          <cell r="BF54">
            <v>1208.2929999999999</v>
          </cell>
        </row>
        <row r="55">
          <cell r="B55" t="str">
            <v>סה"כ מים</v>
          </cell>
          <cell r="D55">
            <v>19648.137999999999</v>
          </cell>
          <cell r="E55"/>
          <cell r="F55">
            <v>3703.4790000000003</v>
          </cell>
          <cell r="G55"/>
          <cell r="H55">
            <v>17287.786</v>
          </cell>
          <cell r="I55">
            <v>0</v>
          </cell>
          <cell r="J55">
            <v>2122.0569999999998</v>
          </cell>
          <cell r="K55">
            <v>0</v>
          </cell>
          <cell r="L55">
            <v>6494.7920000000004</v>
          </cell>
          <cell r="M55">
            <v>0</v>
          </cell>
          <cell r="N55">
            <v>60708.710999999996</v>
          </cell>
          <cell r="O55">
            <v>0</v>
          </cell>
          <cell r="P55">
            <v>21954.236000000001</v>
          </cell>
          <cell r="Q55">
            <v>0</v>
          </cell>
          <cell r="R55">
            <v>12960.301000000001</v>
          </cell>
          <cell r="S55">
            <v>0</v>
          </cell>
          <cell r="T55">
            <v>7712.2950000000001</v>
          </cell>
          <cell r="U55">
            <v>6346.1869999999999</v>
          </cell>
          <cell r="V55">
            <v>19945.883999999998</v>
          </cell>
          <cell r="W55">
            <v>21411.146999999997</v>
          </cell>
          <cell r="X55">
            <v>17278.464</v>
          </cell>
          <cell r="Y55">
            <v>5524.42</v>
          </cell>
          <cell r="Z55">
            <v>10846.606</v>
          </cell>
          <cell r="AA55">
            <v>3681.2719999999999</v>
          </cell>
          <cell r="AB55">
            <v>6521.3019999999997</v>
          </cell>
          <cell r="AC55">
            <v>5515.0129999999999</v>
          </cell>
          <cell r="AD55">
            <v>8579.0540000000001</v>
          </cell>
          <cell r="AE55">
            <v>5518.8000000000011</v>
          </cell>
          <cell r="AF55">
            <v>6010.2190000000001</v>
          </cell>
          <cell r="AG55">
            <v>10355.778</v>
          </cell>
          <cell r="AH55">
            <v>4119.3879999999999</v>
          </cell>
          <cell r="AI55">
            <v>4285.79</v>
          </cell>
          <cell r="AJ55">
            <v>7886.4490000000005</v>
          </cell>
          <cell r="AK55">
            <v>7642.13</v>
          </cell>
          <cell r="AL55">
            <v>11905.545999999998</v>
          </cell>
          <cell r="AM55">
            <v>5642.9030000000002</v>
          </cell>
          <cell r="AN55">
            <v>27789.128000000001</v>
          </cell>
          <cell r="AO55">
            <v>6135.9569999999994</v>
          </cell>
          <cell r="AP55">
            <v>4798.7269999999999</v>
          </cell>
          <cell r="AQ55">
            <v>3220.6889999999999</v>
          </cell>
          <cell r="AR55">
            <v>10032.969000000001</v>
          </cell>
          <cell r="AS55">
            <v>4482.143</v>
          </cell>
          <cell r="AT55">
            <v>3127.6060000000002</v>
          </cell>
          <cell r="AU55">
            <v>3314.4030000000002</v>
          </cell>
          <cell r="AV55">
            <v>5158.2190000000001</v>
          </cell>
          <cell r="AW55">
            <v>47907.46</v>
          </cell>
          <cell r="AX55">
            <v>47907.46</v>
          </cell>
          <cell r="AY55">
            <v>6784.7749999999996</v>
          </cell>
          <cell r="AZ55">
            <v>4175.3770000000004</v>
          </cell>
          <cell r="BA55">
            <v>13163.936</v>
          </cell>
          <cell r="BB55">
            <v>4256.8890000000001</v>
          </cell>
          <cell r="BC55">
            <v>10443.365</v>
          </cell>
          <cell r="BD55">
            <v>7713.485999999999</v>
          </cell>
          <cell r="BE55">
            <v>2923.913</v>
          </cell>
          <cell r="BF55">
            <v>9777.6669999999995</v>
          </cell>
          <cell r="BG55">
            <v>5820.0350000000008</v>
          </cell>
          <cell r="BH55">
            <v>4685.134</v>
          </cell>
          <cell r="BI55">
            <v>13599.794</v>
          </cell>
          <cell r="BJ55">
            <v>4250.4409999999998</v>
          </cell>
          <cell r="BK55">
            <v>4360.4449999999997</v>
          </cell>
          <cell r="BL55">
            <v>3111.7930000000001</v>
          </cell>
          <cell r="BM55">
            <v>4007.8710000000001</v>
          </cell>
          <cell r="BN55">
            <v>8610.0349999999999</v>
          </cell>
          <cell r="BO55">
            <v>5953.585</v>
          </cell>
          <cell r="BP55">
            <v>7713.485999999999</v>
          </cell>
          <cell r="BQ55">
            <v>606834.93499999994</v>
          </cell>
        </row>
        <row r="56">
          <cell r="D56"/>
        </row>
        <row r="57">
          <cell r="B57" t="str">
            <v>כמות ביוב</v>
          </cell>
          <cell r="D57">
            <v>714.71100000000001</v>
          </cell>
          <cell r="E57"/>
          <cell r="F57">
            <v>122.77200000000001</v>
          </cell>
          <cell r="G57"/>
          <cell r="H57">
            <v>1160.1510000000001</v>
          </cell>
          <cell r="I57">
            <v>0</v>
          </cell>
          <cell r="J57">
            <v>139.43199999999999</v>
          </cell>
          <cell r="K57">
            <v>0</v>
          </cell>
          <cell r="L57">
            <v>464.33499999999998</v>
          </cell>
          <cell r="M57">
            <v>0</v>
          </cell>
          <cell r="N57">
            <v>1766.049</v>
          </cell>
          <cell r="O57">
            <v>0</v>
          </cell>
          <cell r="P57">
            <v>1511.8910000000001</v>
          </cell>
          <cell r="Q57">
            <v>0</v>
          </cell>
          <cell r="R57">
            <v>1539.74</v>
          </cell>
          <cell r="S57">
            <v>0</v>
          </cell>
          <cell r="T57">
            <v>192.768</v>
          </cell>
          <cell r="U57">
            <v>322.91699999999997</v>
          </cell>
          <cell r="V57">
            <v>1542.7249999999999</v>
          </cell>
          <cell r="W57">
            <v>1632.114</v>
          </cell>
          <cell r="X57">
            <v>1024.7449999999999</v>
          </cell>
          <cell r="Y57">
            <v>120.92400000000001</v>
          </cell>
          <cell r="Z57">
            <v>139.91</v>
          </cell>
          <cell r="AA57">
            <v>310.36900000000003</v>
          </cell>
          <cell r="AB57">
            <v>306.68700000000001</v>
          </cell>
          <cell r="AC57">
            <v>231.13900000000001</v>
          </cell>
          <cell r="AD57">
            <v>443.00599999999997</v>
          </cell>
          <cell r="AE57">
            <v>38.700000000000003</v>
          </cell>
          <cell r="AF57">
            <v>48.912999999999997</v>
          </cell>
          <cell r="AG57">
            <v>67.649000000000001</v>
          </cell>
          <cell r="AH57">
            <v>153.786</v>
          </cell>
          <cell r="AI57">
            <v>467.36900000000003</v>
          </cell>
          <cell r="AJ57">
            <v>728.92499999999995</v>
          </cell>
          <cell r="AK57">
            <v>250.06700000000001</v>
          </cell>
          <cell r="AL57">
            <v>710.90800000000002</v>
          </cell>
          <cell r="AM57">
            <v>740.64200000000005</v>
          </cell>
          <cell r="AN57">
            <v>981.97699999999998</v>
          </cell>
          <cell r="AO57">
            <v>361.42200000000003</v>
          </cell>
          <cell r="AP57">
            <v>616.721</v>
          </cell>
          <cell r="AQ57">
            <v>49.856999999999999</v>
          </cell>
          <cell r="AR57">
            <v>880.68700000000001</v>
          </cell>
          <cell r="AS57">
            <v>474.23599999999999</v>
          </cell>
          <cell r="AT57">
            <v>262.22800000000001</v>
          </cell>
          <cell r="AU57">
            <v>347.495</v>
          </cell>
          <cell r="AV57">
            <v>70.591999999999999</v>
          </cell>
          <cell r="AW57">
            <v>3532.8870000000002</v>
          </cell>
          <cell r="AX57">
            <v>3532.8870000000002</v>
          </cell>
          <cell r="AY57">
            <v>162.91800000000001</v>
          </cell>
          <cell r="AZ57">
            <v>79.274000000000001</v>
          </cell>
          <cell r="BA57">
            <v>815.80499999999995</v>
          </cell>
          <cell r="BB57">
            <v>167.91499999999999</v>
          </cell>
          <cell r="BC57">
            <v>929.66800000000001</v>
          </cell>
          <cell r="BD57">
            <v>18.506</v>
          </cell>
          <cell r="BE57">
            <v>166.518</v>
          </cell>
          <cell r="BF57">
            <v>47.527000000000001</v>
          </cell>
          <cell r="BG57">
            <v>432.73500000000001</v>
          </cell>
          <cell r="BH57">
            <v>533.54</v>
          </cell>
          <cell r="BI57">
            <v>620.66</v>
          </cell>
          <cell r="BJ57">
            <v>234.94499999999999</v>
          </cell>
          <cell r="BK57">
            <v>0</v>
          </cell>
          <cell r="BL57">
            <v>737.4</v>
          </cell>
          <cell r="BM57">
            <v>106.11</v>
          </cell>
          <cell r="BN57">
            <v>457.48</v>
          </cell>
          <cell r="BO57">
            <v>0.13400000000000001</v>
          </cell>
          <cell r="BP57">
            <v>18.506</v>
          </cell>
        </row>
        <row r="58">
          <cell r="D58">
            <v>246.09299999999999</v>
          </cell>
          <cell r="E58"/>
          <cell r="F58">
            <v>25.658999999999999</v>
          </cell>
          <cell r="G58"/>
          <cell r="H58">
            <v>0</v>
          </cell>
          <cell r="I58">
            <v>0</v>
          </cell>
          <cell r="J58">
            <v>56.767000000000003</v>
          </cell>
          <cell r="K58">
            <v>0</v>
          </cell>
          <cell r="L58">
            <v>0</v>
          </cell>
          <cell r="M58">
            <v>0</v>
          </cell>
          <cell r="N58">
            <v>2.5219999999999998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176.822</v>
          </cell>
          <cell r="U58">
            <v>21.448</v>
          </cell>
          <cell r="V58">
            <v>0</v>
          </cell>
          <cell r="W58">
            <v>0</v>
          </cell>
          <cell r="X58">
            <v>0</v>
          </cell>
          <cell r="Y58">
            <v>93.832999999999998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0.48499999999999999</v>
          </cell>
          <cell r="AF58">
            <v>5.9809999999999999</v>
          </cell>
          <cell r="AG58">
            <v>3.7959999999999998</v>
          </cell>
          <cell r="AH58">
            <v>12.615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141.565</v>
          </cell>
          <cell r="AP58">
            <v>0</v>
          </cell>
          <cell r="AQ58">
            <v>0</v>
          </cell>
          <cell r="AR58">
            <v>0</v>
          </cell>
          <cell r="AS58">
            <v>26.088999999999999</v>
          </cell>
          <cell r="AT58">
            <v>0</v>
          </cell>
          <cell r="AU58">
            <v>0</v>
          </cell>
          <cell r="AV58">
            <v>19.260999999999999</v>
          </cell>
          <cell r="AW58">
            <v>0</v>
          </cell>
          <cell r="AX58">
            <v>0</v>
          </cell>
          <cell r="AY58">
            <v>434.31299999999999</v>
          </cell>
          <cell r="AZ58">
            <v>65.453999999999994</v>
          </cell>
          <cell r="BA58">
            <v>0</v>
          </cell>
          <cell r="BB58">
            <v>0</v>
          </cell>
          <cell r="BC58">
            <v>0</v>
          </cell>
          <cell r="BD58">
            <v>27.55</v>
          </cell>
          <cell r="BE58">
            <v>0</v>
          </cell>
          <cell r="BF58">
            <v>13.409000000000001</v>
          </cell>
          <cell r="BG58">
            <v>0</v>
          </cell>
          <cell r="BH58">
            <v>0</v>
          </cell>
          <cell r="BI58">
            <v>233.113</v>
          </cell>
          <cell r="BJ58">
            <v>0</v>
          </cell>
          <cell r="BK58">
            <v>50.654000000000003</v>
          </cell>
          <cell r="BL58">
            <v>0</v>
          </cell>
          <cell r="BM58">
            <v>156.31399999999999</v>
          </cell>
          <cell r="BN58">
            <v>267.97699999999998</v>
          </cell>
          <cell r="BO58">
            <v>12.114000000000001</v>
          </cell>
          <cell r="BP58">
            <v>27.55</v>
          </cell>
        </row>
        <row r="59">
          <cell r="D59">
            <v>8.4390000000000001</v>
          </cell>
          <cell r="E59"/>
          <cell r="F59">
            <v>124.78400000000001</v>
          </cell>
          <cell r="G59"/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79.486000000000004</v>
          </cell>
          <cell r="Y59">
            <v>11.422000000000001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2.2280000000000002</v>
          </cell>
          <cell r="AF59">
            <v>8.8789999999999996</v>
          </cell>
          <cell r="AG59">
            <v>15.260999999999999</v>
          </cell>
          <cell r="AH59">
            <v>50.948999999999998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136.34800000000001</v>
          </cell>
          <cell r="AW59">
            <v>0</v>
          </cell>
          <cell r="AX59">
            <v>0</v>
          </cell>
          <cell r="AY59">
            <v>55.32</v>
          </cell>
          <cell r="AZ59">
            <v>5.9809999999999999</v>
          </cell>
          <cell r="BA59">
            <v>0</v>
          </cell>
          <cell r="BB59">
            <v>0</v>
          </cell>
          <cell r="BC59">
            <v>0</v>
          </cell>
          <cell r="BD59">
            <v>0.53700000000000003</v>
          </cell>
          <cell r="BE59">
            <v>0</v>
          </cell>
          <cell r="BF59">
            <v>10.627000000000001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119.8</v>
          </cell>
          <cell r="BL59">
            <v>0</v>
          </cell>
          <cell r="BM59">
            <v>4.6280000000000001</v>
          </cell>
          <cell r="BN59">
            <v>164.57900000000001</v>
          </cell>
          <cell r="BO59">
            <v>20.856999999999999</v>
          </cell>
          <cell r="BP59">
            <v>0.53700000000000003</v>
          </cell>
        </row>
        <row r="60">
          <cell r="D60">
            <v>0</v>
          </cell>
          <cell r="E60"/>
          <cell r="F60">
            <v>0</v>
          </cell>
          <cell r="G60"/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0.58299999999999996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4.399</v>
          </cell>
          <cell r="AF60">
            <v>0</v>
          </cell>
          <cell r="AG60">
            <v>0</v>
          </cell>
          <cell r="AH60">
            <v>2.548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60.665999999999997</v>
          </cell>
          <cell r="AW60">
            <v>0</v>
          </cell>
          <cell r="AX60">
            <v>0</v>
          </cell>
          <cell r="AY60">
            <v>133.899</v>
          </cell>
          <cell r="AZ60">
            <v>2.6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10.15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29.696999999999999</v>
          </cell>
          <cell r="BL60">
            <v>0</v>
          </cell>
          <cell r="BM60">
            <v>0</v>
          </cell>
          <cell r="BN60">
            <v>176.86</v>
          </cell>
          <cell r="BO60">
            <v>0</v>
          </cell>
          <cell r="BP60">
            <v>0</v>
          </cell>
        </row>
        <row r="61">
          <cell r="D61">
            <v>0</v>
          </cell>
          <cell r="E61"/>
          <cell r="F61">
            <v>0</v>
          </cell>
          <cell r="G61"/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1.8129999999999999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10.47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120.562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73.959999999999994</v>
          </cell>
          <cell r="BE61">
            <v>0</v>
          </cell>
          <cell r="BF61">
            <v>15.680999999999999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10.785</v>
          </cell>
          <cell r="BP61">
            <v>73.959999999999994</v>
          </cell>
        </row>
        <row r="62">
          <cell r="D62">
            <v>0</v>
          </cell>
          <cell r="E62"/>
          <cell r="F62">
            <v>0</v>
          </cell>
          <cell r="G62"/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2.8879999999999999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</row>
        <row r="63">
          <cell r="D63">
            <v>0</v>
          </cell>
          <cell r="E63"/>
          <cell r="F63">
            <v>0</v>
          </cell>
          <cell r="G63"/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9.6039999999999992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</row>
        <row r="64">
          <cell r="Y64"/>
        </row>
        <row r="65">
          <cell r="B65" t="str">
            <v>סה"כ</v>
          </cell>
          <cell r="D65">
            <v>969.24299999999994</v>
          </cell>
          <cell r="E65"/>
          <cell r="F65">
            <v>273.21500000000003</v>
          </cell>
          <cell r="G65"/>
          <cell r="H65">
            <v>1160.1510000000001</v>
          </cell>
          <cell r="I65">
            <v>0</v>
          </cell>
          <cell r="J65">
            <v>196.19899999999998</v>
          </cell>
          <cell r="K65">
            <v>0</v>
          </cell>
          <cell r="L65">
            <v>464.33499999999998</v>
          </cell>
          <cell r="M65">
            <v>0</v>
          </cell>
          <cell r="N65">
            <v>1768.5709999999999</v>
          </cell>
          <cell r="O65">
            <v>0</v>
          </cell>
          <cell r="P65">
            <v>1511.8910000000001</v>
          </cell>
          <cell r="Q65">
            <v>0</v>
          </cell>
          <cell r="R65">
            <v>1539.74</v>
          </cell>
          <cell r="S65">
            <v>0</v>
          </cell>
          <cell r="T65">
            <v>369.59000000000003</v>
          </cell>
          <cell r="U65">
            <v>344.94799999999998</v>
          </cell>
          <cell r="V65">
            <v>1542.7249999999999</v>
          </cell>
          <cell r="W65">
            <v>1632.114</v>
          </cell>
          <cell r="X65">
            <v>1104.231</v>
          </cell>
          <cell r="Y65">
            <v>227.99199999999999</v>
          </cell>
          <cell r="Z65">
            <v>139.91</v>
          </cell>
          <cell r="AA65">
            <v>310.36900000000003</v>
          </cell>
          <cell r="AB65">
            <v>306.68700000000001</v>
          </cell>
          <cell r="AC65">
            <v>231.13900000000001</v>
          </cell>
          <cell r="AD65">
            <v>443.00599999999997</v>
          </cell>
          <cell r="AE65">
            <v>45.812000000000005</v>
          </cell>
          <cell r="AF65">
            <v>63.772999999999996</v>
          </cell>
          <cell r="AG65">
            <v>97.176000000000002</v>
          </cell>
          <cell r="AH65">
            <v>219.89800000000002</v>
          </cell>
          <cell r="AI65">
            <v>467.36900000000003</v>
          </cell>
          <cell r="AJ65">
            <v>728.92499999999995</v>
          </cell>
          <cell r="AK65">
            <v>250.06700000000001</v>
          </cell>
          <cell r="AL65">
            <v>710.90800000000002</v>
          </cell>
          <cell r="AM65">
            <v>740.64200000000005</v>
          </cell>
          <cell r="AN65">
            <v>981.97699999999998</v>
          </cell>
          <cell r="AO65">
            <v>502.98700000000002</v>
          </cell>
          <cell r="AP65">
            <v>616.721</v>
          </cell>
          <cell r="AQ65">
            <v>49.856999999999999</v>
          </cell>
          <cell r="AR65">
            <v>880.68700000000001</v>
          </cell>
          <cell r="AS65">
            <v>500.32499999999999</v>
          </cell>
          <cell r="AT65">
            <v>262.22800000000001</v>
          </cell>
          <cell r="AU65">
            <v>347.495</v>
          </cell>
          <cell r="AV65">
            <v>286.86700000000002</v>
          </cell>
          <cell r="AW65">
            <v>3532.8870000000002</v>
          </cell>
          <cell r="AX65">
            <v>3532.8870000000002</v>
          </cell>
          <cell r="AY65">
            <v>907.01200000000006</v>
          </cell>
          <cell r="AZ65">
            <v>153.309</v>
          </cell>
          <cell r="BA65">
            <v>815.80499999999995</v>
          </cell>
          <cell r="BB65">
            <v>167.91499999999999</v>
          </cell>
          <cell r="BC65">
            <v>929.66800000000001</v>
          </cell>
          <cell r="BD65">
            <v>120.553</v>
          </cell>
          <cell r="BE65">
            <v>166.518</v>
          </cell>
          <cell r="BF65">
            <v>109.88600000000001</v>
          </cell>
          <cell r="BG65">
            <v>432.73500000000001</v>
          </cell>
          <cell r="BH65">
            <v>533.54</v>
          </cell>
          <cell r="BI65">
            <v>853.77299999999991</v>
          </cell>
          <cell r="BJ65">
            <v>234.94499999999999</v>
          </cell>
          <cell r="BK65">
            <v>200.15100000000001</v>
          </cell>
          <cell r="BL65">
            <v>737.4</v>
          </cell>
          <cell r="BM65">
            <v>267.05199999999996</v>
          </cell>
          <cell r="BN65">
            <v>1066.8960000000002</v>
          </cell>
          <cell r="BO65">
            <v>43.89</v>
          </cell>
          <cell r="BP65">
            <v>120.553</v>
          </cell>
          <cell r="BQ65">
            <v>37217.144999999997</v>
          </cell>
        </row>
        <row r="70">
          <cell r="B70" t="str">
            <v>אשכול חברתי</v>
          </cell>
          <cell r="D70">
            <v>7</v>
          </cell>
          <cell r="F70">
            <v>5</v>
          </cell>
          <cell r="H70">
            <v>5</v>
          </cell>
          <cell r="J70">
            <v>6</v>
          </cell>
          <cell r="L70">
            <v>8</v>
          </cell>
          <cell r="N70">
            <v>4</v>
          </cell>
          <cell r="P70">
            <v>7</v>
          </cell>
          <cell r="R70">
            <v>5</v>
          </cell>
          <cell r="T70">
            <v>5</v>
          </cell>
          <cell r="U70">
            <v>4</v>
          </cell>
          <cell r="V70">
            <v>5</v>
          </cell>
          <cell r="W70">
            <v>5</v>
          </cell>
          <cell r="X70">
            <v>7</v>
          </cell>
          <cell r="Y70">
            <v>4</v>
          </cell>
          <cell r="Z70">
            <v>2</v>
          </cell>
          <cell r="AA70">
            <v>7</v>
          </cell>
          <cell r="AB70">
            <v>4</v>
          </cell>
          <cell r="AC70">
            <v>4</v>
          </cell>
          <cell r="AD70">
            <v>5</v>
          </cell>
          <cell r="AE70">
            <v>2</v>
          </cell>
          <cell r="AF70">
            <v>2</v>
          </cell>
          <cell r="AG70">
            <v>4</v>
          </cell>
          <cell r="AH70">
            <v>4</v>
          </cell>
          <cell r="AI70">
            <v>5</v>
          </cell>
          <cell r="AJ70">
            <v>8</v>
          </cell>
          <cell r="AK70">
            <v>4</v>
          </cell>
          <cell r="AL70">
            <v>8</v>
          </cell>
          <cell r="AM70">
            <v>9</v>
          </cell>
          <cell r="AN70">
            <v>7</v>
          </cell>
          <cell r="AO70">
            <v>6</v>
          </cell>
          <cell r="AP70">
            <v>6</v>
          </cell>
          <cell r="AQ70">
            <v>1</v>
          </cell>
          <cell r="AR70">
            <v>7</v>
          </cell>
          <cell r="AS70">
            <v>6</v>
          </cell>
          <cell r="AT70">
            <v>7</v>
          </cell>
          <cell r="AU70">
            <v>7</v>
          </cell>
          <cell r="AV70">
            <v>5</v>
          </cell>
          <cell r="AW70">
            <v>8</v>
          </cell>
          <cell r="AX70">
            <v>8</v>
          </cell>
          <cell r="AY70">
            <v>8</v>
          </cell>
          <cell r="AZ70">
            <v>1</v>
          </cell>
          <cell r="BA70">
            <v>8</v>
          </cell>
          <cell r="BB70">
            <v>8</v>
          </cell>
          <cell r="BC70">
            <v>6</v>
          </cell>
          <cell r="BD70">
            <v>2</v>
          </cell>
          <cell r="BE70">
            <v>8</v>
          </cell>
          <cell r="BF70">
            <v>3</v>
          </cell>
          <cell r="BG70">
            <v>4</v>
          </cell>
          <cell r="BH70">
            <v>8</v>
          </cell>
          <cell r="BI70">
            <v>4</v>
          </cell>
          <cell r="BJ70">
            <v>4</v>
          </cell>
          <cell r="BK70">
            <v>4</v>
          </cell>
          <cell r="BL70">
            <v>5</v>
          </cell>
          <cell r="BM70">
            <v>8</v>
          </cell>
          <cell r="BN70">
            <v>4</v>
          </cell>
          <cell r="BO70">
            <v>3</v>
          </cell>
          <cell r="BP70">
            <v>2</v>
          </cell>
        </row>
        <row r="71">
          <cell r="D71">
            <v>2</v>
          </cell>
          <cell r="F71">
            <v>8</v>
          </cell>
          <cell r="H71">
            <v>0</v>
          </cell>
          <cell r="J71">
            <v>5</v>
          </cell>
          <cell r="L71">
            <v>0</v>
          </cell>
          <cell r="N71">
            <v>3</v>
          </cell>
          <cell r="P71">
            <v>0</v>
          </cell>
          <cell r="R71">
            <v>0</v>
          </cell>
          <cell r="T71">
            <v>4</v>
          </cell>
          <cell r="U71">
            <v>5</v>
          </cell>
          <cell r="V71">
            <v>0</v>
          </cell>
          <cell r="W71">
            <v>0</v>
          </cell>
          <cell r="X71">
            <v>7</v>
          </cell>
          <cell r="Y71">
            <v>4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3</v>
          </cell>
          <cell r="AF71">
            <v>3</v>
          </cell>
          <cell r="AG71">
            <v>3</v>
          </cell>
          <cell r="AH71">
            <v>5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6</v>
          </cell>
          <cell r="AP71">
            <v>0</v>
          </cell>
          <cell r="AQ71">
            <v>0</v>
          </cell>
          <cell r="AR71">
            <v>0</v>
          </cell>
          <cell r="AS71">
            <v>8</v>
          </cell>
          <cell r="AT71">
            <v>0</v>
          </cell>
          <cell r="AU71">
            <v>0</v>
          </cell>
          <cell r="AV71">
            <v>5</v>
          </cell>
          <cell r="AW71">
            <v>0</v>
          </cell>
          <cell r="AX71">
            <v>0</v>
          </cell>
          <cell r="AY71">
            <v>6</v>
          </cell>
          <cell r="AZ71">
            <v>1</v>
          </cell>
          <cell r="BA71">
            <v>0</v>
          </cell>
          <cell r="BB71">
            <v>0</v>
          </cell>
          <cell r="BC71">
            <v>0</v>
          </cell>
          <cell r="BD71">
            <v>2</v>
          </cell>
          <cell r="BE71">
            <v>0</v>
          </cell>
          <cell r="BF71">
            <v>2</v>
          </cell>
          <cell r="BG71">
            <v>0</v>
          </cell>
          <cell r="BH71">
            <v>0</v>
          </cell>
          <cell r="BI71">
            <v>3</v>
          </cell>
          <cell r="BJ71">
            <v>0</v>
          </cell>
          <cell r="BK71">
            <v>3</v>
          </cell>
          <cell r="BL71">
            <v>0</v>
          </cell>
          <cell r="BM71">
            <v>6</v>
          </cell>
          <cell r="BN71">
            <v>5</v>
          </cell>
          <cell r="BO71">
            <v>2</v>
          </cell>
          <cell r="BP71">
            <v>2</v>
          </cell>
        </row>
        <row r="72">
          <cell r="D72">
            <v>3</v>
          </cell>
          <cell r="F72">
            <v>5</v>
          </cell>
          <cell r="H72">
            <v>0</v>
          </cell>
          <cell r="J72">
            <v>0</v>
          </cell>
          <cell r="L72">
            <v>0</v>
          </cell>
          <cell r="N72">
            <v>0</v>
          </cell>
          <cell r="P72">
            <v>0</v>
          </cell>
          <cell r="R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6</v>
          </cell>
          <cell r="Y72">
            <v>2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2</v>
          </cell>
          <cell r="AF72">
            <v>4</v>
          </cell>
          <cell r="AG72">
            <v>3</v>
          </cell>
          <cell r="AH72">
            <v>9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6</v>
          </cell>
          <cell r="AW72">
            <v>0</v>
          </cell>
          <cell r="AX72">
            <v>0</v>
          </cell>
          <cell r="AY72">
            <v>7</v>
          </cell>
          <cell r="AZ72">
            <v>3</v>
          </cell>
          <cell r="BA72">
            <v>0</v>
          </cell>
          <cell r="BB72">
            <v>0</v>
          </cell>
          <cell r="BC72">
            <v>0</v>
          </cell>
          <cell r="BD72">
            <v>2</v>
          </cell>
          <cell r="BE72">
            <v>0</v>
          </cell>
          <cell r="BF72">
            <v>2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3</v>
          </cell>
          <cell r="BL72">
            <v>0</v>
          </cell>
          <cell r="BM72">
            <v>8</v>
          </cell>
          <cell r="BN72">
            <v>4</v>
          </cell>
          <cell r="BO72">
            <v>4</v>
          </cell>
          <cell r="BP72">
            <v>2</v>
          </cell>
        </row>
        <row r="73">
          <cell r="D73">
            <v>0</v>
          </cell>
          <cell r="F73">
            <v>0</v>
          </cell>
          <cell r="H73">
            <v>0</v>
          </cell>
          <cell r="J73">
            <v>0</v>
          </cell>
          <cell r="L73">
            <v>0</v>
          </cell>
          <cell r="N73">
            <v>0</v>
          </cell>
          <cell r="P73">
            <v>0</v>
          </cell>
          <cell r="R73">
            <v>0</v>
          </cell>
          <cell r="T73">
            <v>0</v>
          </cell>
          <cell r="U73">
            <v>5</v>
          </cell>
          <cell r="V73">
            <v>0</v>
          </cell>
          <cell r="W73">
            <v>0</v>
          </cell>
          <cell r="X73">
            <v>0</v>
          </cell>
          <cell r="Y73">
            <v>5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4</v>
          </cell>
          <cell r="AF73">
            <v>2</v>
          </cell>
          <cell r="AG73">
            <v>2</v>
          </cell>
          <cell r="AH73">
            <v>3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4</v>
          </cell>
          <cell r="AW73">
            <v>0</v>
          </cell>
          <cell r="AX73">
            <v>0</v>
          </cell>
          <cell r="AY73">
            <v>7</v>
          </cell>
          <cell r="AZ73">
            <v>1</v>
          </cell>
          <cell r="BA73">
            <v>0</v>
          </cell>
          <cell r="BB73">
            <v>0</v>
          </cell>
          <cell r="BC73">
            <v>0</v>
          </cell>
          <cell r="BD73">
            <v>2</v>
          </cell>
          <cell r="BE73">
            <v>0</v>
          </cell>
          <cell r="BF73">
            <v>2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4</v>
          </cell>
          <cell r="BL73">
            <v>0</v>
          </cell>
          <cell r="BM73">
            <v>0</v>
          </cell>
          <cell r="BN73">
            <v>4</v>
          </cell>
          <cell r="BO73">
            <v>4</v>
          </cell>
          <cell r="BP73">
            <v>2</v>
          </cell>
        </row>
        <row r="74">
          <cell r="D74">
            <v>0</v>
          </cell>
          <cell r="F74">
            <v>0</v>
          </cell>
          <cell r="H74">
            <v>0</v>
          </cell>
          <cell r="J74">
            <v>0</v>
          </cell>
          <cell r="L74">
            <v>0</v>
          </cell>
          <cell r="N74">
            <v>0</v>
          </cell>
          <cell r="P74">
            <v>0</v>
          </cell>
          <cell r="R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8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2</v>
          </cell>
          <cell r="AF74">
            <v>2</v>
          </cell>
          <cell r="AG74">
            <v>3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7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2</v>
          </cell>
          <cell r="BE74">
            <v>0</v>
          </cell>
          <cell r="BF74">
            <v>2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3</v>
          </cell>
          <cell r="BP74">
            <v>2</v>
          </cell>
        </row>
        <row r="75">
          <cell r="D75">
            <v>0</v>
          </cell>
          <cell r="F75">
            <v>0</v>
          </cell>
          <cell r="H75">
            <v>0</v>
          </cell>
          <cell r="J75">
            <v>0</v>
          </cell>
          <cell r="L75">
            <v>0</v>
          </cell>
          <cell r="N75">
            <v>0</v>
          </cell>
          <cell r="P75">
            <v>0</v>
          </cell>
          <cell r="R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2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2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3</v>
          </cell>
          <cell r="BP75">
            <v>0</v>
          </cell>
        </row>
        <row r="76">
          <cell r="D76">
            <v>0</v>
          </cell>
          <cell r="F76">
            <v>0</v>
          </cell>
          <cell r="H76">
            <v>0</v>
          </cell>
          <cell r="J76">
            <v>0</v>
          </cell>
          <cell r="L76">
            <v>0</v>
          </cell>
          <cell r="N76">
            <v>0</v>
          </cell>
          <cell r="P76">
            <v>0</v>
          </cell>
          <cell r="R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3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2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</row>
        <row r="78">
          <cell r="B78" t="str">
            <v>סה"כ אשכול</v>
          </cell>
          <cell r="D78">
            <v>7</v>
          </cell>
          <cell r="F78">
            <v>5</v>
          </cell>
          <cell r="H78">
            <v>5</v>
          </cell>
          <cell r="J78">
            <v>6</v>
          </cell>
          <cell r="L78">
            <v>8</v>
          </cell>
          <cell r="N78">
            <v>4</v>
          </cell>
          <cell r="P78">
            <v>7</v>
          </cell>
          <cell r="R78">
            <v>5</v>
          </cell>
          <cell r="T78">
            <v>5</v>
          </cell>
          <cell r="U78">
            <v>4</v>
          </cell>
          <cell r="V78">
            <v>5</v>
          </cell>
          <cell r="W78">
            <v>5</v>
          </cell>
          <cell r="X78">
            <v>7</v>
          </cell>
          <cell r="Y78">
            <v>4</v>
          </cell>
          <cell r="Z78">
            <v>2</v>
          </cell>
          <cell r="AA78">
            <v>7</v>
          </cell>
          <cell r="AB78">
            <v>4</v>
          </cell>
          <cell r="AC78">
            <v>4</v>
          </cell>
          <cell r="AD78">
            <v>5</v>
          </cell>
          <cell r="AE78">
            <v>2</v>
          </cell>
          <cell r="AF78">
            <v>2</v>
          </cell>
          <cell r="AG78">
            <v>4</v>
          </cell>
          <cell r="AH78">
            <v>4</v>
          </cell>
          <cell r="AI78">
            <v>5</v>
          </cell>
          <cell r="AJ78">
            <v>8</v>
          </cell>
          <cell r="AK78">
            <v>4</v>
          </cell>
          <cell r="AL78">
            <v>8</v>
          </cell>
          <cell r="AM78">
            <v>9</v>
          </cell>
          <cell r="AN78">
            <v>7</v>
          </cell>
          <cell r="AO78">
            <v>6</v>
          </cell>
          <cell r="AP78">
            <v>6</v>
          </cell>
          <cell r="AQ78">
            <v>1</v>
          </cell>
          <cell r="AR78">
            <v>7</v>
          </cell>
          <cell r="AS78">
            <v>6</v>
          </cell>
          <cell r="AT78">
            <v>7</v>
          </cell>
          <cell r="AU78">
            <v>7</v>
          </cell>
          <cell r="AV78">
            <v>5</v>
          </cell>
          <cell r="AW78">
            <v>8</v>
          </cell>
          <cell r="AX78">
            <v>8</v>
          </cell>
          <cell r="AY78">
            <v>8</v>
          </cell>
          <cell r="AZ78">
            <v>1</v>
          </cell>
          <cell r="BA78">
            <v>8</v>
          </cell>
          <cell r="BB78">
            <v>8</v>
          </cell>
          <cell r="BC78">
            <v>6</v>
          </cell>
          <cell r="BD78">
            <v>2</v>
          </cell>
          <cell r="BE78">
            <v>8</v>
          </cell>
          <cell r="BF78">
            <v>3</v>
          </cell>
          <cell r="BG78">
            <v>4</v>
          </cell>
          <cell r="BH78">
            <v>8</v>
          </cell>
          <cell r="BI78">
            <v>4</v>
          </cell>
          <cell r="BJ78">
            <v>4</v>
          </cell>
          <cell r="BK78">
            <v>4</v>
          </cell>
          <cell r="BL78">
            <v>5</v>
          </cell>
          <cell r="BM78">
            <v>8</v>
          </cell>
          <cell r="BN78">
            <v>4</v>
          </cell>
          <cell r="BO78">
            <v>3</v>
          </cell>
          <cell r="BP78">
            <v>2</v>
          </cell>
        </row>
        <row r="80">
          <cell r="B80" t="str">
            <v>סיווג אשכול חברתי</v>
          </cell>
          <cell r="D80" t="str">
            <v>חזק</v>
          </cell>
          <cell r="F80" t="str">
            <v>חזק</v>
          </cell>
          <cell r="H80" t="str">
            <v>חזק</v>
          </cell>
          <cell r="J80" t="str">
            <v>חזק</v>
          </cell>
          <cell r="L80" t="str">
            <v>חזק</v>
          </cell>
          <cell r="N80" t="str">
            <v>חלש</v>
          </cell>
          <cell r="P80" t="str">
            <v>חזק</v>
          </cell>
          <cell r="R80" t="str">
            <v>חזק</v>
          </cell>
          <cell r="T80" t="str">
            <v>חזק</v>
          </cell>
          <cell r="U80" t="str">
            <v>חלש</v>
          </cell>
          <cell r="V80" t="str">
            <v>חזק</v>
          </cell>
          <cell r="W80" t="str">
            <v>חזק</v>
          </cell>
          <cell r="X80" t="str">
            <v>חזק</v>
          </cell>
          <cell r="Y80" t="str">
            <v>חלש</v>
          </cell>
          <cell r="Z80" t="str">
            <v>חלש</v>
          </cell>
          <cell r="AA80" t="str">
            <v>חזק</v>
          </cell>
          <cell r="AB80" t="str">
            <v>חלש</v>
          </cell>
          <cell r="AC80" t="str">
            <v>חלש</v>
          </cell>
          <cell r="AD80" t="str">
            <v>חזק</v>
          </cell>
          <cell r="AE80" t="str">
            <v>חלש</v>
          </cell>
          <cell r="AF80" t="str">
            <v>חלש</v>
          </cell>
          <cell r="AG80" t="str">
            <v>חלש</v>
          </cell>
          <cell r="AH80" t="str">
            <v>חלש</v>
          </cell>
          <cell r="AI80" t="str">
            <v>חזק</v>
          </cell>
          <cell r="AJ80" t="str">
            <v>חזק</v>
          </cell>
          <cell r="AK80" t="str">
            <v>חלש</v>
          </cell>
          <cell r="AL80" t="str">
            <v>חזק</v>
          </cell>
          <cell r="AM80" t="str">
            <v>חזק</v>
          </cell>
          <cell r="AN80" t="str">
            <v>חזק</v>
          </cell>
          <cell r="AO80" t="str">
            <v>חזק</v>
          </cell>
          <cell r="AP80" t="str">
            <v>חזק</v>
          </cell>
          <cell r="AQ80" t="str">
            <v>חלש</v>
          </cell>
          <cell r="AR80" t="str">
            <v>חזק</v>
          </cell>
          <cell r="AS80" t="str">
            <v>חזק</v>
          </cell>
          <cell r="AT80" t="str">
            <v>חזק</v>
          </cell>
          <cell r="AU80" t="str">
            <v>חזק</v>
          </cell>
          <cell r="AV80" t="str">
            <v>חזק</v>
          </cell>
          <cell r="AW80" t="str">
            <v>חזק</v>
          </cell>
          <cell r="AX80" t="str">
            <v>חזק</v>
          </cell>
          <cell r="AY80" t="str">
            <v>חזק</v>
          </cell>
          <cell r="AZ80" t="str">
            <v>חלש</v>
          </cell>
          <cell r="BA80" t="str">
            <v>חזק</v>
          </cell>
          <cell r="BB80" t="str">
            <v>חזק</v>
          </cell>
          <cell r="BC80" t="str">
            <v>חזק</v>
          </cell>
          <cell r="BD80" t="str">
            <v>חלש</v>
          </cell>
          <cell r="BE80" t="str">
            <v>חזק</v>
          </cell>
          <cell r="BF80" t="str">
            <v>חלש</v>
          </cell>
          <cell r="BG80" t="str">
            <v>חלש</v>
          </cell>
          <cell r="BH80" t="str">
            <v>חזק</v>
          </cell>
          <cell r="BI80" t="str">
            <v>חלש</v>
          </cell>
          <cell r="BJ80" t="str">
            <v>חלש</v>
          </cell>
          <cell r="BK80" t="str">
            <v>חלש</v>
          </cell>
          <cell r="BL80" t="str">
            <v>חזק</v>
          </cell>
          <cell r="BM80" t="str">
            <v>חזק</v>
          </cell>
          <cell r="BN80" t="str">
            <v>חלש</v>
          </cell>
          <cell r="BO80" t="str">
            <v>חלש</v>
          </cell>
          <cell r="BP80" t="str">
            <v>חלש</v>
          </cell>
        </row>
        <row r="83">
          <cell r="T83" t="str">
            <v>ביחד עם נצרת עילית</v>
          </cell>
          <cell r="X83" t="str">
            <v>חולון אזור ביחד</v>
          </cell>
        </row>
        <row r="85">
          <cell r="B85" t="str">
            <v>מספר תושבים</v>
          </cell>
          <cell r="D85">
            <v>173823</v>
          </cell>
          <cell r="E85"/>
          <cell r="F85">
            <v>22003</v>
          </cell>
          <cell r="G85"/>
          <cell r="H85">
            <v>167051</v>
          </cell>
          <cell r="I85"/>
          <cell r="J85">
            <v>16503</v>
          </cell>
          <cell r="K85"/>
          <cell r="L85">
            <v>48788</v>
          </cell>
          <cell r="M85"/>
          <cell r="N85">
            <v>693217</v>
          </cell>
          <cell r="O85"/>
          <cell r="P85">
            <v>214616</v>
          </cell>
          <cell r="Q85"/>
          <cell r="R85">
            <v>43547</v>
          </cell>
          <cell r="S85"/>
          <cell r="T85">
            <v>44166</v>
          </cell>
          <cell r="U85">
            <v>40104</v>
          </cell>
          <cell r="V85">
            <v>192038</v>
          </cell>
          <cell r="W85">
            <v>183018</v>
          </cell>
          <cell r="X85">
            <v>165773</v>
          </cell>
          <cell r="Y85">
            <v>26790</v>
          </cell>
          <cell r="Z85">
            <v>139634</v>
          </cell>
          <cell r="AA85">
            <v>26524</v>
          </cell>
          <cell r="AB85">
            <v>66824</v>
          </cell>
          <cell r="AC85">
            <v>63133</v>
          </cell>
          <cell r="AD85">
            <v>74920</v>
          </cell>
          <cell r="AE85">
            <v>16566</v>
          </cell>
          <cell r="AF85">
            <v>39046</v>
          </cell>
          <cell r="AG85">
            <v>62706</v>
          </cell>
          <cell r="AH85">
            <v>20987</v>
          </cell>
          <cell r="AI85">
            <v>48894</v>
          </cell>
          <cell r="AJ85">
            <v>69657</v>
          </cell>
          <cell r="AK85">
            <v>48255</v>
          </cell>
          <cell r="AL85">
            <v>83644</v>
          </cell>
          <cell r="AM85">
            <v>35587</v>
          </cell>
          <cell r="AN85">
            <v>269406</v>
          </cell>
          <cell r="AO85">
            <v>31855</v>
          </cell>
          <cell r="AP85">
            <v>42703</v>
          </cell>
          <cell r="AQ85">
            <v>35760</v>
          </cell>
          <cell r="AR85">
            <v>100103</v>
          </cell>
          <cell r="AS85">
            <v>35968</v>
          </cell>
          <cell r="AT85">
            <v>39733</v>
          </cell>
          <cell r="AU85">
            <v>37092</v>
          </cell>
          <cell r="AV85">
            <v>9640</v>
          </cell>
          <cell r="AW85">
            <v>363387</v>
          </cell>
          <cell r="AX85">
            <v>363387</v>
          </cell>
          <cell r="AY85">
            <v>8675</v>
          </cell>
          <cell r="AZ85">
            <v>11916</v>
          </cell>
          <cell r="BA85">
            <v>126547</v>
          </cell>
          <cell r="BB85">
            <v>47202</v>
          </cell>
          <cell r="BC85">
            <v>131917</v>
          </cell>
          <cell r="BD85">
            <v>27124</v>
          </cell>
          <cell r="BE85">
            <v>24269</v>
          </cell>
          <cell r="BF85">
            <v>31173</v>
          </cell>
          <cell r="BG85">
            <v>57046</v>
          </cell>
          <cell r="BH85">
            <v>40173</v>
          </cell>
          <cell r="BI85">
            <v>104482</v>
          </cell>
          <cell r="BJ85">
            <v>45639</v>
          </cell>
          <cell r="BK85">
            <v>0</v>
          </cell>
          <cell r="BL85">
            <v>38371</v>
          </cell>
          <cell r="BM85">
            <v>13402</v>
          </cell>
          <cell r="BN85">
            <v>33896</v>
          </cell>
          <cell r="BO85">
            <v>10948</v>
          </cell>
          <cell r="BP85">
            <v>27124</v>
          </cell>
        </row>
        <row r="86">
          <cell r="D86">
            <v>18968</v>
          </cell>
          <cell r="E86"/>
          <cell r="F86">
            <v>1462</v>
          </cell>
          <cell r="G86"/>
          <cell r="H86">
            <v>0</v>
          </cell>
          <cell r="I86"/>
          <cell r="J86">
            <v>6093</v>
          </cell>
          <cell r="K86"/>
          <cell r="L86">
            <v>0</v>
          </cell>
          <cell r="M86"/>
          <cell r="N86">
            <v>5279</v>
          </cell>
          <cell r="O86"/>
          <cell r="P86">
            <v>0</v>
          </cell>
          <cell r="Q86"/>
          <cell r="R86">
            <v>0</v>
          </cell>
          <cell r="S86"/>
          <cell r="T86">
            <v>24787</v>
          </cell>
          <cell r="U86">
            <v>1473</v>
          </cell>
          <cell r="V86">
            <v>0</v>
          </cell>
          <cell r="W86">
            <v>0</v>
          </cell>
          <cell r="X86">
            <v>9895</v>
          </cell>
          <cell r="Y86">
            <v>8522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10616</v>
          </cell>
          <cell r="AF86">
            <v>14866</v>
          </cell>
          <cell r="AG86">
            <v>15042</v>
          </cell>
          <cell r="AH86">
            <v>5181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13074</v>
          </cell>
          <cell r="AP86">
            <v>0</v>
          </cell>
          <cell r="AQ86">
            <v>0</v>
          </cell>
          <cell r="AR86">
            <v>0</v>
          </cell>
          <cell r="AS86">
            <v>5316</v>
          </cell>
          <cell r="AT86">
            <v>0</v>
          </cell>
          <cell r="AU86">
            <v>0</v>
          </cell>
          <cell r="AV86">
            <v>7668</v>
          </cell>
          <cell r="AW86">
            <v>0</v>
          </cell>
          <cell r="AX86">
            <v>0</v>
          </cell>
          <cell r="AY86">
            <v>11535</v>
          </cell>
          <cell r="AZ86">
            <v>8549</v>
          </cell>
          <cell r="BA86">
            <v>0</v>
          </cell>
          <cell r="BB86">
            <v>0</v>
          </cell>
          <cell r="BC86">
            <v>0</v>
          </cell>
          <cell r="BD86">
            <v>8166</v>
          </cell>
          <cell r="BE86">
            <v>0</v>
          </cell>
          <cell r="BF86">
            <v>14201</v>
          </cell>
          <cell r="BG86">
            <v>0</v>
          </cell>
          <cell r="BH86">
            <v>0</v>
          </cell>
          <cell r="BI86">
            <v>22902</v>
          </cell>
          <cell r="BJ86">
            <v>0</v>
          </cell>
          <cell r="BK86">
            <v>7112</v>
          </cell>
          <cell r="BL86">
            <v>0</v>
          </cell>
          <cell r="BM86">
            <v>17272</v>
          </cell>
          <cell r="BN86">
            <v>24140</v>
          </cell>
          <cell r="BO86">
            <v>16855</v>
          </cell>
          <cell r="BP86">
            <v>8166</v>
          </cell>
        </row>
        <row r="87">
          <cell r="D87">
            <v>2414</v>
          </cell>
          <cell r="E87"/>
          <cell r="F87">
            <v>6288</v>
          </cell>
          <cell r="G87"/>
          <cell r="H87">
            <v>0</v>
          </cell>
          <cell r="I87"/>
          <cell r="J87">
            <v>0</v>
          </cell>
          <cell r="K87"/>
          <cell r="L87">
            <v>0</v>
          </cell>
          <cell r="M87"/>
          <cell r="N87">
            <v>0</v>
          </cell>
          <cell r="O87"/>
          <cell r="P87">
            <v>0</v>
          </cell>
          <cell r="Q87"/>
          <cell r="R87">
            <v>0</v>
          </cell>
          <cell r="S87"/>
          <cell r="T87">
            <v>0</v>
          </cell>
          <cell r="U87">
            <v>2703</v>
          </cell>
          <cell r="V87">
            <v>0</v>
          </cell>
          <cell r="W87">
            <v>0</v>
          </cell>
          <cell r="X87">
            <v>5236</v>
          </cell>
          <cell r="Y87">
            <v>4917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7296</v>
          </cell>
          <cell r="AF87">
            <v>13471</v>
          </cell>
          <cell r="AG87">
            <v>15838</v>
          </cell>
          <cell r="AH87">
            <v>5198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12649</v>
          </cell>
          <cell r="AW87">
            <v>0</v>
          </cell>
          <cell r="AX87">
            <v>0</v>
          </cell>
          <cell r="AY87">
            <v>6032</v>
          </cell>
          <cell r="AZ87">
            <v>14866</v>
          </cell>
          <cell r="BA87">
            <v>0</v>
          </cell>
          <cell r="BB87">
            <v>0</v>
          </cell>
          <cell r="BC87">
            <v>0</v>
          </cell>
          <cell r="BD87">
            <v>9512</v>
          </cell>
          <cell r="BE87">
            <v>0</v>
          </cell>
          <cell r="BF87">
            <v>5946</v>
          </cell>
          <cell r="BG87">
            <v>0</v>
          </cell>
          <cell r="BH87">
            <v>0</v>
          </cell>
          <cell r="BI87">
            <v>0</v>
          </cell>
          <cell r="BJ87">
            <v>0</v>
          </cell>
          <cell r="BK87">
            <v>16250</v>
          </cell>
          <cell r="BL87">
            <v>0</v>
          </cell>
          <cell r="BM87">
            <v>5358</v>
          </cell>
          <cell r="BN87">
            <v>8767</v>
          </cell>
          <cell r="BO87">
            <v>5091</v>
          </cell>
          <cell r="BP87">
            <v>9512</v>
          </cell>
        </row>
        <row r="88">
          <cell r="D88">
            <v>0</v>
          </cell>
          <cell r="E88"/>
          <cell r="F88">
            <v>0</v>
          </cell>
          <cell r="G88"/>
          <cell r="H88">
            <v>0</v>
          </cell>
          <cell r="I88"/>
          <cell r="J88">
            <v>0</v>
          </cell>
          <cell r="K88"/>
          <cell r="L88">
            <v>0</v>
          </cell>
          <cell r="M88"/>
          <cell r="N88">
            <v>0</v>
          </cell>
          <cell r="O88"/>
          <cell r="P88">
            <v>0</v>
          </cell>
          <cell r="Q88"/>
          <cell r="R88">
            <v>0</v>
          </cell>
          <cell r="S88"/>
          <cell r="T88">
            <v>0</v>
          </cell>
          <cell r="U88">
            <v>2777</v>
          </cell>
          <cell r="V88">
            <v>0</v>
          </cell>
          <cell r="W88">
            <v>0</v>
          </cell>
          <cell r="X88">
            <v>0</v>
          </cell>
          <cell r="Y88">
            <v>2593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7902</v>
          </cell>
          <cell r="AF88">
            <v>10950</v>
          </cell>
          <cell r="AG88">
            <v>6192</v>
          </cell>
          <cell r="AH88">
            <v>6234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19240</v>
          </cell>
          <cell r="AW88">
            <v>0</v>
          </cell>
          <cell r="AX88">
            <v>0</v>
          </cell>
          <cell r="AY88">
            <v>15258</v>
          </cell>
          <cell r="AZ88">
            <v>6587</v>
          </cell>
          <cell r="BA88">
            <v>0</v>
          </cell>
          <cell r="BB88">
            <v>0</v>
          </cell>
          <cell r="BC88">
            <v>0</v>
          </cell>
          <cell r="BD88">
            <v>18533</v>
          </cell>
          <cell r="BE88">
            <v>0</v>
          </cell>
          <cell r="BF88">
            <v>8919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19779</v>
          </cell>
          <cell r="BL88">
            <v>0</v>
          </cell>
          <cell r="BM88">
            <v>0</v>
          </cell>
          <cell r="BN88">
            <v>4850</v>
          </cell>
          <cell r="BO88">
            <v>8128</v>
          </cell>
          <cell r="BP88">
            <v>18533</v>
          </cell>
        </row>
        <row r="89">
          <cell r="D89">
            <v>0</v>
          </cell>
          <cell r="E89"/>
          <cell r="F89">
            <v>0</v>
          </cell>
          <cell r="G89"/>
          <cell r="H89">
            <v>0</v>
          </cell>
          <cell r="I89"/>
          <cell r="J89">
            <v>0</v>
          </cell>
          <cell r="K89"/>
          <cell r="L89">
            <v>0</v>
          </cell>
          <cell r="M89"/>
          <cell r="N89">
            <v>0</v>
          </cell>
          <cell r="O89"/>
          <cell r="P89">
            <v>0</v>
          </cell>
          <cell r="Q89"/>
          <cell r="R89">
            <v>0</v>
          </cell>
          <cell r="S89"/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1214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10136</v>
          </cell>
          <cell r="AF89">
            <v>6985</v>
          </cell>
          <cell r="AG89">
            <v>10623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7854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23224</v>
          </cell>
          <cell r="BE89">
            <v>0</v>
          </cell>
          <cell r="BF89">
            <v>24722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11931</v>
          </cell>
          <cell r="BP89">
            <v>23224</v>
          </cell>
        </row>
        <row r="90">
          <cell r="D90">
            <v>0</v>
          </cell>
          <cell r="E90"/>
          <cell r="F90">
            <v>0</v>
          </cell>
          <cell r="G90"/>
          <cell r="H90">
            <v>0</v>
          </cell>
          <cell r="I90"/>
          <cell r="J90">
            <v>0</v>
          </cell>
          <cell r="K90"/>
          <cell r="L90">
            <v>0</v>
          </cell>
          <cell r="M90"/>
          <cell r="N90">
            <v>0</v>
          </cell>
          <cell r="O90"/>
          <cell r="P90">
            <v>0</v>
          </cell>
          <cell r="Q90"/>
          <cell r="R90">
            <v>0</v>
          </cell>
          <cell r="S90"/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6521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5900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3297</v>
          </cell>
          <cell r="BP90">
            <v>0</v>
          </cell>
        </row>
        <row r="91">
          <cell r="D91">
            <v>0</v>
          </cell>
          <cell r="E91"/>
          <cell r="F91">
            <v>0</v>
          </cell>
          <cell r="G91"/>
          <cell r="H91">
            <v>0</v>
          </cell>
          <cell r="I91"/>
          <cell r="J91">
            <v>0</v>
          </cell>
          <cell r="K91"/>
          <cell r="L91">
            <v>0</v>
          </cell>
          <cell r="M91"/>
          <cell r="N91">
            <v>0</v>
          </cell>
          <cell r="O91"/>
          <cell r="P91">
            <v>0</v>
          </cell>
          <cell r="Q91"/>
          <cell r="R91">
            <v>0</v>
          </cell>
          <cell r="S91"/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4572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5619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</row>
        <row r="92">
          <cell r="D92">
            <v>0</v>
          </cell>
          <cell r="E92"/>
          <cell r="F92">
            <v>0</v>
          </cell>
          <cell r="G92"/>
          <cell r="H92">
            <v>0</v>
          </cell>
          <cell r="I92"/>
          <cell r="J92">
            <v>0</v>
          </cell>
          <cell r="K92"/>
          <cell r="L92">
            <v>0</v>
          </cell>
          <cell r="M92"/>
          <cell r="N92">
            <v>0</v>
          </cell>
          <cell r="O92"/>
          <cell r="P92">
            <v>0</v>
          </cell>
          <cell r="Q92"/>
          <cell r="R92">
            <v>0</v>
          </cell>
          <cell r="S92"/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10264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</row>
        <row r="93">
          <cell r="T93"/>
          <cell r="U93"/>
          <cell r="Y93"/>
        </row>
        <row r="94">
          <cell r="B94" t="str">
            <v>סה"כ תושבים</v>
          </cell>
          <cell r="D94">
            <v>195205</v>
          </cell>
          <cell r="E94"/>
          <cell r="F94">
            <v>29753</v>
          </cell>
          <cell r="G94"/>
          <cell r="H94">
            <v>167051</v>
          </cell>
          <cell r="I94"/>
          <cell r="J94">
            <v>22596</v>
          </cell>
          <cell r="K94"/>
          <cell r="L94">
            <v>48788</v>
          </cell>
          <cell r="M94"/>
          <cell r="N94">
            <v>698496</v>
          </cell>
          <cell r="O94"/>
          <cell r="P94">
            <v>214616</v>
          </cell>
          <cell r="Q94"/>
          <cell r="R94">
            <v>43547</v>
          </cell>
          <cell r="S94"/>
          <cell r="T94">
            <v>68953</v>
          </cell>
          <cell r="U94">
            <v>47057</v>
          </cell>
          <cell r="V94">
            <v>192038</v>
          </cell>
          <cell r="W94">
            <v>183018</v>
          </cell>
          <cell r="X94">
            <v>180904</v>
          </cell>
          <cell r="Y94">
            <v>44036</v>
          </cell>
          <cell r="Z94">
            <v>139634</v>
          </cell>
          <cell r="AA94">
            <v>26524</v>
          </cell>
          <cell r="AB94">
            <v>66824</v>
          </cell>
          <cell r="AC94">
            <v>63133</v>
          </cell>
          <cell r="AD94">
            <v>74920</v>
          </cell>
          <cell r="AE94">
            <v>63609</v>
          </cell>
          <cell r="AF94">
            <v>85318</v>
          </cell>
          <cell r="AG94">
            <v>110401</v>
          </cell>
          <cell r="AH94">
            <v>37600</v>
          </cell>
          <cell r="AI94">
            <v>48894</v>
          </cell>
          <cell r="AJ94">
            <v>69657</v>
          </cell>
          <cell r="AK94">
            <v>48255</v>
          </cell>
          <cell r="AL94">
            <v>83644</v>
          </cell>
          <cell r="AM94">
            <v>35587</v>
          </cell>
          <cell r="AN94">
            <v>269406</v>
          </cell>
          <cell r="AO94">
            <v>44929</v>
          </cell>
          <cell r="AP94">
            <v>42703</v>
          </cell>
          <cell r="AQ94">
            <v>35760</v>
          </cell>
          <cell r="AR94">
            <v>100103</v>
          </cell>
          <cell r="AS94">
            <v>41284</v>
          </cell>
          <cell r="AT94">
            <v>39733</v>
          </cell>
          <cell r="AU94">
            <v>37092</v>
          </cell>
          <cell r="AV94">
            <v>49197</v>
          </cell>
          <cell r="AW94">
            <v>363387</v>
          </cell>
          <cell r="AX94">
            <v>363387</v>
          </cell>
          <cell r="AY94">
            <v>49354</v>
          </cell>
          <cell r="AZ94">
            <v>41918</v>
          </cell>
          <cell r="BA94">
            <v>126547</v>
          </cell>
          <cell r="BB94">
            <v>47202</v>
          </cell>
          <cell r="BC94">
            <v>131917</v>
          </cell>
          <cell r="BD94">
            <v>86559</v>
          </cell>
          <cell r="BE94">
            <v>24269</v>
          </cell>
          <cell r="BF94">
            <v>106744</v>
          </cell>
          <cell r="BG94">
            <v>57046</v>
          </cell>
          <cell r="BH94">
            <v>40173</v>
          </cell>
          <cell r="BI94">
            <v>127384</v>
          </cell>
          <cell r="BJ94">
            <v>45639</v>
          </cell>
          <cell r="BK94">
            <v>43141</v>
          </cell>
          <cell r="BL94">
            <v>38371</v>
          </cell>
          <cell r="BM94">
            <v>36032</v>
          </cell>
          <cell r="BN94">
            <v>71653</v>
          </cell>
          <cell r="BO94">
            <v>56250</v>
          </cell>
          <cell r="BP94">
            <v>86559</v>
          </cell>
        </row>
        <row r="97">
          <cell r="B97" t="str">
            <v>כמויות מים 2010</v>
          </cell>
          <cell r="D97">
            <v>17725.05</v>
          </cell>
          <cell r="E97"/>
          <cell r="F97">
            <v>2880.4259999999999</v>
          </cell>
          <cell r="G97"/>
          <cell r="H97">
            <v>15257.763999999999</v>
          </cell>
          <cell r="I97"/>
          <cell r="J97">
            <v>1814.54</v>
          </cell>
          <cell r="K97"/>
          <cell r="L97">
            <v>5925.4260000000004</v>
          </cell>
          <cell r="M97"/>
          <cell r="N97">
            <v>56225.822999999997</v>
          </cell>
          <cell r="O97"/>
          <cell r="P97">
            <v>18757.213</v>
          </cell>
          <cell r="Q97"/>
          <cell r="R97">
            <v>11338.803</v>
          </cell>
          <cell r="S97"/>
          <cell r="T97">
            <v>7712.2950000000001</v>
          </cell>
          <cell r="U97">
            <v>5056.6099999999997</v>
          </cell>
          <cell r="V97">
            <v>17529.707999999999</v>
          </cell>
          <cell r="W97">
            <v>18309.087</v>
          </cell>
          <cell r="X97">
            <v>14922.019</v>
          </cell>
          <cell r="Y97">
            <v>4497.8909999999996</v>
          </cell>
          <cell r="Z97">
            <v>10218.922</v>
          </cell>
          <cell r="AA97">
            <v>3171.4839999999999</v>
          </cell>
          <cell r="AB97">
            <v>5561.7739999999994</v>
          </cell>
          <cell r="AC97">
            <v>4947.9089999999997</v>
          </cell>
          <cell r="AD97">
            <v>7806.4669999999996</v>
          </cell>
          <cell r="AE97">
            <v>4225.0780000000004</v>
          </cell>
          <cell r="AF97">
            <v>4935.8179999999993</v>
          </cell>
          <cell r="AG97">
            <v>9673.5770000000011</v>
          </cell>
          <cell r="AH97">
            <v>3703.011</v>
          </cell>
          <cell r="AI97">
            <v>3632.3849999999998</v>
          </cell>
          <cell r="AJ97">
            <v>6664.5169999999998</v>
          </cell>
          <cell r="AK97">
            <v>7677.5839999999998</v>
          </cell>
          <cell r="AL97">
            <v>10435.870999999999</v>
          </cell>
          <cell r="AM97">
            <v>5042.6239999999998</v>
          </cell>
          <cell r="AN97">
            <v>24043.857</v>
          </cell>
          <cell r="AO97">
            <v>4201.308</v>
          </cell>
          <cell r="AP97">
            <v>4127.2160000000003</v>
          </cell>
          <cell r="AQ97">
            <v>3115.6970000000001</v>
          </cell>
          <cell r="AR97">
            <v>9203.4089999999997</v>
          </cell>
          <cell r="AS97">
            <v>3960.5529999999999</v>
          </cell>
          <cell r="AT97">
            <v>2705.2460000000001</v>
          </cell>
          <cell r="AU97">
            <v>2917.3689999999997</v>
          </cell>
          <cell r="AV97" t="e">
            <v>#N/A</v>
          </cell>
          <cell r="AW97">
            <v>45127.873999999996</v>
          </cell>
          <cell r="AX97">
            <v>45127.873999999996</v>
          </cell>
          <cell r="AY97">
            <v>5824.6100000000006</v>
          </cell>
          <cell r="AZ97">
            <v>4175.3770000000004</v>
          </cell>
          <cell r="BA97" t="e">
            <v>#N/A</v>
          </cell>
          <cell r="BB97">
            <v>3760.1489999999999</v>
          </cell>
          <cell r="BC97">
            <v>11258.114</v>
          </cell>
          <cell r="BD97" t="e">
            <v>#N/A</v>
          </cell>
          <cell r="BE97">
            <v>2543.3359999999998</v>
          </cell>
          <cell r="BF97">
            <v>9137.8740000000016</v>
          </cell>
          <cell r="BG97">
            <v>5435.8370000000004</v>
          </cell>
          <cell r="BH97">
            <v>4001.366</v>
          </cell>
          <cell r="BI97">
            <v>10222.564</v>
          </cell>
          <cell r="BJ97">
            <v>3774.9349999999999</v>
          </cell>
          <cell r="BK97">
            <v>4360.4449999999997</v>
          </cell>
          <cell r="BL97">
            <v>2715.422</v>
          </cell>
          <cell r="BM97">
            <v>4007.8710000000001</v>
          </cell>
          <cell r="BN97">
            <v>7524.9059999999999</v>
          </cell>
          <cell r="BO97">
            <v>5953.585</v>
          </cell>
          <cell r="BP97">
            <v>7898.9160000000002</v>
          </cell>
        </row>
        <row r="99">
          <cell r="B99" t="str">
            <v>גינון ציבורי 2010</v>
          </cell>
          <cell r="D99">
            <v>679.91</v>
          </cell>
          <cell r="E99"/>
          <cell r="F99">
            <v>252.453</v>
          </cell>
          <cell r="G99"/>
          <cell r="H99">
            <v>731.66499999999996</v>
          </cell>
          <cell r="I99"/>
          <cell r="J99">
            <v>230.50899999999999</v>
          </cell>
          <cell r="K99"/>
          <cell r="L99">
            <v>762.93100000000004</v>
          </cell>
          <cell r="M99"/>
          <cell r="N99">
            <v>1731.0239999999999</v>
          </cell>
          <cell r="O99"/>
          <cell r="P99">
            <v>1122.9269999999999</v>
          </cell>
          <cell r="Q99"/>
          <cell r="R99">
            <v>995.91</v>
          </cell>
          <cell r="S99"/>
          <cell r="T99"/>
          <cell r="U99">
            <v>177.422</v>
          </cell>
          <cell r="V99">
            <v>1298.058</v>
          </cell>
          <cell r="W99">
            <v>1360.838</v>
          </cell>
          <cell r="X99">
            <v>758.02700000000004</v>
          </cell>
          <cell r="Y99">
            <v>147.18799999999999</v>
          </cell>
          <cell r="Z99">
            <v>122.1</v>
          </cell>
          <cell r="AA99">
            <v>288.97699999999998</v>
          </cell>
          <cell r="AB99">
            <v>173.273</v>
          </cell>
          <cell r="AC99">
            <v>158.56100000000001</v>
          </cell>
          <cell r="AD99">
            <v>310.98099999999999</v>
          </cell>
          <cell r="AE99">
            <v>39.555999999999997</v>
          </cell>
          <cell r="AF99">
            <v>19.966999999999999</v>
          </cell>
          <cell r="AG99">
            <v>213.21700000000001</v>
          </cell>
          <cell r="AH99">
            <v>262.10399999999998</v>
          </cell>
          <cell r="AI99">
            <v>257.21199999999999</v>
          </cell>
          <cell r="AJ99">
            <v>602.58900000000006</v>
          </cell>
          <cell r="AK99">
            <v>190.24199999999999</v>
          </cell>
          <cell r="AL99">
            <v>563.30799999999999</v>
          </cell>
          <cell r="AM99">
            <v>315.73099999999999</v>
          </cell>
          <cell r="AN99">
            <v>773.00900000000001</v>
          </cell>
          <cell r="AO99">
            <v>325.44499999999999</v>
          </cell>
          <cell r="AP99">
            <v>446.76100000000002</v>
          </cell>
          <cell r="AQ99">
            <v>10.180999999999999</v>
          </cell>
          <cell r="AR99">
            <v>865.85400000000004</v>
          </cell>
          <cell r="AS99">
            <v>231.511</v>
          </cell>
          <cell r="AT99">
            <v>178.81399999999999</v>
          </cell>
          <cell r="AU99">
            <v>164.27099999999999</v>
          </cell>
          <cell r="AV99" t="e">
            <v>#N/A</v>
          </cell>
          <cell r="AW99">
            <v>3014.2750000000001</v>
          </cell>
          <cell r="AX99">
            <v>3014.2750000000001</v>
          </cell>
          <cell r="AY99">
            <v>477.75900000000001</v>
          </cell>
          <cell r="AZ99"/>
          <cell r="BA99" t="e">
            <v>#N/A</v>
          </cell>
          <cell r="BB99">
            <v>156.48500000000001</v>
          </cell>
          <cell r="BC99">
            <v>656.27700000000004</v>
          </cell>
          <cell r="BD99" t="e">
            <v>#N/A</v>
          </cell>
          <cell r="BE99">
            <v>161.51300000000001</v>
          </cell>
          <cell r="BF99">
            <v>13.583</v>
          </cell>
          <cell r="BG99">
            <v>258.29199999999997</v>
          </cell>
          <cell r="BH99">
            <v>360.54500000000002</v>
          </cell>
          <cell r="BI99">
            <v>684.077</v>
          </cell>
          <cell r="BJ99">
            <v>284.46300000000002</v>
          </cell>
          <cell r="BK99"/>
          <cell r="BL99">
            <v>287.43099999999998</v>
          </cell>
          <cell r="BM99"/>
          <cell r="BN99">
            <v>854.11099999999999</v>
          </cell>
          <cell r="BO99"/>
          <cell r="BP99">
            <v>38.628999999999998</v>
          </cell>
        </row>
        <row r="100">
          <cell r="T100"/>
          <cell r="U100"/>
          <cell r="Y100"/>
        </row>
        <row r="101">
          <cell r="B101" t="str">
            <v>סה"כ ביוב מוזרם</v>
          </cell>
          <cell r="D101">
            <v>17045.14</v>
          </cell>
          <cell r="E101"/>
          <cell r="F101">
            <v>2627.973</v>
          </cell>
          <cell r="G101"/>
          <cell r="H101">
            <v>14526.098999999998</v>
          </cell>
          <cell r="I101"/>
          <cell r="J101">
            <v>1584.0309999999999</v>
          </cell>
          <cell r="K101"/>
          <cell r="L101">
            <v>5162.4950000000008</v>
          </cell>
          <cell r="M101"/>
          <cell r="N101">
            <v>54494.798999999999</v>
          </cell>
          <cell r="O101"/>
          <cell r="P101">
            <v>17634.286</v>
          </cell>
          <cell r="Q101"/>
          <cell r="R101">
            <v>10342.893</v>
          </cell>
          <cell r="S101"/>
          <cell r="T101">
            <v>6941.0655000000006</v>
          </cell>
          <cell r="U101">
            <v>4879.1880000000001</v>
          </cell>
          <cell r="V101">
            <v>16231.649999999998</v>
          </cell>
          <cell r="W101">
            <v>16948.249</v>
          </cell>
          <cell r="X101">
            <v>14163.992</v>
          </cell>
          <cell r="Y101">
            <v>4350.7029999999995</v>
          </cell>
          <cell r="Z101">
            <v>10096.822</v>
          </cell>
          <cell r="AA101">
            <v>2882.5070000000001</v>
          </cell>
          <cell r="AB101">
            <v>5388.5009999999993</v>
          </cell>
          <cell r="AC101">
            <v>4789.348</v>
          </cell>
          <cell r="AD101">
            <v>7495.4859999999999</v>
          </cell>
          <cell r="AE101">
            <v>4185.5220000000008</v>
          </cell>
          <cell r="AF101">
            <v>4915.8509999999997</v>
          </cell>
          <cell r="AG101">
            <v>9460.36</v>
          </cell>
          <cell r="AH101">
            <v>3440.9070000000002</v>
          </cell>
          <cell r="AI101">
            <v>3375.1729999999998</v>
          </cell>
          <cell r="AJ101">
            <v>6061.9279999999999</v>
          </cell>
          <cell r="AK101">
            <v>7487.3419999999996</v>
          </cell>
          <cell r="AL101">
            <v>9872.5629999999983</v>
          </cell>
          <cell r="AM101">
            <v>4726.893</v>
          </cell>
          <cell r="AN101">
            <v>23270.847999999998</v>
          </cell>
          <cell r="AO101">
            <v>3875.8629999999998</v>
          </cell>
          <cell r="AP101">
            <v>3680.4550000000004</v>
          </cell>
          <cell r="AQ101">
            <v>3105.5160000000001</v>
          </cell>
          <cell r="AR101">
            <v>8337.5550000000003</v>
          </cell>
          <cell r="AS101">
            <v>3729.0419999999999</v>
          </cell>
          <cell r="AT101">
            <v>2526.4320000000002</v>
          </cell>
          <cell r="AU101">
            <v>2753.0979999999995</v>
          </cell>
          <cell r="AV101" t="e">
            <v>#N/A</v>
          </cell>
          <cell r="AW101">
            <v>42113.598999999995</v>
          </cell>
          <cell r="AX101">
            <v>42113.598999999995</v>
          </cell>
          <cell r="AY101">
            <v>5346.8510000000006</v>
          </cell>
          <cell r="AZ101">
            <v>3757.8393000000005</v>
          </cell>
          <cell r="BA101" t="e">
            <v>#N/A</v>
          </cell>
          <cell r="BB101">
            <v>3603.6639999999998</v>
          </cell>
          <cell r="BC101">
            <v>10601.837</v>
          </cell>
          <cell r="BD101" t="e">
            <v>#N/A</v>
          </cell>
          <cell r="BE101">
            <v>2381.8229999999999</v>
          </cell>
          <cell r="BF101">
            <v>9124.2910000000011</v>
          </cell>
          <cell r="BG101">
            <v>5177.5450000000001</v>
          </cell>
          <cell r="BH101">
            <v>3640.8209999999999</v>
          </cell>
          <cell r="BI101">
            <v>9538.487000000001</v>
          </cell>
          <cell r="BJ101">
            <v>3490.4719999999998</v>
          </cell>
          <cell r="BK101">
            <v>3924.4004999999997</v>
          </cell>
          <cell r="BL101">
            <v>2427.991</v>
          </cell>
          <cell r="BM101">
            <v>3607.0839000000001</v>
          </cell>
          <cell r="BN101">
            <v>6670.7950000000001</v>
          </cell>
          <cell r="BO101">
            <v>5358.2264999999998</v>
          </cell>
          <cell r="BP101">
            <v>7860.2870000000003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התפלגות מים 2009"/>
      <sheetName val="התפלגות מים 2008"/>
      <sheetName val="נתוני מים 2008"/>
      <sheetName val="תאגידים ומט&quot;שים יוני 2010"/>
      <sheetName val="המדד המשוקלל"/>
      <sheetName val="מדדי חשמל"/>
      <sheetName val="מדד תפוקות התעשייה"/>
      <sheetName val="מדד המחירים לצרכן"/>
      <sheetName val="מדד שכר ציבורי"/>
      <sheetName val="תעריפי שפדן עם הסכמים"/>
      <sheetName val="תאגידים ומט&quot;שים מעודכן"/>
      <sheetName val="עלויות תפעול לשנת 2012 חלש מתקד"/>
      <sheetName val="עלויות תפעול לשנת 2012"/>
      <sheetName val="נתוני מים 2010"/>
      <sheetName val="התפלגות מים 2010"/>
      <sheetName val="נתוני תאגידים לשנת 2012"/>
      <sheetName val="אשכול חברתי לרשויות"/>
      <sheetName val="הנחות עבודה כלליות"/>
      <sheetName val="התפלגות מים 2011"/>
      <sheetName val="נתוני מים 2011"/>
      <sheetName val="נתוני תאגידים"/>
      <sheetName val="תחשיב להיטל מופחת"/>
      <sheetName val="גיליון סימולציות"/>
      <sheetName val="מטשים 2013"/>
      <sheetName val="ריכוז נתוני תאגידים"/>
      <sheetName val="2016"/>
      <sheetName val="2015"/>
      <sheetName val="2014"/>
      <sheetName val="תעריף מוצע"/>
      <sheetName val="עלויות ממוצעות לקוב"/>
      <sheetName val="ביוביות"/>
      <sheetName val="הוצאות תפעול"/>
      <sheetName val="פחת מים וגביה"/>
      <sheetName val="ריכוז נתונים"/>
      <sheetName val="תעריפי 2013"/>
      <sheetName val="ריכוז נתונים לשנת 2014"/>
      <sheetName val="ריכוז נתונים לשנת 2015"/>
      <sheetName val="ריכוז נתונים לשנת 2016"/>
      <sheetName val="רשימת נכסים מהקובץ"/>
      <sheetName val="נתוני דיווח רשויות מקומיות 2010"/>
      <sheetName val="תעריף השלמה לרשויות מקומיות"/>
      <sheetName val="יחס רכוש בדוחות לסקר נכסי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1">
          <cell r="V1">
            <v>1</v>
          </cell>
          <cell r="AA1">
            <v>3</v>
          </cell>
          <cell r="AB1">
            <v>4</v>
          </cell>
          <cell r="AC1">
            <v>5</v>
          </cell>
          <cell r="AD1">
            <v>6</v>
          </cell>
          <cell r="AE1">
            <v>7</v>
          </cell>
          <cell r="AF1">
            <v>8</v>
          </cell>
          <cell r="AM1" t="str">
            <v>עלויות תפעול+פחת מים</v>
          </cell>
        </row>
        <row r="2">
          <cell r="C2" t="str">
            <v>ערים הכלולות בתאגיד</v>
          </cell>
          <cell r="D2" t="str">
            <v>אשכול חברתי</v>
          </cell>
          <cell r="E2" t="str">
            <v>ערך כינון מלא מים</v>
          </cell>
          <cell r="F2" t="str">
            <v>ערך כינון מופחת מים</v>
          </cell>
          <cell r="G2" t="str">
            <v>ערך כינון מלא ביוב</v>
          </cell>
          <cell r="H2" t="str">
            <v>ערך כינון מופחת ביוב</v>
          </cell>
          <cell r="I2" t="str">
            <v>זכויות מים</v>
          </cell>
          <cell r="J2" t="str">
            <v>סה"כ כמות מים</v>
          </cell>
          <cell r="K2" t="str">
            <v>סה"כ כמות ביוב</v>
          </cell>
          <cell r="L2" t="str">
            <v>שיעור החוב המוכר</v>
          </cell>
          <cell r="M2" t="str">
            <v>שנת תחילת פעילות התאגיד</v>
          </cell>
          <cell r="N2" t="str">
            <v>כמות בסיסית</v>
          </cell>
          <cell r="O2" t="str">
            <v>תעריף מט"ש</v>
          </cell>
          <cell r="P2" t="str">
            <v>האשכול החברתי של הישובים (למ"ס):</v>
          </cell>
          <cell r="Q2" t="str">
            <v>הצמדה</v>
          </cell>
          <cell r="R2" t="str">
            <v>פחת מים לשנת 2013</v>
          </cell>
          <cell r="S2">
            <v>1</v>
          </cell>
          <cell r="T2" t="str">
            <v>פחת גביה לשנת 2013</v>
          </cell>
          <cell r="U2" t="str">
            <v>אוכלוסיה</v>
          </cell>
          <cell r="V2" t="str">
            <v>מספר יישובים</v>
          </cell>
          <cell r="W2">
            <v>60000</v>
          </cell>
          <cell r="X2">
            <v>120000</v>
          </cell>
          <cell r="Y2">
            <v>200000</v>
          </cell>
          <cell r="AA2" t="str">
            <v>מקדם הוצאות מנהלה</v>
          </cell>
          <cell r="AB2" t="str">
            <v>מקדם הוצאות גבייה</v>
          </cell>
          <cell r="AC2" t="str">
            <v>מקדם עלות קריאת מים לתאגיד</v>
          </cell>
          <cell r="AD2" t="str">
            <v>מקדם עלות קריאת ביוב לתאגיד</v>
          </cell>
          <cell r="AE2" t="str">
            <v>מקדם עלות לישוב נוסף</v>
          </cell>
          <cell r="AF2" t="str">
            <v>תאגיד רב אזורי</v>
          </cell>
          <cell r="AG2" t="str">
            <v>ביוביות</v>
          </cell>
          <cell r="AH2" t="str">
            <v>תפעול מים</v>
          </cell>
          <cell r="AI2" t="str">
            <v>תפעול ביוב</v>
          </cell>
          <cell r="AM2" t="str">
            <v>תפעול מים</v>
          </cell>
          <cell r="AN2" t="str">
            <v>תפעול ביוב</v>
          </cell>
          <cell r="AP2" t="str">
            <v>ערך כינון מופחת להחזר צרכנים מים</v>
          </cell>
          <cell r="AQ2" t="str">
            <v>ערך כינון מופחת להחזר צרכנים ביוב</v>
          </cell>
          <cell r="AR2" t="str">
            <v>קטימה מים</v>
          </cell>
          <cell r="AS2" t="str">
            <v>קטימה ביוב</v>
          </cell>
          <cell r="AT2" t="str">
            <v>עלויות גביה קבועות</v>
          </cell>
          <cell r="AU2" t="str">
            <v>עלויות הנהלה קבועות</v>
          </cell>
          <cell r="AV2" t="str">
            <v>הולכה למט"ש</v>
          </cell>
          <cell r="AW2" t="str">
            <v>מספר צרכנים</v>
          </cell>
          <cell r="AX2" t="str">
            <v>רכיב חשמל נוסף</v>
          </cell>
          <cell r="AY2" t="str">
            <v>חקלאות מסך הצריכה</v>
          </cell>
          <cell r="AZ2" t="str">
            <v>רכיב חקלאות נוסף</v>
          </cell>
        </row>
        <row r="3">
          <cell r="B3" t="str">
            <v>באר מים חיים</v>
          </cell>
          <cell r="C3" t="str">
            <v xml:space="preserve">בני ברק      </v>
          </cell>
          <cell r="D3" t="str">
            <v>חלש</v>
          </cell>
          <cell r="E3">
            <v>83904.397400000002</v>
          </cell>
          <cell r="F3">
            <v>49014.030999999995</v>
          </cell>
          <cell r="G3">
            <v>82636.24579999999</v>
          </cell>
          <cell r="H3">
            <v>9640.7639999999992</v>
          </cell>
          <cell r="I3">
            <v>14179.218000000001</v>
          </cell>
          <cell r="J3">
            <v>10198.278</v>
          </cell>
          <cell r="K3">
            <v>126.04300000000001</v>
          </cell>
          <cell r="L3">
            <v>0.3</v>
          </cell>
          <cell r="M3">
            <v>2008</v>
          </cell>
          <cell r="N3" t="e">
            <v>#REF!</v>
          </cell>
          <cell r="O3">
            <v>2.4793889587500004</v>
          </cell>
          <cell r="P3">
            <v>2</v>
          </cell>
          <cell r="Q3">
            <v>7.5672119175286268E-3</v>
          </cell>
          <cell r="R3">
            <v>0.1125</v>
          </cell>
          <cell r="S3">
            <v>2</v>
          </cell>
          <cell r="T3">
            <v>0.09</v>
          </cell>
          <cell r="U3">
            <v>158888</v>
          </cell>
          <cell r="V3">
            <v>1</v>
          </cell>
          <cell r="W3">
            <v>1</v>
          </cell>
          <cell r="X3">
            <v>1</v>
          </cell>
          <cell r="Y3">
            <v>0</v>
          </cell>
          <cell r="Z3">
            <v>3</v>
          </cell>
          <cell r="AA3">
            <v>0</v>
          </cell>
          <cell r="AB3">
            <v>0</v>
          </cell>
          <cell r="AC3">
            <v>29.829090909090912</v>
          </cell>
          <cell r="AD3">
            <v>14.914545454545456</v>
          </cell>
          <cell r="AE3">
            <v>46040</v>
          </cell>
          <cell r="AF3">
            <v>0.03</v>
          </cell>
          <cell r="AG3">
            <v>0</v>
          </cell>
          <cell r="AH3">
            <v>1.0660115605796681</v>
          </cell>
          <cell r="AI3">
            <v>0.72416924323108578</v>
          </cell>
          <cell r="AJ3">
            <v>1.7901808038107538</v>
          </cell>
          <cell r="AK3">
            <v>18256.761507525527</v>
          </cell>
          <cell r="AL3">
            <v>0</v>
          </cell>
          <cell r="AM3">
            <v>1.2011397865686402</v>
          </cell>
          <cell r="AN3">
            <v>0.81596534448573055</v>
          </cell>
          <cell r="AO3">
            <v>0.72416924323108578</v>
          </cell>
          <cell r="AP3">
            <v>42979.930999999997</v>
          </cell>
          <cell r="AQ3">
            <v>6102.7640000000001</v>
          </cell>
          <cell r="AR3">
            <v>1.2</v>
          </cell>
          <cell r="AS3">
            <v>0.85</v>
          </cell>
          <cell r="AT3">
            <v>0.25740000000000002</v>
          </cell>
          <cell r="AU3">
            <v>0.39701488612500002</v>
          </cell>
          <cell r="AV3">
            <v>0</v>
          </cell>
          <cell r="AW3">
            <v>44988</v>
          </cell>
          <cell r="AX3">
            <v>0</v>
          </cell>
          <cell r="AY3">
            <v>0</v>
          </cell>
          <cell r="AZ3">
            <v>0</v>
          </cell>
        </row>
        <row r="4">
          <cell r="B4" t="str">
            <v>הרי נצרת</v>
          </cell>
          <cell r="C4" t="str">
            <v xml:space="preserve">נצרת ריינה יפיע עילוט אכסאל  </v>
          </cell>
          <cell r="D4" t="str">
            <v>חלש</v>
          </cell>
          <cell r="E4">
            <v>93801.357600000003</v>
          </cell>
          <cell r="F4">
            <v>64718.004899999993</v>
          </cell>
          <cell r="G4">
            <v>106136.8177</v>
          </cell>
          <cell r="H4">
            <v>60568.055999999997</v>
          </cell>
          <cell r="I4">
            <v>10085.833000000001</v>
          </cell>
          <cell r="J4">
            <v>8911.6220000000012</v>
          </cell>
          <cell r="K4">
            <v>56.854999999999997</v>
          </cell>
          <cell r="L4">
            <v>0.4</v>
          </cell>
          <cell r="M4">
            <v>2008</v>
          </cell>
          <cell r="N4" t="e">
            <v>#REF!</v>
          </cell>
          <cell r="O4">
            <v>1.4079216305952476</v>
          </cell>
          <cell r="P4">
            <v>4</v>
          </cell>
          <cell r="Q4">
            <v>7.5672119175286268E-3</v>
          </cell>
          <cell r="R4">
            <v>0.1125</v>
          </cell>
          <cell r="S4">
            <v>3</v>
          </cell>
          <cell r="T4">
            <v>0.09</v>
          </cell>
          <cell r="U4">
            <v>126693</v>
          </cell>
          <cell r="V4">
            <v>5</v>
          </cell>
          <cell r="W4">
            <v>1</v>
          </cell>
          <cell r="X4">
            <v>1</v>
          </cell>
          <cell r="Y4">
            <v>0</v>
          </cell>
          <cell r="Z4">
            <v>3</v>
          </cell>
          <cell r="AA4">
            <v>0</v>
          </cell>
          <cell r="AB4">
            <v>0</v>
          </cell>
          <cell r="AC4">
            <v>29.829090909090912</v>
          </cell>
          <cell r="AD4">
            <v>14.914545454545456</v>
          </cell>
          <cell r="AE4">
            <v>46040</v>
          </cell>
          <cell r="AF4">
            <v>0.03</v>
          </cell>
          <cell r="AG4">
            <v>0</v>
          </cell>
          <cell r="AH4">
            <v>1.1659139166893857</v>
          </cell>
          <cell r="AI4">
            <v>0.88445299598446758</v>
          </cell>
          <cell r="AJ4">
            <v>2.0503669126738533</v>
          </cell>
          <cell r="AK4">
            <v>18272.094887056392</v>
          </cell>
          <cell r="AL4">
            <v>0</v>
          </cell>
          <cell r="AM4">
            <v>1.3137058216218431</v>
          </cell>
          <cell r="AN4">
            <v>0.99656675603883671</v>
          </cell>
          <cell r="AO4">
            <v>0</v>
          </cell>
          <cell r="AP4">
            <v>71428.73</v>
          </cell>
          <cell r="AQ4">
            <v>65275.46</v>
          </cell>
          <cell r="AR4">
            <v>1.6</v>
          </cell>
          <cell r="AS4">
            <v>2</v>
          </cell>
          <cell r="AT4">
            <v>0.25740000000000002</v>
          </cell>
          <cell r="AU4">
            <v>0.39701488612500002</v>
          </cell>
          <cell r="AV4">
            <v>1</v>
          </cell>
          <cell r="AW4">
            <v>27134</v>
          </cell>
          <cell r="AX4">
            <v>0</v>
          </cell>
          <cell r="AY4">
            <v>1.3682462870210914E-3</v>
          </cell>
          <cell r="AZ4">
            <v>0</v>
          </cell>
        </row>
        <row r="5">
          <cell r="B5" t="str">
            <v>התנור</v>
          </cell>
          <cell r="C5" t="str">
            <v>קרית שמונה מטולה  קצרין מג'דל שמס מסעדה עין קיניא בוקעאתא</v>
          </cell>
          <cell r="D5" t="str">
            <v>בינוני</v>
          </cell>
          <cell r="E5">
            <v>64617.404200000004</v>
          </cell>
          <cell r="F5">
            <v>43874.747000000003</v>
          </cell>
          <cell r="G5">
            <v>88182.751099999979</v>
          </cell>
          <cell r="H5">
            <v>58350.611000000004</v>
          </cell>
          <cell r="I5">
            <v>10172.431</v>
          </cell>
          <cell r="J5">
            <v>4260.4760000000006</v>
          </cell>
          <cell r="K5">
            <v>227.583</v>
          </cell>
          <cell r="L5">
            <v>0.4</v>
          </cell>
          <cell r="M5">
            <v>2006</v>
          </cell>
          <cell r="N5" t="e">
            <v>#REF!</v>
          </cell>
          <cell r="O5">
            <v>0.91721546782256524</v>
          </cell>
          <cell r="P5">
            <v>5</v>
          </cell>
          <cell r="Q5">
            <v>5.6543315823001761E-2</v>
          </cell>
          <cell r="R5">
            <v>9.2499999999999999E-2</v>
          </cell>
          <cell r="S5">
            <v>4</v>
          </cell>
          <cell r="T5">
            <v>0.04</v>
          </cell>
          <cell r="U5">
            <v>31628</v>
          </cell>
          <cell r="V5">
            <v>7</v>
          </cell>
          <cell r="W5">
            <v>0</v>
          </cell>
          <cell r="X5">
            <v>0</v>
          </cell>
          <cell r="Y5">
            <v>0</v>
          </cell>
          <cell r="Z5">
            <v>1</v>
          </cell>
          <cell r="AA5">
            <v>0</v>
          </cell>
          <cell r="AB5">
            <v>0</v>
          </cell>
          <cell r="AC5">
            <v>29.829090909090912</v>
          </cell>
          <cell r="AD5">
            <v>14.914545454545456</v>
          </cell>
          <cell r="AE5">
            <v>46040</v>
          </cell>
          <cell r="AF5">
            <v>0.03</v>
          </cell>
          <cell r="AG5">
            <v>0</v>
          </cell>
          <cell r="AH5">
            <v>1.2475361266476972</v>
          </cell>
          <cell r="AI5">
            <v>0.96247737348766482</v>
          </cell>
          <cell r="AJ5">
            <v>2.210013500135362</v>
          </cell>
          <cell r="AK5">
            <v>9415.709477002707</v>
          </cell>
          <cell r="AL5">
            <v>0</v>
          </cell>
          <cell r="AM5">
            <v>1.3746954563610989</v>
          </cell>
          <cell r="AN5">
            <v>1.0605811278100989</v>
          </cell>
          <cell r="AO5">
            <v>0</v>
          </cell>
          <cell r="AP5">
            <v>42029.707000000002</v>
          </cell>
          <cell r="AQ5">
            <v>57816.067000000003</v>
          </cell>
          <cell r="AR5">
            <v>1.6</v>
          </cell>
          <cell r="AS5">
            <v>2</v>
          </cell>
          <cell r="AT5">
            <v>0.23400000000000001</v>
          </cell>
          <cell r="AU5">
            <v>0.36092262375</v>
          </cell>
          <cell r="AV5">
            <v>1</v>
          </cell>
          <cell r="AW5">
            <v>14000</v>
          </cell>
          <cell r="AX5">
            <v>0</v>
          </cell>
          <cell r="AY5">
            <v>3.411356012196816E-3</v>
          </cell>
          <cell r="AZ5">
            <v>0</v>
          </cell>
        </row>
        <row r="6">
          <cell r="B6" t="str">
            <v>הגיחון (ירושלים)</v>
          </cell>
          <cell r="C6" t="str">
            <v xml:space="preserve">ירושלים  אבו גוש מבשרת ציון    </v>
          </cell>
          <cell r="D6" t="str">
            <v xml:space="preserve">חזק </v>
          </cell>
          <cell r="E6">
            <v>1096623.1447000001</v>
          </cell>
          <cell r="F6">
            <v>502087.32995999994</v>
          </cell>
          <cell r="G6">
            <v>872181.96169999999</v>
          </cell>
          <cell r="H6">
            <v>421295.55195999995</v>
          </cell>
          <cell r="I6">
            <v>183331.80300000001</v>
          </cell>
          <cell r="J6">
            <v>59362.62</v>
          </cell>
          <cell r="K6">
            <v>1413.0060000000001</v>
          </cell>
          <cell r="L6">
            <v>0.19700000000000001</v>
          </cell>
          <cell r="M6">
            <v>2007</v>
          </cell>
          <cell r="N6" t="e">
            <v>#REF!</v>
          </cell>
          <cell r="O6">
            <v>0.91414943068596199</v>
          </cell>
          <cell r="P6">
            <v>5</v>
          </cell>
          <cell r="Q6">
            <v>4.8955041908835595E-2</v>
          </cell>
          <cell r="R6">
            <v>8.5000000000000006E-2</v>
          </cell>
          <cell r="S6">
            <v>5</v>
          </cell>
          <cell r="T6">
            <v>0.04</v>
          </cell>
          <cell r="U6">
            <v>818160</v>
          </cell>
          <cell r="V6">
            <v>3</v>
          </cell>
          <cell r="W6">
            <v>1</v>
          </cell>
          <cell r="X6">
            <v>1</v>
          </cell>
          <cell r="Y6">
            <v>1</v>
          </cell>
          <cell r="Z6">
            <v>4</v>
          </cell>
          <cell r="AA6">
            <v>0</v>
          </cell>
          <cell r="AB6">
            <v>0</v>
          </cell>
          <cell r="AC6">
            <v>29.829090909090912</v>
          </cell>
          <cell r="AD6">
            <v>14.914545454545456</v>
          </cell>
          <cell r="AE6">
            <v>46040</v>
          </cell>
          <cell r="AF6">
            <v>0.03</v>
          </cell>
          <cell r="AG6">
            <v>0</v>
          </cell>
          <cell r="AH6">
            <v>1.066523398050196</v>
          </cell>
          <cell r="AI6">
            <v>0.78032766860980896</v>
          </cell>
          <cell r="AJ6">
            <v>1.8468510666600051</v>
          </cell>
          <cell r="AK6">
            <v>109633.91806673256</v>
          </cell>
          <cell r="AL6">
            <v>0</v>
          </cell>
          <cell r="AM6">
            <v>1.1655993421313617</v>
          </cell>
          <cell r="AN6">
            <v>0.85281712416372557</v>
          </cell>
          <cell r="AO6">
            <v>0</v>
          </cell>
          <cell r="AP6">
            <v>499262.51899999997</v>
          </cell>
          <cell r="AQ6">
            <v>432215.761</v>
          </cell>
          <cell r="AR6">
            <v>1.6</v>
          </cell>
          <cell r="AS6">
            <v>2</v>
          </cell>
          <cell r="AT6">
            <v>0.23400000000000001</v>
          </cell>
          <cell r="AU6">
            <v>0.36092262375</v>
          </cell>
          <cell r="AV6">
            <v>1</v>
          </cell>
          <cell r="AW6">
            <v>199592</v>
          </cell>
          <cell r="AX6">
            <v>0</v>
          </cell>
          <cell r="AY6">
            <v>5.7571090086288301E-3</v>
          </cell>
          <cell r="AZ6">
            <v>0</v>
          </cell>
        </row>
        <row r="7">
          <cell r="B7" t="str">
            <v>יובלים אשדוד</v>
          </cell>
          <cell r="C7" t="str">
            <v xml:space="preserve">אשדוד      </v>
          </cell>
          <cell r="D7" t="str">
            <v xml:space="preserve">חזק </v>
          </cell>
          <cell r="E7">
            <v>137583.40000000002</v>
          </cell>
          <cell r="F7">
            <v>62814.464</v>
          </cell>
          <cell r="G7">
            <v>171206.7</v>
          </cell>
          <cell r="H7">
            <v>57175.376000000004</v>
          </cell>
          <cell r="I7">
            <v>49855</v>
          </cell>
          <cell r="J7">
            <v>16721.764999999999</v>
          </cell>
          <cell r="K7">
            <v>1239.6389999999999</v>
          </cell>
          <cell r="L7">
            <v>0.35</v>
          </cell>
          <cell r="M7">
            <v>2008</v>
          </cell>
          <cell r="N7" t="e">
            <v>#REF!</v>
          </cell>
          <cell r="O7">
            <v>1.2374337230152477</v>
          </cell>
          <cell r="P7">
            <v>5</v>
          </cell>
          <cell r="Q7">
            <v>7.5672119175286268E-3</v>
          </cell>
          <cell r="R7">
            <v>8.5000000000000006E-2</v>
          </cell>
          <cell r="S7">
            <v>6</v>
          </cell>
          <cell r="T7">
            <v>0.04</v>
          </cell>
          <cell r="U7">
            <v>210558</v>
          </cell>
          <cell r="V7">
            <v>1</v>
          </cell>
          <cell r="W7">
            <v>1</v>
          </cell>
          <cell r="X7">
            <v>1</v>
          </cell>
          <cell r="Y7">
            <v>1</v>
          </cell>
          <cell r="Z7">
            <v>4</v>
          </cell>
          <cell r="AA7">
            <v>0</v>
          </cell>
          <cell r="AB7">
            <v>0</v>
          </cell>
          <cell r="AC7">
            <v>29.829090909090912</v>
          </cell>
          <cell r="AD7">
            <v>14.914545454545456</v>
          </cell>
          <cell r="AE7">
            <v>46040</v>
          </cell>
          <cell r="AF7">
            <v>0.03</v>
          </cell>
          <cell r="AG7">
            <v>0</v>
          </cell>
          <cell r="AH7">
            <v>1.0271245035393317</v>
          </cell>
          <cell r="AI7">
            <v>0.72985264911716774</v>
          </cell>
          <cell r="AJ7">
            <v>1.7569771526564995</v>
          </cell>
          <cell r="AK7">
            <v>29379.759057091109</v>
          </cell>
          <cell r="AL7">
            <v>0</v>
          </cell>
          <cell r="AM7">
            <v>1.122540441026592</v>
          </cell>
          <cell r="AN7">
            <v>0.79765316843406309</v>
          </cell>
          <cell r="AO7">
            <v>0.72985264911716774</v>
          </cell>
          <cell r="AP7">
            <v>87816</v>
          </cell>
          <cell r="AQ7">
            <v>82342</v>
          </cell>
          <cell r="AR7">
            <v>1.2</v>
          </cell>
          <cell r="AS7">
            <v>0.85</v>
          </cell>
          <cell r="AT7">
            <v>0.23400000000000001</v>
          </cell>
          <cell r="AU7">
            <v>0.36092262375</v>
          </cell>
          <cell r="AV7">
            <v>1</v>
          </cell>
          <cell r="AW7">
            <v>68641</v>
          </cell>
          <cell r="AX7">
            <v>0</v>
          </cell>
          <cell r="AY7">
            <v>0</v>
          </cell>
          <cell r="AZ7">
            <v>0</v>
          </cell>
        </row>
        <row r="8">
          <cell r="B8" t="str">
            <v>מי אריאל (אריאל)</v>
          </cell>
          <cell r="C8" t="str">
            <v xml:space="preserve">אריאל קרני שומרון     </v>
          </cell>
          <cell r="D8" t="str">
            <v xml:space="preserve">חזק </v>
          </cell>
          <cell r="E8">
            <v>44118.648399999998</v>
          </cell>
          <cell r="F8">
            <v>28305.60433333334</v>
          </cell>
          <cell r="G8">
            <v>48701.705999999998</v>
          </cell>
          <cell r="H8">
            <v>29256.145</v>
          </cell>
          <cell r="I8">
            <v>0</v>
          </cell>
          <cell r="J8">
            <v>1749.1120000000001</v>
          </cell>
          <cell r="K8">
            <v>208.27199999999999</v>
          </cell>
          <cell r="L8">
            <v>0.4</v>
          </cell>
          <cell r="M8">
            <v>2008</v>
          </cell>
          <cell r="N8" t="e">
            <v>#REF!</v>
          </cell>
          <cell r="O8">
            <v>1.5895600879377045</v>
          </cell>
          <cell r="P8">
            <v>6</v>
          </cell>
          <cell r="Q8">
            <v>7.5672119175286268E-3</v>
          </cell>
          <cell r="R8">
            <v>8.5000000000000006E-2</v>
          </cell>
          <cell r="S8">
            <v>7</v>
          </cell>
          <cell r="T8">
            <v>0.04</v>
          </cell>
          <cell r="U8">
            <v>23952</v>
          </cell>
          <cell r="V8">
            <v>2</v>
          </cell>
          <cell r="W8">
            <v>0</v>
          </cell>
          <cell r="X8">
            <v>0</v>
          </cell>
          <cell r="Y8">
            <v>0</v>
          </cell>
          <cell r="Z8">
            <v>1</v>
          </cell>
          <cell r="AA8">
            <v>0</v>
          </cell>
          <cell r="AB8">
            <v>0</v>
          </cell>
          <cell r="AC8">
            <v>29.829090909090912</v>
          </cell>
          <cell r="AD8">
            <v>14.914545454545456</v>
          </cell>
          <cell r="AE8">
            <v>46040</v>
          </cell>
          <cell r="AF8">
            <v>0.03</v>
          </cell>
          <cell r="AG8">
            <v>0</v>
          </cell>
          <cell r="AH8">
            <v>1.0860912831891103</v>
          </cell>
          <cell r="AI8">
            <v>0.7874970029054853</v>
          </cell>
          <cell r="AJ8">
            <v>1.8735882860945956</v>
          </cell>
          <cell r="AK8">
            <v>3277.1157542674905</v>
          </cell>
          <cell r="AL8">
            <v>0</v>
          </cell>
          <cell r="AM8">
            <v>1.1869850089498473</v>
          </cell>
          <cell r="AN8">
            <v>0.86065246219178715</v>
          </cell>
          <cell r="AO8">
            <v>0</v>
          </cell>
          <cell r="AP8">
            <v>25936.188333333335</v>
          </cell>
          <cell r="AQ8">
            <v>28778.249</v>
          </cell>
          <cell r="AR8">
            <v>1.6</v>
          </cell>
          <cell r="AS8">
            <v>2</v>
          </cell>
          <cell r="AT8">
            <v>0.23400000000000001</v>
          </cell>
          <cell r="AU8">
            <v>0.36092262375</v>
          </cell>
          <cell r="AV8">
            <v>1</v>
          </cell>
          <cell r="AW8">
            <v>7335</v>
          </cell>
          <cell r="AX8">
            <v>0</v>
          </cell>
          <cell r="AY8">
            <v>0</v>
          </cell>
          <cell r="AZ8">
            <v>0</v>
          </cell>
        </row>
        <row r="9">
          <cell r="B9" t="str">
            <v>כפרי הגליל התחתון</v>
          </cell>
          <cell r="C9" t="str">
            <v>כפר כנא טורעאן בועיינה-נוג'ידאת דבורייה עין מאהל משהד שיבלי</v>
          </cell>
          <cell r="D9" t="str">
            <v>חלש</v>
          </cell>
          <cell r="E9">
            <v>80785.849600000001</v>
          </cell>
          <cell r="F9">
            <v>54789.836000000003</v>
          </cell>
          <cell r="G9">
            <v>130867.3514</v>
          </cell>
          <cell r="H9">
            <v>102101.327</v>
          </cell>
          <cell r="I9">
            <v>2689.8090000000002</v>
          </cell>
          <cell r="J9">
            <v>4225.0780000000004</v>
          </cell>
          <cell r="K9">
            <v>39.555999999999997</v>
          </cell>
          <cell r="L9">
            <v>0.4</v>
          </cell>
          <cell r="M9">
            <v>2008</v>
          </cell>
          <cell r="N9" t="e">
            <v>#REF!</v>
          </cell>
          <cell r="O9">
            <v>1.122246829314278</v>
          </cell>
          <cell r="P9">
            <v>2</v>
          </cell>
          <cell r="Q9">
            <v>7.5672119175286268E-3</v>
          </cell>
          <cell r="R9">
            <v>0.1125</v>
          </cell>
          <cell r="S9">
            <v>8</v>
          </cell>
          <cell r="T9">
            <v>0.09</v>
          </cell>
          <cell r="U9">
            <v>60925</v>
          </cell>
          <cell r="V9">
            <v>7</v>
          </cell>
          <cell r="W9">
            <v>1</v>
          </cell>
          <cell r="X9">
            <v>0</v>
          </cell>
          <cell r="Y9">
            <v>0</v>
          </cell>
          <cell r="Z9">
            <v>2</v>
          </cell>
          <cell r="AA9">
            <v>0</v>
          </cell>
          <cell r="AB9">
            <v>0</v>
          </cell>
          <cell r="AC9">
            <v>29.829090909090912</v>
          </cell>
          <cell r="AD9">
            <v>14.914545454545456</v>
          </cell>
          <cell r="AE9">
            <v>46040</v>
          </cell>
          <cell r="AF9">
            <v>0.03</v>
          </cell>
          <cell r="AG9">
            <v>0</v>
          </cell>
          <cell r="AH9">
            <v>1.2903945389556637</v>
          </cell>
          <cell r="AI9">
            <v>0.99905125316213261</v>
          </cell>
          <cell r="AJ9">
            <v>2.2894457921177964</v>
          </cell>
          <cell r="AK9">
            <v>9673.0870484694769</v>
          </cell>
          <cell r="AL9">
            <v>0</v>
          </cell>
          <cell r="AM9">
            <v>1.4539656776965226</v>
          </cell>
          <cell r="AN9">
            <v>1.125691552858741</v>
          </cell>
          <cell r="AO9">
            <v>0</v>
          </cell>
          <cell r="AP9">
            <v>48457.552000000003</v>
          </cell>
          <cell r="AQ9">
            <v>108202.863</v>
          </cell>
          <cell r="AR9">
            <v>1.6</v>
          </cell>
          <cell r="AS9">
            <v>2</v>
          </cell>
          <cell r="AT9">
            <v>0.25740000000000002</v>
          </cell>
          <cell r="AU9">
            <v>0.39701488612500002</v>
          </cell>
          <cell r="AV9">
            <v>1</v>
          </cell>
          <cell r="AW9">
            <v>15664</v>
          </cell>
          <cell r="AX9">
            <v>0</v>
          </cell>
          <cell r="AY9">
            <v>1.3912331539659364E-2</v>
          </cell>
          <cell r="AZ9">
            <v>0</v>
          </cell>
        </row>
        <row r="10">
          <cell r="B10" t="str">
            <v>מי חדרה</v>
          </cell>
          <cell r="C10" t="str">
            <v xml:space="preserve">חדרה      </v>
          </cell>
          <cell r="D10" t="str">
            <v xml:space="preserve">חזק </v>
          </cell>
          <cell r="E10">
            <v>90444.768400000001</v>
          </cell>
          <cell r="F10">
            <v>53806.909999999996</v>
          </cell>
          <cell r="G10">
            <v>80924.498000000007</v>
          </cell>
          <cell r="H10">
            <v>29475.002</v>
          </cell>
          <cell r="I10">
            <v>5569.509</v>
          </cell>
          <cell r="J10">
            <v>6980.2030000000004</v>
          </cell>
          <cell r="K10">
            <v>220.46600000000001</v>
          </cell>
          <cell r="L10">
            <v>0.3</v>
          </cell>
          <cell r="M10">
            <v>2008</v>
          </cell>
          <cell r="N10" t="e">
            <v>#REF!</v>
          </cell>
          <cell r="O10">
            <v>1.6019511283797758</v>
          </cell>
          <cell r="P10">
            <v>6</v>
          </cell>
          <cell r="Q10">
            <v>7.5672119175286268E-3</v>
          </cell>
          <cell r="R10">
            <v>8.5000000000000006E-2</v>
          </cell>
          <cell r="S10">
            <v>9</v>
          </cell>
          <cell r="T10">
            <v>0.04</v>
          </cell>
          <cell r="U10">
            <v>81491</v>
          </cell>
          <cell r="V10">
            <v>1</v>
          </cell>
          <cell r="W10">
            <v>1</v>
          </cell>
          <cell r="X10">
            <v>0</v>
          </cell>
          <cell r="Y10">
            <v>0</v>
          </cell>
          <cell r="Z10">
            <v>2</v>
          </cell>
          <cell r="AA10">
            <v>0</v>
          </cell>
          <cell r="AB10">
            <v>0</v>
          </cell>
          <cell r="AC10">
            <v>29.829090909090912</v>
          </cell>
          <cell r="AD10">
            <v>14.914545454545456</v>
          </cell>
          <cell r="AE10">
            <v>46040</v>
          </cell>
          <cell r="AF10">
            <v>0.03</v>
          </cell>
          <cell r="AG10">
            <v>0</v>
          </cell>
          <cell r="AH10">
            <v>1.0309920745030585</v>
          </cell>
          <cell r="AI10">
            <v>0.73178643459903103</v>
          </cell>
          <cell r="AJ10">
            <v>1.7627785091020896</v>
          </cell>
          <cell r="AK10">
            <v>12304.551837569934</v>
          </cell>
          <cell r="AL10">
            <v>0</v>
          </cell>
          <cell r="AM10">
            <v>1.1267672945388618</v>
          </cell>
          <cell r="AN10">
            <v>0.79976659519019777</v>
          </cell>
          <cell r="AO10">
            <v>0.73178643459903103</v>
          </cell>
          <cell r="AP10">
            <v>62864.678</v>
          </cell>
          <cell r="AQ10">
            <v>36293.538</v>
          </cell>
          <cell r="AR10">
            <v>1.2</v>
          </cell>
          <cell r="AS10">
            <v>0.85</v>
          </cell>
          <cell r="AT10">
            <v>0.23400000000000001</v>
          </cell>
          <cell r="AU10">
            <v>0.36092262375</v>
          </cell>
          <cell r="AV10">
            <v>1</v>
          </cell>
          <cell r="AW10">
            <v>29558</v>
          </cell>
          <cell r="AX10">
            <v>0</v>
          </cell>
          <cell r="AY10">
            <v>2.9063434882035679E-3</v>
          </cell>
          <cell r="AZ10">
            <v>0</v>
          </cell>
        </row>
        <row r="11">
          <cell r="B11" t="str">
            <v>מי לוד</v>
          </cell>
          <cell r="C11" t="str">
            <v xml:space="preserve">לוד      </v>
          </cell>
          <cell r="D11" t="str">
            <v>חלש</v>
          </cell>
          <cell r="E11">
            <v>39755.078399999999</v>
          </cell>
          <cell r="F11">
            <v>23194.245000000003</v>
          </cell>
          <cell r="G11">
            <v>57201.333699999988</v>
          </cell>
          <cell r="H11">
            <v>30505.428999999996</v>
          </cell>
          <cell r="I11">
            <v>11086.181</v>
          </cell>
          <cell r="J11">
            <v>5367.8549999999996</v>
          </cell>
          <cell r="K11">
            <v>137.32499999999999</v>
          </cell>
          <cell r="L11">
            <v>0.3</v>
          </cell>
          <cell r="M11">
            <v>2008</v>
          </cell>
          <cell r="N11" t="e">
            <v>#REF!</v>
          </cell>
          <cell r="O11">
            <v>1.2120543716741157</v>
          </cell>
          <cell r="P11">
            <v>4</v>
          </cell>
          <cell r="Q11">
            <v>7.5672119175286268E-3</v>
          </cell>
          <cell r="R11">
            <v>0.1125</v>
          </cell>
          <cell r="S11">
            <v>10</v>
          </cell>
          <cell r="T11">
            <v>0.09</v>
          </cell>
          <cell r="U11">
            <v>70418</v>
          </cell>
          <cell r="V11">
            <v>1</v>
          </cell>
          <cell r="W11">
            <v>1</v>
          </cell>
          <cell r="X11">
            <v>0</v>
          </cell>
          <cell r="Y11">
            <v>0</v>
          </cell>
          <cell r="Z11">
            <v>2</v>
          </cell>
          <cell r="AA11">
            <v>0</v>
          </cell>
          <cell r="AB11">
            <v>0</v>
          </cell>
          <cell r="AC11">
            <v>29.829090909090912</v>
          </cell>
          <cell r="AD11">
            <v>14.914545454545456</v>
          </cell>
          <cell r="AE11">
            <v>46040</v>
          </cell>
          <cell r="AF11">
            <v>0.03</v>
          </cell>
          <cell r="AG11">
            <v>0</v>
          </cell>
          <cell r="AH11">
            <v>1.057601642756643</v>
          </cell>
          <cell r="AI11">
            <v>0.75996428431957319</v>
          </cell>
          <cell r="AJ11">
            <v>1.8175659270762163</v>
          </cell>
          <cell r="AK11">
            <v>9756.4303494857031</v>
          </cell>
          <cell r="AL11">
            <v>0</v>
          </cell>
          <cell r="AM11">
            <v>1.1916638228243865</v>
          </cell>
          <cell r="AN11">
            <v>0.85629778514881494</v>
          </cell>
          <cell r="AO11">
            <v>0.75996428431957319</v>
          </cell>
          <cell r="AP11">
            <v>20382.365000000002</v>
          </cell>
          <cell r="AQ11">
            <v>27211.388999999999</v>
          </cell>
          <cell r="AR11">
            <v>1.2</v>
          </cell>
          <cell r="AS11">
            <v>0.85</v>
          </cell>
          <cell r="AT11">
            <v>0.25740000000000002</v>
          </cell>
          <cell r="AU11">
            <v>0.39701488612500002</v>
          </cell>
          <cell r="AV11">
            <v>1</v>
          </cell>
          <cell r="AW11">
            <v>22166</v>
          </cell>
          <cell r="AX11">
            <v>0</v>
          </cell>
          <cell r="AY11">
            <v>0</v>
          </cell>
          <cell r="AZ11">
            <v>0</v>
          </cell>
        </row>
        <row r="12">
          <cell r="B12" t="str">
            <v>מי נע (נצרת)</v>
          </cell>
          <cell r="C12" t="str">
            <v xml:space="preserve">נצרת עילית  מגדל העמק עפולה    </v>
          </cell>
          <cell r="D12" t="str">
            <v>בינוני</v>
          </cell>
          <cell r="E12">
            <v>124242.57249999998</v>
          </cell>
          <cell r="F12">
            <v>63235.415726005951</v>
          </cell>
          <cell r="G12">
            <v>136181.61059999999</v>
          </cell>
          <cell r="H12">
            <v>44704.895484835914</v>
          </cell>
          <cell r="I12">
            <v>31785.965</v>
          </cell>
          <cell r="J12">
            <v>9503.4519999999993</v>
          </cell>
          <cell r="K12">
            <v>877.65499999999997</v>
          </cell>
          <cell r="L12">
            <v>0.4</v>
          </cell>
          <cell r="M12">
            <v>2003</v>
          </cell>
          <cell r="N12" t="e">
            <v>#REF!</v>
          </cell>
          <cell r="O12">
            <v>0.93360947131596406</v>
          </cell>
          <cell r="P12">
            <v>6</v>
          </cell>
          <cell r="Q12">
            <v>9.4309947025751795E-2</v>
          </cell>
          <cell r="R12">
            <v>9.2499999999999999E-2</v>
          </cell>
          <cell r="S12">
            <v>11</v>
          </cell>
          <cell r="T12">
            <v>0.04</v>
          </cell>
          <cell r="U12">
            <v>64909</v>
          </cell>
          <cell r="V12">
            <v>3</v>
          </cell>
          <cell r="W12">
            <v>1</v>
          </cell>
          <cell r="X12">
            <v>0</v>
          </cell>
          <cell r="Y12">
            <v>0</v>
          </cell>
          <cell r="Z12">
            <v>2</v>
          </cell>
          <cell r="AA12">
            <v>0</v>
          </cell>
          <cell r="AB12">
            <v>0</v>
          </cell>
          <cell r="AC12">
            <v>29.829090909090912</v>
          </cell>
          <cell r="AD12">
            <v>14.914545454545456</v>
          </cell>
          <cell r="AE12">
            <v>46040</v>
          </cell>
          <cell r="AF12">
            <v>0.03</v>
          </cell>
          <cell r="AG12">
            <v>0</v>
          </cell>
          <cell r="AH12">
            <v>1.0618332794532428</v>
          </cell>
          <cell r="AI12">
            <v>0.78205159250513923</v>
          </cell>
          <cell r="AJ12">
            <v>1.843884871958382</v>
          </cell>
          <cell r="AK12">
            <v>17523.271374182626</v>
          </cell>
          <cell r="AL12">
            <v>0</v>
          </cell>
          <cell r="AM12">
            <v>1.1700642197831876</v>
          </cell>
          <cell r="AN12">
            <v>0.86176484022604871</v>
          </cell>
          <cell r="AO12">
            <v>0</v>
          </cell>
          <cell r="AP12">
            <v>73250.597999999998</v>
          </cell>
          <cell r="AQ12">
            <v>57485.114000000001</v>
          </cell>
          <cell r="AR12">
            <v>1.6</v>
          </cell>
          <cell r="AS12">
            <v>2</v>
          </cell>
          <cell r="AT12">
            <v>0.23400000000000001</v>
          </cell>
          <cell r="AU12">
            <v>0.36092262375</v>
          </cell>
          <cell r="AV12">
            <v>1</v>
          </cell>
          <cell r="AW12">
            <v>27866</v>
          </cell>
          <cell r="AX12">
            <v>0</v>
          </cell>
          <cell r="AY12">
            <v>0</v>
          </cell>
          <cell r="AZ12">
            <v>0</v>
          </cell>
        </row>
        <row r="13">
          <cell r="B13" t="str">
            <v>מי נתניה (נתניה)</v>
          </cell>
          <cell r="C13" t="str">
            <v xml:space="preserve">נתניה      </v>
          </cell>
          <cell r="D13" t="str">
            <v xml:space="preserve">חזק </v>
          </cell>
          <cell r="E13">
            <v>225385.25839999999</v>
          </cell>
          <cell r="F13">
            <v>133901.01200000002</v>
          </cell>
          <cell r="G13">
            <v>261540.49129999999</v>
          </cell>
          <cell r="H13">
            <v>159702.09899999999</v>
          </cell>
          <cell r="I13">
            <v>16885</v>
          </cell>
          <cell r="J13">
            <v>15080.26</v>
          </cell>
          <cell r="K13">
            <v>627.43299999999999</v>
          </cell>
          <cell r="L13">
            <v>0.55000000000000004</v>
          </cell>
          <cell r="M13">
            <v>2009</v>
          </cell>
          <cell r="N13" t="e">
            <v>#REF!</v>
          </cell>
          <cell r="O13">
            <v>1.3556969381709016</v>
          </cell>
          <cell r="P13">
            <v>6</v>
          </cell>
          <cell r="Q13">
            <v>-2.9665550707775878E-3</v>
          </cell>
          <cell r="R13">
            <v>8.5000000000000006E-2</v>
          </cell>
          <cell r="S13">
            <v>12</v>
          </cell>
          <cell r="T13">
            <v>0.04</v>
          </cell>
          <cell r="U13">
            <v>186782</v>
          </cell>
          <cell r="V13">
            <v>1</v>
          </cell>
          <cell r="W13">
            <v>1</v>
          </cell>
          <cell r="X13">
            <v>1</v>
          </cell>
          <cell r="Y13">
            <v>0</v>
          </cell>
          <cell r="Z13">
            <v>3</v>
          </cell>
          <cell r="AA13">
            <v>0</v>
          </cell>
          <cell r="AB13">
            <v>0</v>
          </cell>
          <cell r="AC13">
            <v>29.829090909090912</v>
          </cell>
          <cell r="AD13">
            <v>14.914545454545456</v>
          </cell>
          <cell r="AE13">
            <v>46040</v>
          </cell>
          <cell r="AF13">
            <v>0.03</v>
          </cell>
          <cell r="AG13">
            <v>0</v>
          </cell>
          <cell r="AH13">
            <v>1.0474134679287879</v>
          </cell>
          <cell r="AI13">
            <v>0.73999713131189582</v>
          </cell>
          <cell r="AJ13">
            <v>1.7874105992406837</v>
          </cell>
          <cell r="AK13">
            <v>26954.616563305313</v>
          </cell>
          <cell r="AL13">
            <v>0</v>
          </cell>
          <cell r="AM13">
            <v>1.144714172599768</v>
          </cell>
          <cell r="AN13">
            <v>0.80874003422065111</v>
          </cell>
          <cell r="AO13">
            <v>0.73999713131189582</v>
          </cell>
          <cell r="AP13">
            <v>128230.59600000001</v>
          </cell>
          <cell r="AQ13">
            <v>134563.84299999999</v>
          </cell>
          <cell r="AR13">
            <v>1.2</v>
          </cell>
          <cell r="AS13">
            <v>0.85</v>
          </cell>
          <cell r="AT13">
            <v>0.23400000000000001</v>
          </cell>
          <cell r="AU13">
            <v>0.36092262375</v>
          </cell>
          <cell r="AV13">
            <v>1</v>
          </cell>
          <cell r="AW13">
            <v>72160</v>
          </cell>
          <cell r="AX13">
            <v>0</v>
          </cell>
          <cell r="AY13">
            <v>1.2051563418140239E-3</v>
          </cell>
          <cell r="AZ13">
            <v>0</v>
          </cell>
        </row>
        <row r="14">
          <cell r="B14" t="str">
            <v>מי עירון</v>
          </cell>
          <cell r="C14" t="str">
            <v>אום אל-פחם ערערה כפר קרע מעלה עירון בסמ"ה באקה ג'את זמר</v>
          </cell>
          <cell r="D14" t="str">
            <v>חלש</v>
          </cell>
          <cell r="E14">
            <v>105618.2176</v>
          </cell>
          <cell r="F14">
            <v>79737.267999999996</v>
          </cell>
          <cell r="G14">
            <v>126759.69729999999</v>
          </cell>
          <cell r="H14">
            <v>108367.62400000001</v>
          </cell>
          <cell r="I14">
            <v>5625.1350000000002</v>
          </cell>
          <cell r="J14">
            <v>5275.3420000000006</v>
          </cell>
          <cell r="K14">
            <v>52.683999999999997</v>
          </cell>
          <cell r="L14">
            <v>0.4</v>
          </cell>
          <cell r="M14">
            <v>2008</v>
          </cell>
          <cell r="N14" t="e">
            <v>#REF!</v>
          </cell>
          <cell r="O14">
            <v>1.829249945481078</v>
          </cell>
          <cell r="P14">
            <v>2</v>
          </cell>
          <cell r="Q14">
            <v>7.5672119175286268E-3</v>
          </cell>
          <cell r="R14">
            <v>0.1125</v>
          </cell>
          <cell r="S14">
            <v>13</v>
          </cell>
          <cell r="T14">
            <v>0.09</v>
          </cell>
          <cell r="U14">
            <v>88424</v>
          </cell>
          <cell r="V14">
            <v>7</v>
          </cell>
          <cell r="W14">
            <v>1</v>
          </cell>
          <cell r="X14">
            <v>0</v>
          </cell>
          <cell r="Y14">
            <v>0</v>
          </cell>
          <cell r="Z14">
            <v>2</v>
          </cell>
          <cell r="AA14">
            <v>0</v>
          </cell>
          <cell r="AB14">
            <v>0</v>
          </cell>
          <cell r="AC14">
            <v>29.829090909090912</v>
          </cell>
          <cell r="AD14">
            <v>14.914545454545456</v>
          </cell>
          <cell r="AE14">
            <v>46040</v>
          </cell>
          <cell r="AF14">
            <v>0.03</v>
          </cell>
          <cell r="AG14">
            <v>0</v>
          </cell>
          <cell r="AH14">
            <v>1.2827906683466024</v>
          </cell>
          <cell r="AI14">
            <v>0.98874098587122505</v>
          </cell>
          <cell r="AJ14">
            <v>2.2715316542178274</v>
          </cell>
          <cell r="AK14">
            <v>11983.106339824784</v>
          </cell>
          <cell r="AL14">
            <v>0</v>
          </cell>
          <cell r="AM14">
            <v>1.4453979361651859</v>
          </cell>
          <cell r="AN14">
            <v>1.1140743502774368</v>
          </cell>
          <cell r="AO14">
            <v>0</v>
          </cell>
          <cell r="AP14">
            <v>69472.44</v>
          </cell>
          <cell r="AQ14">
            <v>84530.088000000003</v>
          </cell>
          <cell r="AR14">
            <v>1.6</v>
          </cell>
          <cell r="AS14">
            <v>2</v>
          </cell>
          <cell r="AT14">
            <v>0.25740000000000002</v>
          </cell>
          <cell r="AU14">
            <v>0.39701488612500002</v>
          </cell>
          <cell r="AV14">
            <v>1</v>
          </cell>
          <cell r="AW14">
            <v>20515</v>
          </cell>
          <cell r="AX14">
            <v>0</v>
          </cell>
          <cell r="AY14">
            <v>1.5880443377091529E-2</v>
          </cell>
          <cell r="AZ14">
            <v>0</v>
          </cell>
        </row>
        <row r="15">
          <cell r="B15" t="str">
            <v>מי ציונה</v>
          </cell>
          <cell r="C15" t="str">
            <v xml:space="preserve">נס ציונה קריית עקרון מזכרת בתיה    </v>
          </cell>
          <cell r="D15" t="str">
            <v>חזק מאוד</v>
          </cell>
          <cell r="E15">
            <v>71692.532800000001</v>
          </cell>
          <cell r="F15">
            <v>46875.67</v>
          </cell>
          <cell r="G15">
            <v>71794.281699999992</v>
          </cell>
          <cell r="H15">
            <v>46825.206999999995</v>
          </cell>
          <cell r="I15">
            <v>1999.348</v>
          </cell>
          <cell r="J15">
            <v>4842.8620000000001</v>
          </cell>
          <cell r="K15">
            <v>353.74299999999999</v>
          </cell>
          <cell r="L15">
            <v>0.4</v>
          </cell>
          <cell r="M15">
            <v>2008</v>
          </cell>
          <cell r="N15" t="e">
            <v>#REF!</v>
          </cell>
          <cell r="O15">
            <v>1.600153315387477</v>
          </cell>
          <cell r="P15">
            <v>7</v>
          </cell>
          <cell r="Q15">
            <v>7.5672119175286268E-3</v>
          </cell>
          <cell r="R15">
            <v>0.08</v>
          </cell>
          <cell r="S15">
            <v>14</v>
          </cell>
          <cell r="T15">
            <v>0.02</v>
          </cell>
          <cell r="U15">
            <v>39144</v>
          </cell>
          <cell r="V15">
            <v>3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0</v>
          </cell>
          <cell r="AB15">
            <v>0</v>
          </cell>
          <cell r="AC15">
            <v>29.829090909090912</v>
          </cell>
          <cell r="AD15">
            <v>14.914545454545456</v>
          </cell>
          <cell r="AE15">
            <v>46040</v>
          </cell>
          <cell r="AF15">
            <v>0.03</v>
          </cell>
          <cell r="AG15">
            <v>0</v>
          </cell>
          <cell r="AH15">
            <v>1.0351093395747584</v>
          </cell>
          <cell r="AI15">
            <v>0.75983087353923828</v>
          </cell>
          <cell r="AJ15">
            <v>1.7949402131139967</v>
          </cell>
          <cell r="AK15">
            <v>8692.647750361677</v>
          </cell>
          <cell r="AL15">
            <v>0</v>
          </cell>
          <cell r="AM15">
            <v>1.1251188473638678</v>
          </cell>
          <cell r="AN15">
            <v>0.8259031234122155</v>
          </cell>
          <cell r="AO15">
            <v>0</v>
          </cell>
          <cell r="AP15">
            <v>48461.557000000001</v>
          </cell>
          <cell r="AQ15">
            <v>49363.417999999998</v>
          </cell>
          <cell r="AR15">
            <v>1.6</v>
          </cell>
          <cell r="AS15">
            <v>2</v>
          </cell>
          <cell r="AT15">
            <v>0.21272727272727271</v>
          </cell>
          <cell r="AU15">
            <v>0.3281114761363636</v>
          </cell>
          <cell r="AV15">
            <v>1</v>
          </cell>
          <cell r="AW15">
            <v>12738</v>
          </cell>
          <cell r="AX15">
            <v>0</v>
          </cell>
          <cell r="AY15">
            <v>2.0036655217756738E-3</v>
          </cell>
          <cell r="AZ15">
            <v>0</v>
          </cell>
        </row>
        <row r="16">
          <cell r="B16" t="str">
            <v>מי רקת</v>
          </cell>
          <cell r="C16" t="str">
            <v xml:space="preserve">טבריה מגדל יבניאל כפר כמא   </v>
          </cell>
          <cell r="D16" t="str">
            <v>חלש</v>
          </cell>
          <cell r="E16">
            <v>143955.75880000001</v>
          </cell>
          <cell r="F16">
            <v>77667.17300000001</v>
          </cell>
          <cell r="G16">
            <v>107166.4077</v>
          </cell>
          <cell r="H16">
            <v>55236.301999999996</v>
          </cell>
          <cell r="I16">
            <v>670.64700000000005</v>
          </cell>
          <cell r="J16">
            <v>4826.299</v>
          </cell>
          <cell r="K16">
            <v>207.61500000000001</v>
          </cell>
          <cell r="L16">
            <v>0.4</v>
          </cell>
          <cell r="M16">
            <v>2008</v>
          </cell>
          <cell r="N16" t="e">
            <v>#REF!</v>
          </cell>
          <cell r="O16">
            <v>0.85149992206193525</v>
          </cell>
          <cell r="P16">
            <v>4</v>
          </cell>
          <cell r="Q16">
            <v>7.5672119175286268E-3</v>
          </cell>
          <cell r="R16">
            <v>0.1125</v>
          </cell>
          <cell r="S16">
            <v>15</v>
          </cell>
          <cell r="T16">
            <v>0.09</v>
          </cell>
          <cell r="U16">
            <v>43192</v>
          </cell>
          <cell r="V16">
            <v>4</v>
          </cell>
          <cell r="W16">
            <v>0</v>
          </cell>
          <cell r="X16">
            <v>0</v>
          </cell>
          <cell r="Y16">
            <v>0</v>
          </cell>
          <cell r="Z16">
            <v>1</v>
          </cell>
          <cell r="AA16">
            <v>0</v>
          </cell>
          <cell r="AB16">
            <v>0</v>
          </cell>
          <cell r="AC16">
            <v>29.829090909090912</v>
          </cell>
          <cell r="AD16">
            <v>14.914545454545456</v>
          </cell>
          <cell r="AE16">
            <v>46040</v>
          </cell>
          <cell r="AF16">
            <v>0.03</v>
          </cell>
          <cell r="AG16">
            <v>0</v>
          </cell>
          <cell r="AH16">
            <v>1.1651832660713266</v>
          </cell>
          <cell r="AI16">
            <v>0.87306419700857518</v>
          </cell>
          <cell r="AJ16">
            <v>2.0382474630799017</v>
          </cell>
          <cell r="AK16">
            <v>9837.1916928150658</v>
          </cell>
          <cell r="AL16">
            <v>0</v>
          </cell>
          <cell r="AM16">
            <v>1.3128825533198047</v>
          </cell>
          <cell r="AN16">
            <v>0.98373430648853544</v>
          </cell>
          <cell r="AO16">
            <v>0</v>
          </cell>
          <cell r="AP16">
            <v>63011.004999999997</v>
          </cell>
          <cell r="AQ16">
            <v>40427.741999999998</v>
          </cell>
          <cell r="AR16">
            <v>1.6</v>
          </cell>
          <cell r="AS16">
            <v>2</v>
          </cell>
          <cell r="AT16">
            <v>0.25740000000000002</v>
          </cell>
          <cell r="AU16">
            <v>0.39701488612500002</v>
          </cell>
          <cell r="AV16">
            <v>1</v>
          </cell>
          <cell r="AW16">
            <v>18144</v>
          </cell>
          <cell r="AX16">
            <v>0</v>
          </cell>
          <cell r="AY16">
            <v>4.2768109446595162E-4</v>
          </cell>
          <cell r="AZ16">
            <v>0</v>
          </cell>
        </row>
        <row r="17">
          <cell r="B17" t="str">
            <v>מי שבע</v>
          </cell>
          <cell r="C17" t="str">
            <v xml:space="preserve">באר שבע אופקים     </v>
          </cell>
          <cell r="D17" t="str">
            <v>בינוני</v>
          </cell>
          <cell r="E17">
            <v>266980.85769999993</v>
          </cell>
          <cell r="F17">
            <v>98683.078999999998</v>
          </cell>
          <cell r="G17">
            <v>360948.24770000001</v>
          </cell>
          <cell r="H17">
            <v>149049.86000000002</v>
          </cell>
          <cell r="I17">
            <v>42698.936999999998</v>
          </cell>
          <cell r="J17">
            <v>20153.915000000001</v>
          </cell>
          <cell r="K17">
            <v>1224.268</v>
          </cell>
          <cell r="L17">
            <v>0.4</v>
          </cell>
          <cell r="M17">
            <v>2008</v>
          </cell>
          <cell r="N17" t="e">
            <v>#REF!</v>
          </cell>
          <cell r="O17">
            <v>1.2120543716741157</v>
          </cell>
          <cell r="P17">
            <v>5</v>
          </cell>
          <cell r="Q17">
            <v>7.5672119175286268E-3</v>
          </cell>
          <cell r="R17">
            <v>9.2499999999999999E-2</v>
          </cell>
          <cell r="S17">
            <v>16</v>
          </cell>
          <cell r="T17">
            <v>0.04</v>
          </cell>
          <cell r="U17">
            <v>219362</v>
          </cell>
          <cell r="V17">
            <v>2</v>
          </cell>
          <cell r="W17">
            <v>1</v>
          </cell>
          <cell r="X17">
            <v>1</v>
          </cell>
          <cell r="Y17">
            <v>1</v>
          </cell>
          <cell r="Z17">
            <v>4</v>
          </cell>
          <cell r="AA17">
            <v>0</v>
          </cell>
          <cell r="AB17">
            <v>0</v>
          </cell>
          <cell r="AC17">
            <v>29.829090909090912</v>
          </cell>
          <cell r="AD17">
            <v>14.914545454545456</v>
          </cell>
          <cell r="AE17">
            <v>46040</v>
          </cell>
          <cell r="AF17">
            <v>0.03</v>
          </cell>
          <cell r="AG17">
            <v>0</v>
          </cell>
          <cell r="AH17">
            <v>1.0629231924320586</v>
          </cell>
          <cell r="AI17">
            <v>0.76389420340216541</v>
          </cell>
          <cell r="AJ17">
            <v>1.826817395834224</v>
          </cell>
          <cell r="AK17">
            <v>36817.522516164303</v>
          </cell>
          <cell r="AL17">
            <v>0</v>
          </cell>
          <cell r="AM17">
            <v>1.1712652258204503</v>
          </cell>
          <cell r="AN17">
            <v>0.84175669796381869</v>
          </cell>
          <cell r="AO17">
            <v>0</v>
          </cell>
          <cell r="AP17">
            <v>114210.69500000001</v>
          </cell>
          <cell r="AQ17">
            <v>170640.55600000001</v>
          </cell>
          <cell r="AR17">
            <v>1.6</v>
          </cell>
          <cell r="AS17">
            <v>2</v>
          </cell>
          <cell r="AT17">
            <v>0.23400000000000001</v>
          </cell>
          <cell r="AU17">
            <v>0.36092262375</v>
          </cell>
          <cell r="AV17">
            <v>1</v>
          </cell>
          <cell r="AW17">
            <v>85104</v>
          </cell>
          <cell r="AX17">
            <v>0</v>
          </cell>
          <cell r="AY17">
            <v>2.7934173004543063E-3</v>
          </cell>
          <cell r="AZ17">
            <v>0</v>
          </cell>
        </row>
        <row r="18">
          <cell r="B18" t="str">
            <v>מי שקמה</v>
          </cell>
          <cell r="C18" t="str">
            <v xml:space="preserve">חולון אזור בית דגן אור יהודה   </v>
          </cell>
          <cell r="D18" t="str">
            <v xml:space="preserve">חזק </v>
          </cell>
          <cell r="E18">
            <v>149674.70860000001</v>
          </cell>
          <cell r="F18">
            <v>84944.217999999993</v>
          </cell>
          <cell r="G18">
            <v>176498.01147234562</v>
          </cell>
          <cell r="H18">
            <v>59525.936272345622</v>
          </cell>
          <cell r="I18">
            <v>62353.892999999996</v>
          </cell>
          <cell r="J18">
            <v>17961.762999999999</v>
          </cell>
          <cell r="K18">
            <v>1706.0340000000001</v>
          </cell>
          <cell r="L18">
            <v>0.4</v>
          </cell>
          <cell r="M18">
            <v>2008</v>
          </cell>
          <cell r="N18" t="e">
            <v>#REF!</v>
          </cell>
          <cell r="O18">
            <v>2.5562150955000003</v>
          </cell>
          <cell r="P18">
            <v>6</v>
          </cell>
          <cell r="Q18">
            <v>7.5672119175286268E-3</v>
          </cell>
          <cell r="R18">
            <v>8.5000000000000006E-2</v>
          </cell>
          <cell r="S18">
            <v>17</v>
          </cell>
          <cell r="T18">
            <v>0.04</v>
          </cell>
          <cell r="U18">
            <v>192714</v>
          </cell>
          <cell r="V18">
            <v>4</v>
          </cell>
          <cell r="W18">
            <v>1</v>
          </cell>
          <cell r="X18">
            <v>1</v>
          </cell>
          <cell r="Y18">
            <v>0</v>
          </cell>
          <cell r="Z18">
            <v>3</v>
          </cell>
          <cell r="AA18">
            <v>0</v>
          </cell>
          <cell r="AB18">
            <v>0</v>
          </cell>
          <cell r="AC18">
            <v>29.829090909090912</v>
          </cell>
          <cell r="AD18">
            <v>14.914545454545456</v>
          </cell>
          <cell r="AE18">
            <v>46040</v>
          </cell>
          <cell r="AF18">
            <v>0.03</v>
          </cell>
          <cell r="AG18">
            <v>0</v>
          </cell>
          <cell r="AH18">
            <v>1.1238923923832276</v>
          </cell>
          <cell r="AI18">
            <v>0.78708142770155265</v>
          </cell>
          <cell r="AJ18">
            <v>1.9109738200847803</v>
          </cell>
          <cell r="AK18">
            <v>34324.458855567464</v>
          </cell>
          <cell r="AL18">
            <v>0</v>
          </cell>
          <cell r="AM18">
            <v>1.2282976965936914</v>
          </cell>
          <cell r="AN18">
            <v>0.86019828164104106</v>
          </cell>
          <cell r="AO18">
            <v>0</v>
          </cell>
          <cell r="AP18">
            <v>98652.097999999998</v>
          </cell>
          <cell r="AQ18">
            <v>48314.368000000002</v>
          </cell>
          <cell r="AR18">
            <v>1.6</v>
          </cell>
          <cell r="AS18">
            <v>2</v>
          </cell>
          <cell r="AT18">
            <v>0.23400000000000001</v>
          </cell>
          <cell r="AU18">
            <v>0.36092262375</v>
          </cell>
          <cell r="AV18">
            <v>0</v>
          </cell>
          <cell r="AW18">
            <v>73176</v>
          </cell>
          <cell r="AX18">
            <v>0</v>
          </cell>
          <cell r="AY18">
            <v>9.4540356364009276E-4</v>
          </cell>
          <cell r="AZ18">
            <v>0</v>
          </cell>
        </row>
        <row r="19">
          <cell r="B19" t="str">
            <v>מיתב (פתח תקווה)</v>
          </cell>
          <cell r="C19" t="str">
            <v xml:space="preserve">פתח תקוה  אלעד כפר ברא    </v>
          </cell>
          <cell r="D19" t="str">
            <v>בינוני</v>
          </cell>
          <cell r="E19">
            <v>294979.0981</v>
          </cell>
          <cell r="F19">
            <v>127412.89895754914</v>
          </cell>
          <cell r="G19">
            <v>249660.48060993376</v>
          </cell>
          <cell r="H19">
            <v>88565.328048741765</v>
          </cell>
          <cell r="I19">
            <v>26132.474999999999</v>
          </cell>
          <cell r="J19">
            <v>17933.925999999999</v>
          </cell>
          <cell r="K19">
            <v>577.18399999999997</v>
          </cell>
          <cell r="L19">
            <v>0.31259578257918458</v>
          </cell>
          <cell r="M19">
            <v>2009</v>
          </cell>
          <cell r="N19" t="e">
            <v>#REF!</v>
          </cell>
          <cell r="O19">
            <v>2.5090502207010661</v>
          </cell>
          <cell r="P19">
            <v>6</v>
          </cell>
          <cell r="Q19">
            <v>-2.9665550707775878E-3</v>
          </cell>
          <cell r="R19">
            <v>9.2499999999999999E-2</v>
          </cell>
          <cell r="S19">
            <v>18</v>
          </cell>
          <cell r="T19">
            <v>0.04</v>
          </cell>
          <cell r="U19">
            <v>252448</v>
          </cell>
          <cell r="V19">
            <v>3</v>
          </cell>
          <cell r="W19">
            <v>1</v>
          </cell>
          <cell r="X19">
            <v>1</v>
          </cell>
          <cell r="Y19">
            <v>1</v>
          </cell>
          <cell r="Z19">
            <v>4</v>
          </cell>
          <cell r="AA19">
            <v>0</v>
          </cell>
          <cell r="AB19">
            <v>0</v>
          </cell>
          <cell r="AC19">
            <v>29.829090909090912</v>
          </cell>
          <cell r="AD19">
            <v>14.914545454545456</v>
          </cell>
          <cell r="AE19">
            <v>46040</v>
          </cell>
          <cell r="AF19">
            <v>0.03</v>
          </cell>
          <cell r="AG19">
            <v>0</v>
          </cell>
          <cell r="AH19">
            <v>1.128443856715331</v>
          </cell>
          <cell r="AI19">
            <v>0.77307952710880856</v>
          </cell>
          <cell r="AJ19">
            <v>1.9015233838241397</v>
          </cell>
          <cell r="AK19">
            <v>34101.779652771715</v>
          </cell>
          <cell r="AL19">
            <v>0</v>
          </cell>
          <cell r="AM19">
            <v>1.243464304920475</v>
          </cell>
          <cell r="AN19">
            <v>0.85187826678656597</v>
          </cell>
          <cell r="AO19">
            <v>0</v>
          </cell>
          <cell r="AP19">
            <v>155168.929</v>
          </cell>
          <cell r="AQ19">
            <v>79215.255000000005</v>
          </cell>
          <cell r="AR19">
            <v>1.6</v>
          </cell>
          <cell r="AS19">
            <v>2</v>
          </cell>
          <cell r="AT19">
            <v>0.23400000000000001</v>
          </cell>
          <cell r="AU19">
            <v>0.36092262375</v>
          </cell>
          <cell r="AV19">
            <v>0</v>
          </cell>
          <cell r="AW19">
            <v>95372</v>
          </cell>
          <cell r="AX19">
            <v>0</v>
          </cell>
          <cell r="AY19">
            <v>2.1775364610918018E-3</v>
          </cell>
          <cell r="AZ19">
            <v>0</v>
          </cell>
        </row>
        <row r="20">
          <cell r="B20" t="str">
            <v>מניב ראשון (ראשון)</v>
          </cell>
          <cell r="C20" t="str">
            <v xml:space="preserve">ראשון לציון      </v>
          </cell>
          <cell r="D20" t="str">
            <v>חזק מאוד</v>
          </cell>
          <cell r="E20">
            <v>386846.0318</v>
          </cell>
          <cell r="F20">
            <v>213408.09260764622</v>
          </cell>
          <cell r="G20">
            <v>281361.24859999999</v>
          </cell>
          <cell r="H20">
            <v>196544.80738891952</v>
          </cell>
          <cell r="I20">
            <v>24083.142</v>
          </cell>
          <cell r="J20">
            <v>18536.931</v>
          </cell>
          <cell r="K20">
            <v>1023.2089999999999</v>
          </cell>
          <cell r="L20">
            <v>0.5</v>
          </cell>
          <cell r="M20">
            <v>2003</v>
          </cell>
          <cell r="N20" t="e">
            <v>#REF!</v>
          </cell>
          <cell r="O20">
            <v>0.86631468000000011</v>
          </cell>
          <cell r="P20">
            <v>7</v>
          </cell>
          <cell r="Q20">
            <v>9.4309947025751795E-2</v>
          </cell>
          <cell r="R20">
            <v>0.08</v>
          </cell>
          <cell r="S20">
            <v>19</v>
          </cell>
          <cell r="T20">
            <v>0.02</v>
          </cell>
          <cell r="U20">
            <v>231045</v>
          </cell>
          <cell r="V20">
            <v>1</v>
          </cell>
          <cell r="W20">
            <v>1</v>
          </cell>
          <cell r="X20">
            <v>1</v>
          </cell>
          <cell r="Y20">
            <v>1</v>
          </cell>
          <cell r="Z20">
            <v>4</v>
          </cell>
          <cell r="AA20">
            <v>0</v>
          </cell>
          <cell r="AB20">
            <v>0</v>
          </cell>
          <cell r="AC20">
            <v>29.829090909090912</v>
          </cell>
          <cell r="AD20">
            <v>14.914545454545456</v>
          </cell>
          <cell r="AE20">
            <v>46040</v>
          </cell>
          <cell r="AF20">
            <v>0.03</v>
          </cell>
          <cell r="AG20">
            <v>0</v>
          </cell>
          <cell r="AH20">
            <v>1.005748366715669</v>
          </cell>
          <cell r="AI20">
            <v>0.70564361198374548</v>
          </cell>
          <cell r="AJ20">
            <v>1.7113919786994145</v>
          </cell>
          <cell r="AK20">
            <v>31723.955023104518</v>
          </cell>
          <cell r="AL20">
            <v>0</v>
          </cell>
          <cell r="AM20">
            <v>1.0932047464300749</v>
          </cell>
          <cell r="AN20">
            <v>0.76700392606928858</v>
          </cell>
          <cell r="AO20">
            <v>0.70564361198374548</v>
          </cell>
          <cell r="AP20">
            <v>171278.478</v>
          </cell>
          <cell r="AQ20">
            <v>147487.68299999999</v>
          </cell>
          <cell r="AR20">
            <v>1.2</v>
          </cell>
          <cell r="AS20">
            <v>0.85</v>
          </cell>
          <cell r="AT20">
            <v>0.21272727272727271</v>
          </cell>
          <cell r="AU20">
            <v>0.3281114761363636</v>
          </cell>
          <cell r="AV20">
            <v>1</v>
          </cell>
          <cell r="AW20">
            <v>79613</v>
          </cell>
          <cell r="AX20">
            <v>0</v>
          </cell>
          <cell r="AY20">
            <v>1.145370504133836E-3</v>
          </cell>
          <cell r="AZ20">
            <v>0</v>
          </cell>
        </row>
        <row r="21">
          <cell r="B21" t="str">
            <v>עין נטפים (אילת)</v>
          </cell>
          <cell r="C21" t="str">
            <v xml:space="preserve">אילת       </v>
          </cell>
          <cell r="D21" t="str">
            <v xml:space="preserve">חזק </v>
          </cell>
          <cell r="E21">
            <v>82197.87999999999</v>
          </cell>
          <cell r="F21">
            <v>58211.333999999995</v>
          </cell>
          <cell r="G21">
            <v>146970.394</v>
          </cell>
          <cell r="H21">
            <v>71140.187000000005</v>
          </cell>
          <cell r="I21">
            <v>17756.685000000001</v>
          </cell>
          <cell r="J21">
            <v>11194.928</v>
          </cell>
          <cell r="K21">
            <v>1029.626</v>
          </cell>
          <cell r="L21">
            <v>0.4</v>
          </cell>
          <cell r="M21">
            <v>2005</v>
          </cell>
          <cell r="N21" t="e">
            <v>#REF!</v>
          </cell>
          <cell r="O21">
            <v>1.5292962634382665</v>
          </cell>
          <cell r="P21">
            <v>5</v>
          </cell>
          <cell r="Q21">
            <v>7.79004595139281E-2</v>
          </cell>
          <cell r="R21">
            <v>8.5000000000000006E-2</v>
          </cell>
          <cell r="S21">
            <v>20</v>
          </cell>
          <cell r="T21">
            <v>0.04</v>
          </cell>
          <cell r="U21">
            <v>47826</v>
          </cell>
          <cell r="V21">
            <v>1</v>
          </cell>
          <cell r="W21">
            <v>0</v>
          </cell>
          <cell r="X21">
            <v>0</v>
          </cell>
          <cell r="Y21">
            <v>0</v>
          </cell>
          <cell r="Z21">
            <v>1</v>
          </cell>
          <cell r="AA21">
            <v>0</v>
          </cell>
          <cell r="AB21">
            <v>0</v>
          </cell>
          <cell r="AC21">
            <v>29.829090909090912</v>
          </cell>
          <cell r="AD21">
            <v>14.914545454545456</v>
          </cell>
          <cell r="AE21">
            <v>46040</v>
          </cell>
          <cell r="AF21">
            <v>0.03</v>
          </cell>
          <cell r="AG21">
            <v>0</v>
          </cell>
          <cell r="AH21">
            <v>0.96058097179446678</v>
          </cell>
          <cell r="AI21">
            <v>0.69658088324473511</v>
          </cell>
          <cell r="AJ21">
            <v>1.657161855039202</v>
          </cell>
          <cell r="AK21">
            <v>18551.807651510302</v>
          </cell>
          <cell r="AL21">
            <v>0</v>
          </cell>
          <cell r="AM21">
            <v>1.0498152697207286</v>
          </cell>
          <cell r="AN21">
            <v>0.76129058278113126</v>
          </cell>
          <cell r="AO21">
            <v>0.69658088324473511</v>
          </cell>
          <cell r="AP21">
            <v>58288.302000000003</v>
          </cell>
          <cell r="AQ21">
            <v>47257.506999999998</v>
          </cell>
          <cell r="AR21">
            <v>1.2</v>
          </cell>
          <cell r="AS21">
            <v>0.85</v>
          </cell>
          <cell r="AT21">
            <v>0.23400000000000001</v>
          </cell>
          <cell r="AU21">
            <v>0.36092262375</v>
          </cell>
          <cell r="AV21">
            <v>1</v>
          </cell>
          <cell r="AW21">
            <v>20980</v>
          </cell>
          <cell r="AX21">
            <v>0</v>
          </cell>
          <cell r="AY21">
            <v>9.6098979135234817E-3</v>
          </cell>
          <cell r="AZ21">
            <v>0</v>
          </cell>
        </row>
        <row r="22">
          <cell r="B22" t="str">
            <v>פלג הגליל</v>
          </cell>
          <cell r="C22" t="str">
            <v>צפת חצור הגלילית טובא-זנגרייה גוש חלב יסוד המעלה פקיעין חורפישפסוטה מגארראמה סאג'ורעילבון בית ג'אן</v>
          </cell>
          <cell r="D22" t="str">
            <v>חלש</v>
          </cell>
          <cell r="E22">
            <v>124051.06009999999</v>
          </cell>
          <cell r="F22">
            <v>69543.009999999995</v>
          </cell>
          <cell r="G22">
            <v>147660.3713</v>
          </cell>
          <cell r="H22">
            <v>95334.305999999997</v>
          </cell>
          <cell r="I22">
            <v>13539.29</v>
          </cell>
          <cell r="J22">
            <v>8624.5479999999989</v>
          </cell>
          <cell r="K22">
            <v>135.92699999999999</v>
          </cell>
          <cell r="L22">
            <v>0.4</v>
          </cell>
          <cell r="M22">
            <v>2008</v>
          </cell>
          <cell r="N22" t="e">
            <v>#REF!</v>
          </cell>
          <cell r="O22">
            <v>1.4456171432015661</v>
          </cell>
          <cell r="P22">
            <v>4</v>
          </cell>
          <cell r="Q22">
            <v>7.5672119175286268E-3</v>
          </cell>
          <cell r="R22">
            <v>0.1125</v>
          </cell>
          <cell r="S22">
            <v>21</v>
          </cell>
          <cell r="T22">
            <v>0.09</v>
          </cell>
          <cell r="U22">
            <v>95087</v>
          </cell>
          <cell r="V22">
            <v>13</v>
          </cell>
          <cell r="W22">
            <v>1</v>
          </cell>
          <cell r="X22">
            <v>0</v>
          </cell>
          <cell r="Y22">
            <v>0</v>
          </cell>
          <cell r="Z22">
            <v>2</v>
          </cell>
          <cell r="AA22">
            <v>0</v>
          </cell>
          <cell r="AB22">
            <v>0</v>
          </cell>
          <cell r="AC22">
            <v>29.829090909090912</v>
          </cell>
          <cell r="AD22">
            <v>14.914545454545456</v>
          </cell>
          <cell r="AE22">
            <v>46040</v>
          </cell>
          <cell r="AF22">
            <v>0.03</v>
          </cell>
          <cell r="AG22">
            <v>0</v>
          </cell>
          <cell r="AH22">
            <v>1.4946644803212585</v>
          </cell>
          <cell r="AI22">
            <v>1.1905252077205579</v>
          </cell>
          <cell r="AJ22">
            <v>2.6851896880418167</v>
          </cell>
          <cell r="AK22">
            <v>23158.54735362167</v>
          </cell>
          <cell r="AL22">
            <v>0</v>
          </cell>
          <cell r="AM22">
            <v>1.6841289919112774</v>
          </cell>
          <cell r="AN22">
            <v>1.3414368537696428</v>
          </cell>
          <cell r="AO22">
            <v>0</v>
          </cell>
          <cell r="AP22">
            <v>67101.509999999995</v>
          </cell>
          <cell r="AQ22">
            <v>101752.298</v>
          </cell>
          <cell r="AR22">
            <v>1.6</v>
          </cell>
          <cell r="AS22">
            <v>2</v>
          </cell>
          <cell r="AT22">
            <v>0.25740000000000002</v>
          </cell>
          <cell r="AU22">
            <v>0.39701488612500002</v>
          </cell>
          <cell r="AV22">
            <v>1</v>
          </cell>
          <cell r="AW22">
            <v>39374</v>
          </cell>
          <cell r="AX22">
            <v>0</v>
          </cell>
          <cell r="AY22">
            <v>6.1744861883278783E-3</v>
          </cell>
          <cell r="AZ22">
            <v>0</v>
          </cell>
        </row>
        <row r="23">
          <cell r="B23" t="str">
            <v>תמ"ר רמלה</v>
          </cell>
          <cell r="C23" t="str">
            <v xml:space="preserve">רמלה      </v>
          </cell>
          <cell r="D23" t="str">
            <v>חלש</v>
          </cell>
          <cell r="E23">
            <v>45749.165199999996</v>
          </cell>
          <cell r="F23">
            <v>22617.687999999995</v>
          </cell>
          <cell r="G23">
            <v>50934.145400000001</v>
          </cell>
          <cell r="H23">
            <v>16321.843000000001</v>
          </cell>
          <cell r="I23">
            <v>12954.3</v>
          </cell>
          <cell r="J23">
            <v>4755.5150000000003</v>
          </cell>
          <cell r="K23">
            <v>160.81100000000001</v>
          </cell>
          <cell r="L23">
            <v>0.3</v>
          </cell>
          <cell r="M23">
            <v>2008</v>
          </cell>
          <cell r="N23" t="e">
            <v>#REF!</v>
          </cell>
          <cell r="O23">
            <v>1.2120543716741157</v>
          </cell>
          <cell r="P23">
            <v>4</v>
          </cell>
          <cell r="Q23">
            <v>7.5672119175286268E-3</v>
          </cell>
          <cell r="R23">
            <v>0.1125</v>
          </cell>
          <cell r="S23">
            <v>22</v>
          </cell>
          <cell r="T23">
            <v>0.09</v>
          </cell>
          <cell r="U23">
            <v>66160</v>
          </cell>
          <cell r="V23">
            <v>1</v>
          </cell>
          <cell r="W23">
            <v>1</v>
          </cell>
          <cell r="X23">
            <v>0</v>
          </cell>
          <cell r="Y23">
            <v>0</v>
          </cell>
          <cell r="Z23">
            <v>2</v>
          </cell>
          <cell r="AA23">
            <v>0</v>
          </cell>
          <cell r="AB23">
            <v>0</v>
          </cell>
          <cell r="AC23">
            <v>29.829090909090912</v>
          </cell>
          <cell r="AD23">
            <v>14.914545454545456</v>
          </cell>
          <cell r="AE23">
            <v>46040</v>
          </cell>
          <cell r="AF23">
            <v>0.03</v>
          </cell>
          <cell r="AG23">
            <v>0</v>
          </cell>
          <cell r="AH23">
            <v>1.0629182009716509</v>
          </cell>
          <cell r="AI23">
            <v>0.76262256342707724</v>
          </cell>
          <cell r="AJ23">
            <v>1.825540764398728</v>
          </cell>
          <cell r="AK23">
            <v>8681.3864882096186</v>
          </cell>
          <cell r="AL23">
            <v>0</v>
          </cell>
          <cell r="AM23">
            <v>1.197654310953973</v>
          </cell>
          <cell r="AN23">
            <v>0.85929302921360817</v>
          </cell>
          <cell r="AO23">
            <v>0.76262256342707724</v>
          </cell>
          <cell r="AP23">
            <v>25983.191999999999</v>
          </cell>
          <cell r="AQ23">
            <v>22027.467000000001</v>
          </cell>
          <cell r="AR23">
            <v>1.2</v>
          </cell>
          <cell r="AS23">
            <v>0.85</v>
          </cell>
          <cell r="AT23">
            <v>0.25740000000000002</v>
          </cell>
          <cell r="AU23">
            <v>0.39701488612500002</v>
          </cell>
          <cell r="AV23">
            <v>1</v>
          </cell>
          <cell r="AW23">
            <v>20485</v>
          </cell>
          <cell r="AX23">
            <v>0</v>
          </cell>
          <cell r="AY23">
            <v>0</v>
          </cell>
          <cell r="AZ23">
            <v>0</v>
          </cell>
        </row>
        <row r="24">
          <cell r="B24" t="str">
            <v>מי מודיעין (מודיעין)</v>
          </cell>
          <cell r="C24" t="str">
            <v xml:space="preserve">מודיעין-מכבים-רעות      </v>
          </cell>
          <cell r="D24" t="str">
            <v>חזק מאוד</v>
          </cell>
          <cell r="E24">
            <v>107043.81989999999</v>
          </cell>
          <cell r="F24">
            <v>77111.579708143821</v>
          </cell>
          <cell r="G24">
            <v>113669.6887</v>
          </cell>
          <cell r="H24">
            <v>76631.259999999995</v>
          </cell>
          <cell r="I24">
            <v>15517.846</v>
          </cell>
          <cell r="J24">
            <v>5628.9759999999997</v>
          </cell>
          <cell r="K24">
            <v>502.43900000000002</v>
          </cell>
          <cell r="L24">
            <v>0.3</v>
          </cell>
          <cell r="M24">
            <v>2005</v>
          </cell>
          <cell r="N24" t="e">
            <v>#REF!</v>
          </cell>
          <cell r="O24">
            <v>1.2120543716741157</v>
          </cell>
          <cell r="P24">
            <v>8</v>
          </cell>
          <cell r="Q24">
            <v>7.79004595139281E-2</v>
          </cell>
          <cell r="R24">
            <v>0.08</v>
          </cell>
          <cell r="S24">
            <v>23</v>
          </cell>
          <cell r="T24">
            <v>0.02</v>
          </cell>
          <cell r="U24">
            <v>76466</v>
          </cell>
          <cell r="V24">
            <v>1</v>
          </cell>
          <cell r="W24">
            <v>1</v>
          </cell>
          <cell r="X24">
            <v>0</v>
          </cell>
          <cell r="Y24">
            <v>0</v>
          </cell>
          <cell r="Z24">
            <v>2</v>
          </cell>
          <cell r="AA24">
            <v>0</v>
          </cell>
          <cell r="AB24">
            <v>0</v>
          </cell>
          <cell r="AC24">
            <v>29.829090909090912</v>
          </cell>
          <cell r="AD24">
            <v>14.914545454545456</v>
          </cell>
          <cell r="AE24">
            <v>46040</v>
          </cell>
          <cell r="AF24">
            <v>0.03</v>
          </cell>
          <cell r="AG24">
            <v>0</v>
          </cell>
          <cell r="AH24">
            <v>0.99787637351209679</v>
          </cell>
          <cell r="AI24">
            <v>0.70170761538195925</v>
          </cell>
          <cell r="AJ24">
            <v>1.699583988894056</v>
          </cell>
          <cell r="AK24">
            <v>9566.9174834689074</v>
          </cell>
          <cell r="AL24">
            <v>0</v>
          </cell>
          <cell r="AM24">
            <v>1.0846482320783661</v>
          </cell>
          <cell r="AN24">
            <v>0.76272566889343396</v>
          </cell>
          <cell r="AO24">
            <v>0.70170761538195925</v>
          </cell>
          <cell r="AP24">
            <v>82392.178</v>
          </cell>
          <cell r="AQ24">
            <v>83146.259999999995</v>
          </cell>
          <cell r="AR24">
            <v>1.2</v>
          </cell>
          <cell r="AS24">
            <v>0.85</v>
          </cell>
          <cell r="AT24">
            <v>0.21272727272727271</v>
          </cell>
          <cell r="AU24">
            <v>0.3281114761363636</v>
          </cell>
          <cell r="AV24">
            <v>1</v>
          </cell>
          <cell r="AW24">
            <v>22690</v>
          </cell>
          <cell r="AX24">
            <v>0</v>
          </cell>
          <cell r="AY24">
            <v>0</v>
          </cell>
          <cell r="AZ24">
            <v>0</v>
          </cell>
        </row>
        <row r="25">
          <cell r="B25" t="str">
            <v>מעלות</v>
          </cell>
          <cell r="C25" t="str">
            <v xml:space="preserve">מעלות-תרשיחא שלומי כפר ורדים כסרא-סמיע   </v>
          </cell>
          <cell r="D25" t="str">
            <v>חלש</v>
          </cell>
          <cell r="E25">
            <v>59669.766700000007</v>
          </cell>
          <cell r="F25">
            <v>35430.512000000002</v>
          </cell>
          <cell r="G25">
            <v>93521.956200000001</v>
          </cell>
          <cell r="H25">
            <v>61353.048999999999</v>
          </cell>
          <cell r="I25">
            <v>9121.2029999999995</v>
          </cell>
          <cell r="J25">
            <v>3401.0279999999998</v>
          </cell>
          <cell r="K25">
            <v>177.81</v>
          </cell>
          <cell r="L25">
            <v>0.4</v>
          </cell>
          <cell r="M25">
            <v>2008</v>
          </cell>
          <cell r="N25" t="e">
            <v>#REF!</v>
          </cell>
          <cell r="O25">
            <v>1.6019637524848713</v>
          </cell>
          <cell r="P25">
            <v>4</v>
          </cell>
          <cell r="Q25">
            <v>7.5672119175286268E-3</v>
          </cell>
          <cell r="R25">
            <v>0.1125</v>
          </cell>
          <cell r="S25">
            <v>24</v>
          </cell>
          <cell r="T25">
            <v>0.09</v>
          </cell>
          <cell r="U25">
            <v>40075</v>
          </cell>
          <cell r="V25">
            <v>4</v>
          </cell>
          <cell r="W25">
            <v>0</v>
          </cell>
          <cell r="X25">
            <v>0</v>
          </cell>
          <cell r="Y25">
            <v>0</v>
          </cell>
          <cell r="Z25">
            <v>1</v>
          </cell>
          <cell r="AA25">
            <v>0</v>
          </cell>
          <cell r="AB25">
            <v>0</v>
          </cell>
          <cell r="AC25">
            <v>29.829090909090912</v>
          </cell>
          <cell r="AD25">
            <v>14.914545454545456</v>
          </cell>
          <cell r="AE25">
            <v>46040</v>
          </cell>
          <cell r="AF25">
            <v>0.03</v>
          </cell>
          <cell r="AG25">
            <v>0</v>
          </cell>
          <cell r="AH25">
            <v>1.1694333321623982</v>
          </cell>
          <cell r="AI25">
            <v>0.88118575426281942</v>
          </cell>
          <cell r="AJ25">
            <v>2.0506190864252174</v>
          </cell>
          <cell r="AK25">
            <v>6974.2129302665835</v>
          </cell>
          <cell r="AL25">
            <v>0</v>
          </cell>
          <cell r="AM25">
            <v>1.3176713601829839</v>
          </cell>
          <cell r="AN25">
            <v>0.99288535691585289</v>
          </cell>
          <cell r="AO25">
            <v>0</v>
          </cell>
          <cell r="AP25">
            <v>40072.712</v>
          </cell>
          <cell r="AQ25">
            <v>68283.048999999999</v>
          </cell>
          <cell r="AR25">
            <v>1.6</v>
          </cell>
          <cell r="AS25">
            <v>2</v>
          </cell>
          <cell r="AT25">
            <v>0.25740000000000002</v>
          </cell>
          <cell r="AU25">
            <v>0.39701488612500002</v>
          </cell>
          <cell r="AV25">
            <v>1</v>
          </cell>
          <cell r="AW25">
            <v>11903</v>
          </cell>
          <cell r="AX25">
            <v>0</v>
          </cell>
          <cell r="AY25">
            <v>3.0929950345587676E-3</v>
          </cell>
          <cell r="AZ25">
            <v>0</v>
          </cell>
        </row>
        <row r="26">
          <cell r="B26" t="str">
            <v>קריית אתא</v>
          </cell>
          <cell r="C26" t="str">
            <v xml:space="preserve">קריית אתא      </v>
          </cell>
          <cell r="D26" t="str">
            <v xml:space="preserve">חזק </v>
          </cell>
          <cell r="E26">
            <v>52724.4306</v>
          </cell>
          <cell r="F26">
            <v>25507.825140000004</v>
          </cell>
          <cell r="G26">
            <v>63477.657100000004</v>
          </cell>
          <cell r="H26">
            <v>22696.951680000002</v>
          </cell>
          <cell r="I26">
            <v>8509.6880000000001</v>
          </cell>
          <cell r="J26">
            <v>3431.1990000000001</v>
          </cell>
          <cell r="K26">
            <v>239.779</v>
          </cell>
          <cell r="L26">
            <v>0.3</v>
          </cell>
          <cell r="M26">
            <v>2008</v>
          </cell>
          <cell r="N26" t="e">
            <v>#REF!</v>
          </cell>
          <cell r="O26">
            <v>1.4897518515000001</v>
          </cell>
          <cell r="P26">
            <v>6</v>
          </cell>
          <cell r="Q26">
            <v>7.5672119175286268E-3</v>
          </cell>
          <cell r="R26">
            <v>8.5000000000000006E-2</v>
          </cell>
          <cell r="S26">
            <v>25</v>
          </cell>
          <cell r="T26">
            <v>0.04</v>
          </cell>
          <cell r="U26">
            <v>51468</v>
          </cell>
          <cell r="V26">
            <v>1</v>
          </cell>
          <cell r="W26">
            <v>0</v>
          </cell>
          <cell r="X26">
            <v>0</v>
          </cell>
          <cell r="Y26">
            <v>0</v>
          </cell>
          <cell r="Z26">
            <v>1</v>
          </cell>
          <cell r="AA26">
            <v>0</v>
          </cell>
          <cell r="AB26">
            <v>0</v>
          </cell>
          <cell r="AC26">
            <v>29.829090909090912</v>
          </cell>
          <cell r="AD26">
            <v>14.914545454545456</v>
          </cell>
          <cell r="AE26">
            <v>46040</v>
          </cell>
          <cell r="AF26">
            <v>0.03</v>
          </cell>
          <cell r="AG26">
            <v>0</v>
          </cell>
          <cell r="AH26">
            <v>1.0764540271277421</v>
          </cell>
          <cell r="AI26">
            <v>0.75451741091137292</v>
          </cell>
          <cell r="AJ26">
            <v>1.8309714380391151</v>
          </cell>
          <cell r="AK26">
            <v>6282.4273672283734</v>
          </cell>
          <cell r="AL26">
            <v>0</v>
          </cell>
          <cell r="AM26">
            <v>1.1764524886641989</v>
          </cell>
          <cell r="AN26">
            <v>0.82460919225286655</v>
          </cell>
          <cell r="AO26">
            <v>0.75451741091137292</v>
          </cell>
          <cell r="AP26">
            <v>36539.423999999999</v>
          </cell>
          <cell r="AQ26">
            <v>18204.86</v>
          </cell>
          <cell r="AR26">
            <v>1.2</v>
          </cell>
          <cell r="AS26">
            <v>0.85</v>
          </cell>
          <cell r="AT26">
            <v>0.23400000000000001</v>
          </cell>
          <cell r="AU26">
            <v>0.36092262375</v>
          </cell>
          <cell r="AV26">
            <v>1</v>
          </cell>
          <cell r="AW26">
            <v>19759</v>
          </cell>
          <cell r="AX26">
            <v>0</v>
          </cell>
          <cell r="AY26">
            <v>1.2443080918491702E-4</v>
          </cell>
          <cell r="AZ26">
            <v>0</v>
          </cell>
        </row>
        <row r="27">
          <cell r="B27" t="str">
            <v>רעננה</v>
          </cell>
          <cell r="C27" t="str">
            <v xml:space="preserve">רעננה      </v>
          </cell>
          <cell r="D27" t="str">
            <v>חזק מאוד</v>
          </cell>
          <cell r="E27">
            <v>141256.47333333333</v>
          </cell>
          <cell r="F27">
            <v>77973.284999999989</v>
          </cell>
          <cell r="G27">
            <v>108672.63333333333</v>
          </cell>
          <cell r="H27">
            <v>31045.823</v>
          </cell>
          <cell r="I27">
            <v>0</v>
          </cell>
          <cell r="J27">
            <v>6268.893</v>
          </cell>
          <cell r="K27">
            <v>429.39600000000002</v>
          </cell>
          <cell r="L27">
            <v>0.3</v>
          </cell>
          <cell r="M27">
            <v>2008</v>
          </cell>
          <cell r="N27" t="e">
            <v>#REF!</v>
          </cell>
          <cell r="O27">
            <v>1.6517460064547027</v>
          </cell>
          <cell r="P27">
            <v>8</v>
          </cell>
          <cell r="Q27">
            <v>7.5672119175286268E-3</v>
          </cell>
          <cell r="R27">
            <v>0.08</v>
          </cell>
          <cell r="S27">
            <v>26</v>
          </cell>
          <cell r="T27">
            <v>0.02</v>
          </cell>
          <cell r="U27">
            <v>68878</v>
          </cell>
          <cell r="V27">
            <v>1</v>
          </cell>
          <cell r="W27">
            <v>1</v>
          </cell>
          <cell r="X27">
            <v>0</v>
          </cell>
          <cell r="Y27">
            <v>0</v>
          </cell>
          <cell r="Z27">
            <v>2</v>
          </cell>
          <cell r="AA27">
            <v>0</v>
          </cell>
          <cell r="AB27">
            <v>0</v>
          </cell>
          <cell r="AC27">
            <v>29.829090909090912</v>
          </cell>
          <cell r="AD27">
            <v>14.914545454545456</v>
          </cell>
          <cell r="AE27">
            <v>46040</v>
          </cell>
          <cell r="AF27">
            <v>0.03</v>
          </cell>
          <cell r="AG27">
            <v>0</v>
          </cell>
          <cell r="AH27">
            <v>0.99445774766695738</v>
          </cell>
          <cell r="AI27">
            <v>0.69999830245938965</v>
          </cell>
          <cell r="AJ27">
            <v>1.694456050126347</v>
          </cell>
          <cell r="AK27">
            <v>10622.363671444706</v>
          </cell>
          <cell r="AL27">
            <v>0</v>
          </cell>
          <cell r="AM27">
            <v>1.0809323344206059</v>
          </cell>
          <cell r="AN27">
            <v>0.76086772006455394</v>
          </cell>
          <cell r="AO27">
            <v>0.69999830245938965</v>
          </cell>
          <cell r="AP27">
            <v>85636.524999999994</v>
          </cell>
          <cell r="AQ27">
            <v>42980.559000000001</v>
          </cell>
          <cell r="AR27">
            <v>1.2</v>
          </cell>
          <cell r="AS27">
            <v>0.85</v>
          </cell>
          <cell r="AT27">
            <v>0.21272727272727271</v>
          </cell>
          <cell r="AU27">
            <v>0.3281114761363636</v>
          </cell>
          <cell r="AV27">
            <v>1</v>
          </cell>
          <cell r="AW27">
            <v>24551</v>
          </cell>
          <cell r="AX27">
            <v>0</v>
          </cell>
          <cell r="AY27">
            <v>3.0729297043326012E-2</v>
          </cell>
          <cell r="AZ27">
            <v>0</v>
          </cell>
        </row>
        <row r="28">
          <cell r="B28" t="str">
            <v>קריית גת</v>
          </cell>
          <cell r="C28" t="str">
            <v xml:space="preserve">קריית גת      </v>
          </cell>
          <cell r="D28" t="str">
            <v>חלש</v>
          </cell>
          <cell r="E28">
            <v>48786.659000000007</v>
          </cell>
          <cell r="F28">
            <v>26519.905000000002</v>
          </cell>
          <cell r="G28">
            <v>51890.2575</v>
          </cell>
          <cell r="H28">
            <v>22667.613000000001</v>
          </cell>
          <cell r="I28">
            <v>12980.66</v>
          </cell>
          <cell r="J28">
            <v>7483.1329999999998</v>
          </cell>
          <cell r="K28">
            <v>214.45500000000001</v>
          </cell>
          <cell r="L28">
            <v>0.3</v>
          </cell>
          <cell r="M28">
            <v>2008</v>
          </cell>
          <cell r="N28" t="e">
            <v>#REF!</v>
          </cell>
          <cell r="O28">
            <v>1.4785375607560025</v>
          </cell>
          <cell r="P28">
            <v>4</v>
          </cell>
          <cell r="Q28">
            <v>7.5672119175286268E-3</v>
          </cell>
          <cell r="R28">
            <v>0.1125</v>
          </cell>
          <cell r="S28">
            <v>27</v>
          </cell>
          <cell r="T28">
            <v>0.09</v>
          </cell>
          <cell r="U28">
            <v>47621</v>
          </cell>
          <cell r="V28">
            <v>1</v>
          </cell>
          <cell r="W28">
            <v>0</v>
          </cell>
          <cell r="X28">
            <v>0</v>
          </cell>
          <cell r="Y28">
            <v>0</v>
          </cell>
          <cell r="Z28">
            <v>1</v>
          </cell>
          <cell r="AA28">
            <v>0</v>
          </cell>
          <cell r="AB28">
            <v>0</v>
          </cell>
          <cell r="AC28">
            <v>29.829090909090912</v>
          </cell>
          <cell r="AD28">
            <v>14.914545454545456</v>
          </cell>
          <cell r="AE28">
            <v>46040</v>
          </cell>
          <cell r="AF28">
            <v>0.03</v>
          </cell>
          <cell r="AG28">
            <v>0</v>
          </cell>
          <cell r="AH28">
            <v>0.99772200920819731</v>
          </cell>
          <cell r="AI28">
            <v>0.73002446754535044</v>
          </cell>
          <cell r="AJ28">
            <v>1.7277464767535478</v>
          </cell>
          <cell r="AK28">
            <v>12928.956675828205</v>
          </cell>
          <cell r="AL28">
            <v>0</v>
          </cell>
          <cell r="AM28">
            <v>1.124193813192335</v>
          </cell>
          <cell r="AN28">
            <v>0.82256278033278929</v>
          </cell>
          <cell r="AO28">
            <v>0.73002446754535044</v>
          </cell>
          <cell r="AP28">
            <v>35205.489000000001</v>
          </cell>
          <cell r="AQ28">
            <v>28159.125</v>
          </cell>
          <cell r="AR28">
            <v>1.2</v>
          </cell>
          <cell r="AS28">
            <v>0.85</v>
          </cell>
          <cell r="AT28">
            <v>0.25740000000000002</v>
          </cell>
          <cell r="AU28">
            <v>0.39701488612500002</v>
          </cell>
          <cell r="AV28">
            <v>1</v>
          </cell>
          <cell r="AW28">
            <v>15879</v>
          </cell>
          <cell r="AX28">
            <v>0</v>
          </cell>
          <cell r="AY28">
            <v>8.7121690428038751E-5</v>
          </cell>
          <cell r="AZ28">
            <v>0</v>
          </cell>
        </row>
        <row r="29">
          <cell r="B29" t="str">
            <v>הרצליה</v>
          </cell>
          <cell r="C29" t="str">
            <v xml:space="preserve">הרצליה      </v>
          </cell>
          <cell r="D29" t="str">
            <v>חזק מאוד</v>
          </cell>
          <cell r="E29">
            <v>140371.09066666666</v>
          </cell>
          <cell r="F29">
            <v>60816.479000000007</v>
          </cell>
          <cell r="G29">
            <v>133929.82866666667</v>
          </cell>
          <cell r="H29">
            <v>52188.422999999995</v>
          </cell>
          <cell r="I29">
            <v>7224.95</v>
          </cell>
          <cell r="J29">
            <v>10004.467000000001</v>
          </cell>
          <cell r="K29">
            <v>631.51400000000001</v>
          </cell>
          <cell r="L29">
            <v>0.35</v>
          </cell>
          <cell r="M29">
            <v>2008</v>
          </cell>
          <cell r="N29" t="e">
            <v>#REF!</v>
          </cell>
          <cell r="O29">
            <v>1.4087443445678891</v>
          </cell>
          <cell r="P29">
            <v>8</v>
          </cell>
          <cell r="Q29">
            <v>7.5672119175286268E-3</v>
          </cell>
          <cell r="R29">
            <v>0.08</v>
          </cell>
          <cell r="S29">
            <v>28</v>
          </cell>
          <cell r="T29">
            <v>0.02</v>
          </cell>
          <cell r="U29">
            <v>88100</v>
          </cell>
          <cell r="V29">
            <v>1</v>
          </cell>
          <cell r="W29">
            <v>1</v>
          </cell>
          <cell r="X29">
            <v>0</v>
          </cell>
          <cell r="Y29">
            <v>0</v>
          </cell>
          <cell r="Z29">
            <v>2</v>
          </cell>
          <cell r="AA29">
            <v>0</v>
          </cell>
          <cell r="AB29">
            <v>0</v>
          </cell>
          <cell r="AC29">
            <v>29.829090909090912</v>
          </cell>
          <cell r="AD29">
            <v>14.914545454545456</v>
          </cell>
          <cell r="AE29">
            <v>46040</v>
          </cell>
          <cell r="AF29">
            <v>0.03</v>
          </cell>
          <cell r="AG29">
            <v>0</v>
          </cell>
          <cell r="AH29">
            <v>0.98847459128390747</v>
          </cell>
          <cell r="AI29">
            <v>0.69700672426786459</v>
          </cell>
          <cell r="AJ29">
            <v>1.6854813155517721</v>
          </cell>
          <cell r="AK29">
            <v>16862.342200554293</v>
          </cell>
          <cell r="AL29">
            <v>0</v>
          </cell>
          <cell r="AM29">
            <v>1.0744289035694645</v>
          </cell>
          <cell r="AN29">
            <v>0.75761600463898326</v>
          </cell>
          <cell r="AO29">
            <v>0.69700672426786459</v>
          </cell>
          <cell r="AP29">
            <v>68351.183000000005</v>
          </cell>
          <cell r="AQ29">
            <v>55224.294999999998</v>
          </cell>
          <cell r="AR29">
            <v>1.2</v>
          </cell>
          <cell r="AS29">
            <v>0.85</v>
          </cell>
          <cell r="AT29">
            <v>0.21272727272727271</v>
          </cell>
          <cell r="AU29">
            <v>0.3281114761363636</v>
          </cell>
          <cell r="AV29">
            <v>1</v>
          </cell>
          <cell r="AW29">
            <v>37174</v>
          </cell>
          <cell r="AX29">
            <v>0</v>
          </cell>
          <cell r="AY29">
            <v>5.4593794749877847E-3</v>
          </cell>
          <cell r="AZ29">
            <v>0</v>
          </cell>
        </row>
        <row r="30">
          <cell r="B30" t="str">
            <v>רמת השרון</v>
          </cell>
          <cell r="C30" t="str">
            <v xml:space="preserve">רמת השרון      </v>
          </cell>
          <cell r="D30" t="str">
            <v>חזק מאוד</v>
          </cell>
          <cell r="E30">
            <v>64306.311600000001</v>
          </cell>
          <cell r="F30">
            <v>27342.949999999997</v>
          </cell>
          <cell r="G30">
            <v>48580.1414</v>
          </cell>
          <cell r="H30">
            <v>18239.028999999999</v>
          </cell>
          <cell r="I30">
            <v>19136</v>
          </cell>
          <cell r="J30">
            <v>4531.9290000000001</v>
          </cell>
          <cell r="K30">
            <v>229.87</v>
          </cell>
          <cell r="L30">
            <v>0.3</v>
          </cell>
          <cell r="M30">
            <v>2008</v>
          </cell>
          <cell r="N30" t="e">
            <v>#REF!</v>
          </cell>
          <cell r="O30">
            <v>2.0946888106189951</v>
          </cell>
          <cell r="P30">
            <v>9</v>
          </cell>
          <cell r="Q30">
            <v>7.5672119175286268E-3</v>
          </cell>
          <cell r="R30">
            <v>0.08</v>
          </cell>
          <cell r="S30">
            <v>29</v>
          </cell>
          <cell r="T30">
            <v>0.02</v>
          </cell>
          <cell r="U30">
            <v>41328</v>
          </cell>
          <cell r="V30">
            <v>1</v>
          </cell>
          <cell r="W30">
            <v>0</v>
          </cell>
          <cell r="X30">
            <v>0</v>
          </cell>
          <cell r="Y30">
            <v>0</v>
          </cell>
          <cell r="Z30">
            <v>1</v>
          </cell>
          <cell r="AA30">
            <v>0</v>
          </cell>
          <cell r="AB30">
            <v>0</v>
          </cell>
          <cell r="AC30">
            <v>29.829090909090912</v>
          </cell>
          <cell r="AD30">
            <v>14.914545454545456</v>
          </cell>
          <cell r="AE30">
            <v>46040</v>
          </cell>
          <cell r="AF30">
            <v>0.03</v>
          </cell>
          <cell r="AG30">
            <v>0</v>
          </cell>
          <cell r="AH30">
            <v>1.0545319370758692</v>
          </cell>
          <cell r="AI30">
            <v>0.69433288917828251</v>
          </cell>
          <cell r="AJ30">
            <v>1.7488648262541517</v>
          </cell>
          <cell r="AK30">
            <v>7925.731223181152</v>
          </cell>
          <cell r="AL30">
            <v>0</v>
          </cell>
          <cell r="AM30">
            <v>1.1462303663868143</v>
          </cell>
          <cell r="AN30">
            <v>0.75470966215030699</v>
          </cell>
          <cell r="AO30">
            <v>0.69433288917828251</v>
          </cell>
          <cell r="AP30">
            <v>28317.245999999999</v>
          </cell>
          <cell r="AQ30">
            <v>23392.981</v>
          </cell>
          <cell r="AR30">
            <v>1.2</v>
          </cell>
          <cell r="AS30">
            <v>0.85</v>
          </cell>
          <cell r="AT30">
            <v>0.21272727272727271</v>
          </cell>
          <cell r="AU30">
            <v>0.3281114761363636</v>
          </cell>
          <cell r="AV30">
            <v>1</v>
          </cell>
          <cell r="AW30">
            <v>16027</v>
          </cell>
          <cell r="AX30">
            <v>0</v>
          </cell>
          <cell r="AY30">
            <v>0.16565858037492193</v>
          </cell>
          <cell r="AZ30">
            <v>7.1405015971125932E-2</v>
          </cell>
        </row>
        <row r="31">
          <cell r="B31" t="str">
            <v>חיפה</v>
          </cell>
          <cell r="C31" t="str">
            <v xml:space="preserve">חיפה      </v>
          </cell>
          <cell r="D31" t="str">
            <v>חזק מאוד</v>
          </cell>
          <cell r="E31">
            <v>508830.21253333334</v>
          </cell>
          <cell r="F31">
            <v>203920.25599999999</v>
          </cell>
          <cell r="G31">
            <v>522917.12453333335</v>
          </cell>
          <cell r="H31">
            <v>137844.90899999999</v>
          </cell>
          <cell r="I31">
            <v>74480</v>
          </cell>
          <cell r="J31">
            <v>23478.077000000001</v>
          </cell>
          <cell r="K31">
            <v>647.89400000000001</v>
          </cell>
          <cell r="L31">
            <v>0.4</v>
          </cell>
          <cell r="M31">
            <v>2008</v>
          </cell>
          <cell r="N31" t="e">
            <v>#REF!</v>
          </cell>
          <cell r="O31">
            <v>1.497892572</v>
          </cell>
          <cell r="P31">
            <v>7</v>
          </cell>
          <cell r="Q31">
            <v>7.5672119175286268E-3</v>
          </cell>
          <cell r="R31">
            <v>0.08</v>
          </cell>
          <cell r="S31">
            <v>30</v>
          </cell>
          <cell r="T31">
            <v>0.02</v>
          </cell>
          <cell r="U31">
            <v>268215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4</v>
          </cell>
          <cell r="AA31">
            <v>0</v>
          </cell>
          <cell r="AB31">
            <v>0</v>
          </cell>
          <cell r="AC31">
            <v>29.829090909090912</v>
          </cell>
          <cell r="AD31">
            <v>14.914545454545456</v>
          </cell>
          <cell r="AE31">
            <v>46040</v>
          </cell>
          <cell r="AF31">
            <v>0.03</v>
          </cell>
          <cell r="AG31">
            <v>0</v>
          </cell>
          <cell r="AH31">
            <v>1.1842348654542783</v>
          </cell>
          <cell r="AI31">
            <v>0.70988686135305001</v>
          </cell>
          <cell r="AJ31">
            <v>1.8941217268073283</v>
          </cell>
          <cell r="AK31">
            <v>44470.335749355421</v>
          </cell>
          <cell r="AL31">
            <v>0</v>
          </cell>
          <cell r="AM31">
            <v>1.2872118102763894</v>
          </cell>
          <cell r="AN31">
            <v>0.77161615364461955</v>
          </cell>
          <cell r="AO31">
            <v>0.70988686135305001</v>
          </cell>
          <cell r="AP31">
            <v>214592.11199999999</v>
          </cell>
          <cell r="AQ31">
            <v>147519.829</v>
          </cell>
          <cell r="AR31">
            <v>1.2</v>
          </cell>
          <cell r="AS31">
            <v>0.85</v>
          </cell>
          <cell r="AT31">
            <v>0.21272727272727271</v>
          </cell>
          <cell r="AU31">
            <v>0.3281114761363636</v>
          </cell>
          <cell r="AV31">
            <v>1</v>
          </cell>
          <cell r="AW31">
            <v>107514</v>
          </cell>
          <cell r="AX31">
            <v>1</v>
          </cell>
          <cell r="AY31">
            <v>0</v>
          </cell>
          <cell r="AZ31">
            <v>0</v>
          </cell>
        </row>
        <row r="32">
          <cell r="B32" t="str">
            <v>מי יבנה</v>
          </cell>
          <cell r="C32" t="str">
            <v xml:space="preserve">יבנה גן יבנה     </v>
          </cell>
          <cell r="D32" t="str">
            <v xml:space="preserve">חזק </v>
          </cell>
          <cell r="E32">
            <v>79554.453699999998</v>
          </cell>
          <cell r="F32">
            <v>49753.554000000004</v>
          </cell>
          <cell r="G32">
            <v>88197.054999999993</v>
          </cell>
          <cell r="H32">
            <v>45423.459000000003</v>
          </cell>
          <cell r="I32">
            <v>8788.7669999999998</v>
          </cell>
          <cell r="J32">
            <v>4201.308</v>
          </cell>
          <cell r="K32">
            <v>355.779</v>
          </cell>
          <cell r="L32">
            <v>0.4</v>
          </cell>
          <cell r="M32">
            <v>2008</v>
          </cell>
          <cell r="N32" t="e">
            <v>#REF!</v>
          </cell>
          <cell r="O32">
            <v>1.5800549661205308</v>
          </cell>
          <cell r="P32">
            <v>6</v>
          </cell>
          <cell r="Q32">
            <v>7.5672119175286268E-3</v>
          </cell>
          <cell r="R32">
            <v>8.5000000000000006E-2</v>
          </cell>
          <cell r="S32">
            <v>31</v>
          </cell>
          <cell r="T32">
            <v>0.04</v>
          </cell>
          <cell r="U32">
            <v>46286</v>
          </cell>
          <cell r="V32">
            <v>2</v>
          </cell>
          <cell r="W32">
            <v>0</v>
          </cell>
          <cell r="X32">
            <v>0</v>
          </cell>
          <cell r="Y32">
            <v>0</v>
          </cell>
          <cell r="Z32">
            <v>1</v>
          </cell>
          <cell r="AA32">
            <v>0</v>
          </cell>
          <cell r="AB32">
            <v>0</v>
          </cell>
          <cell r="AC32">
            <v>29.829090909090912</v>
          </cell>
          <cell r="AD32">
            <v>14.914545454545456</v>
          </cell>
          <cell r="AE32">
            <v>46040</v>
          </cell>
          <cell r="AF32">
            <v>0.03</v>
          </cell>
          <cell r="AG32">
            <v>0</v>
          </cell>
          <cell r="AH32">
            <v>1.0569580380599046</v>
          </cell>
          <cell r="AI32">
            <v>0.76524866236465616</v>
          </cell>
          <cell r="AJ32">
            <v>1.8222067004245608</v>
          </cell>
          <cell r="AK32">
            <v>7655.6515881473106</v>
          </cell>
          <cell r="AL32">
            <v>0</v>
          </cell>
          <cell r="AM32">
            <v>1.1551453967867811</v>
          </cell>
          <cell r="AN32">
            <v>0.83633733591765702</v>
          </cell>
          <cell r="AO32">
            <v>0</v>
          </cell>
          <cell r="AP32">
            <v>34353.266000000003</v>
          </cell>
          <cell r="AQ32">
            <v>34713.739000000001</v>
          </cell>
          <cell r="AR32">
            <v>1.6</v>
          </cell>
          <cell r="AS32">
            <v>2</v>
          </cell>
          <cell r="AT32">
            <v>0.23400000000000001</v>
          </cell>
          <cell r="AU32">
            <v>0.36092262375</v>
          </cell>
          <cell r="AV32">
            <v>1</v>
          </cell>
          <cell r="AW32">
            <v>15679</v>
          </cell>
          <cell r="AX32">
            <v>0</v>
          </cell>
          <cell r="AY32">
            <v>0</v>
          </cell>
          <cell r="AZ32">
            <v>0</v>
          </cell>
        </row>
        <row r="33">
          <cell r="B33" t="str">
            <v>מי כרמיאל</v>
          </cell>
          <cell r="C33" t="str">
            <v xml:space="preserve">כרמיאל      </v>
          </cell>
          <cell r="D33" t="str">
            <v xml:space="preserve">חזק </v>
          </cell>
          <cell r="E33">
            <v>57300.214400000004</v>
          </cell>
          <cell r="F33">
            <v>32333.231</v>
          </cell>
          <cell r="G33">
            <v>40095.9692</v>
          </cell>
          <cell r="H33">
            <v>14811.713</v>
          </cell>
          <cell r="I33">
            <v>16834.659</v>
          </cell>
          <cell r="J33">
            <v>4066.3</v>
          </cell>
          <cell r="K33">
            <v>338.30599999999998</v>
          </cell>
          <cell r="L33">
            <v>0.3</v>
          </cell>
          <cell r="M33">
            <v>2008</v>
          </cell>
          <cell r="N33" t="e">
            <v>#REF!</v>
          </cell>
          <cell r="O33">
            <v>1.6749779629459001</v>
          </cell>
          <cell r="P33">
            <v>6</v>
          </cell>
          <cell r="Q33">
            <v>7.5672119175286268E-3</v>
          </cell>
          <cell r="R33">
            <v>8.5000000000000006E-2</v>
          </cell>
          <cell r="S33">
            <v>32</v>
          </cell>
          <cell r="T33">
            <v>0.04</v>
          </cell>
          <cell r="U33">
            <v>44416</v>
          </cell>
          <cell r="V33">
            <v>1</v>
          </cell>
          <cell r="W33">
            <v>0</v>
          </cell>
          <cell r="X33">
            <v>0</v>
          </cell>
          <cell r="Y33">
            <v>0</v>
          </cell>
          <cell r="Z33">
            <v>1</v>
          </cell>
          <cell r="AA33">
            <v>0</v>
          </cell>
          <cell r="AB33">
            <v>0</v>
          </cell>
          <cell r="AC33">
            <v>29.829090909090912</v>
          </cell>
          <cell r="AD33">
            <v>14.914545454545456</v>
          </cell>
          <cell r="AE33">
            <v>46040</v>
          </cell>
          <cell r="AF33">
            <v>0.03</v>
          </cell>
          <cell r="AG33">
            <v>0</v>
          </cell>
          <cell r="AH33">
            <v>1.0288431606080397</v>
          </cell>
          <cell r="AI33">
            <v>0.73071197765152163</v>
          </cell>
          <cell r="AJ33">
            <v>1.7595551382595613</v>
          </cell>
          <cell r="AK33">
            <v>7154.8790587048543</v>
          </cell>
          <cell r="AL33">
            <v>0</v>
          </cell>
          <cell r="AM33">
            <v>1.1244187547628848</v>
          </cell>
          <cell r="AN33">
            <v>0.79859232530220936</v>
          </cell>
          <cell r="AO33">
            <v>0.73071197765152163</v>
          </cell>
          <cell r="AP33">
            <v>36080.231</v>
          </cell>
          <cell r="AQ33">
            <v>17120.713</v>
          </cell>
          <cell r="AR33">
            <v>1.2</v>
          </cell>
          <cell r="AS33">
            <v>0.85</v>
          </cell>
          <cell r="AT33">
            <v>0.23400000000000001</v>
          </cell>
          <cell r="AU33">
            <v>0.36092262375</v>
          </cell>
          <cell r="AV33">
            <v>1</v>
          </cell>
          <cell r="AW33">
            <v>16926</v>
          </cell>
          <cell r="AX33">
            <v>0</v>
          </cell>
          <cell r="AY33">
            <v>0</v>
          </cell>
          <cell r="AZ33">
            <v>0</v>
          </cell>
        </row>
        <row r="34">
          <cell r="B34" t="str">
            <v>רהט</v>
          </cell>
          <cell r="C34" t="str">
            <v xml:space="preserve">רהט      </v>
          </cell>
          <cell r="D34" t="str">
            <v>חלש</v>
          </cell>
          <cell r="E34">
            <v>52982.506666666668</v>
          </cell>
          <cell r="F34">
            <v>32536.936999999998</v>
          </cell>
          <cell r="G34">
            <v>50928.486933333334</v>
          </cell>
          <cell r="H34">
            <v>38831.207999999999</v>
          </cell>
          <cell r="I34">
            <v>4058.7759999999998</v>
          </cell>
          <cell r="J34">
            <v>3115.6970000000001</v>
          </cell>
          <cell r="K34">
            <v>78.623999999999995</v>
          </cell>
          <cell r="L34">
            <v>0.3</v>
          </cell>
          <cell r="M34">
            <v>2008</v>
          </cell>
          <cell r="N34" t="e">
            <v>#REF!</v>
          </cell>
          <cell r="O34">
            <v>1.607972252595776</v>
          </cell>
          <cell r="P34">
            <v>1</v>
          </cell>
          <cell r="Q34">
            <v>7.5672119175286268E-3</v>
          </cell>
          <cell r="R34">
            <v>0.1125</v>
          </cell>
          <cell r="S34">
            <v>33</v>
          </cell>
          <cell r="T34">
            <v>0.09</v>
          </cell>
          <cell r="U34">
            <v>53095</v>
          </cell>
          <cell r="V34">
            <v>1</v>
          </cell>
          <cell r="W34">
            <v>0</v>
          </cell>
          <cell r="X34">
            <v>0</v>
          </cell>
          <cell r="Y34">
            <v>0</v>
          </cell>
          <cell r="Z34">
            <v>1</v>
          </cell>
          <cell r="AA34">
            <v>0</v>
          </cell>
          <cell r="AB34">
            <v>0</v>
          </cell>
          <cell r="AC34">
            <v>29.829090909090912</v>
          </cell>
          <cell r="AD34">
            <v>14.914545454545456</v>
          </cell>
          <cell r="AE34">
            <v>46040</v>
          </cell>
          <cell r="AF34">
            <v>0.03</v>
          </cell>
          <cell r="AG34">
            <v>0</v>
          </cell>
          <cell r="AH34">
            <v>0.98349128426801102</v>
          </cell>
          <cell r="AI34">
            <v>0.7229091050752573</v>
          </cell>
          <cell r="AJ34">
            <v>1.7064003893432682</v>
          </cell>
          <cell r="AK34">
            <v>5316.6265738756529</v>
          </cell>
          <cell r="AL34">
            <v>0</v>
          </cell>
          <cell r="AM34">
            <v>1.108159193541421</v>
          </cell>
          <cell r="AN34">
            <v>0.81454547050733217</v>
          </cell>
          <cell r="AO34">
            <v>0.7229091050752573</v>
          </cell>
          <cell r="AP34">
            <v>35375.936999999998</v>
          </cell>
          <cell r="AQ34">
            <v>42084.207999999999</v>
          </cell>
          <cell r="AR34">
            <v>1.2</v>
          </cell>
          <cell r="AS34">
            <v>0.85</v>
          </cell>
          <cell r="AT34">
            <v>0.25740000000000002</v>
          </cell>
          <cell r="AU34">
            <v>0.39701488612500002</v>
          </cell>
          <cell r="AV34">
            <v>1</v>
          </cell>
          <cell r="AW34">
            <v>5125</v>
          </cell>
          <cell r="AX34">
            <v>0</v>
          </cell>
          <cell r="AY34">
            <v>2.3543477852088178E-2</v>
          </cell>
          <cell r="AZ34">
            <v>0</v>
          </cell>
        </row>
        <row r="35">
          <cell r="B35" t="str">
            <v>מי רחובות</v>
          </cell>
          <cell r="C35" t="str">
            <v xml:space="preserve">רחובות      </v>
          </cell>
          <cell r="D35" t="str">
            <v>חזק מאוד</v>
          </cell>
          <cell r="E35">
            <v>85124.704099999988</v>
          </cell>
          <cell r="F35">
            <v>40309.768000000004</v>
          </cell>
          <cell r="G35">
            <v>125432.08790000003</v>
          </cell>
          <cell r="H35">
            <v>62405.262999999999</v>
          </cell>
          <cell r="I35">
            <v>6898.5069999999996</v>
          </cell>
          <cell r="J35">
            <v>10032.969000000001</v>
          </cell>
          <cell r="K35">
            <v>865.85400000000004</v>
          </cell>
          <cell r="L35">
            <v>0.3</v>
          </cell>
          <cell r="M35">
            <v>2008</v>
          </cell>
          <cell r="N35" t="e">
            <v>#REF!</v>
          </cell>
          <cell r="O35">
            <v>0.86631468000000011</v>
          </cell>
          <cell r="P35">
            <v>7</v>
          </cell>
          <cell r="Q35">
            <v>7.5672119175286268E-3</v>
          </cell>
          <cell r="R35">
            <v>0.08</v>
          </cell>
          <cell r="S35">
            <v>34</v>
          </cell>
          <cell r="T35">
            <v>0.02</v>
          </cell>
          <cell r="U35">
            <v>115602</v>
          </cell>
          <cell r="V35">
            <v>1</v>
          </cell>
          <cell r="W35">
            <v>1</v>
          </cell>
          <cell r="X35">
            <v>0</v>
          </cell>
          <cell r="Y35">
            <v>0</v>
          </cell>
          <cell r="Z35">
            <v>2</v>
          </cell>
          <cell r="AA35">
            <v>0</v>
          </cell>
          <cell r="AB35">
            <v>0</v>
          </cell>
          <cell r="AC35">
            <v>29.829090909090912</v>
          </cell>
          <cell r="AD35">
            <v>14.914545454545456</v>
          </cell>
          <cell r="AE35">
            <v>46040</v>
          </cell>
          <cell r="AF35">
            <v>0.03</v>
          </cell>
          <cell r="AG35">
            <v>0</v>
          </cell>
          <cell r="AH35">
            <v>0.99220314692299594</v>
          </cell>
          <cell r="AI35">
            <v>0.69887100208740871</v>
          </cell>
          <cell r="AJ35">
            <v>1.6910741490104046</v>
          </cell>
          <cell r="AK35">
            <v>16966.494513722773</v>
          </cell>
          <cell r="AL35">
            <v>0</v>
          </cell>
          <cell r="AM35">
            <v>1.0784816814380389</v>
          </cell>
          <cell r="AN35">
            <v>0.75964239357327035</v>
          </cell>
          <cell r="AO35">
            <v>0.69887100208740871</v>
          </cell>
          <cell r="AP35">
            <v>40311.868000000002</v>
          </cell>
          <cell r="AQ35">
            <v>62407.262999999999</v>
          </cell>
          <cell r="AR35">
            <v>1.2</v>
          </cell>
          <cell r="AS35">
            <v>0.85</v>
          </cell>
          <cell r="AT35">
            <v>0.21272727272727271</v>
          </cell>
          <cell r="AU35">
            <v>0.3281114761363636</v>
          </cell>
          <cell r="AV35">
            <v>1</v>
          </cell>
          <cell r="AW35">
            <v>38534</v>
          </cell>
          <cell r="AX35">
            <v>0</v>
          </cell>
          <cell r="AY35">
            <v>0</v>
          </cell>
          <cell r="AZ35">
            <v>0</v>
          </cell>
        </row>
        <row r="36">
          <cell r="B36" t="str">
            <v>עין אפק</v>
          </cell>
          <cell r="C36" t="str">
            <v xml:space="preserve">ראש העין      </v>
          </cell>
          <cell r="D36" t="str">
            <v xml:space="preserve">חזק </v>
          </cell>
          <cell r="E36">
            <v>51097.311000000002</v>
          </cell>
          <cell r="F36">
            <v>30275.817000000003</v>
          </cell>
          <cell r="G36">
            <v>68656.222999999998</v>
          </cell>
          <cell r="H36">
            <v>34189.832999999999</v>
          </cell>
          <cell r="I36">
            <v>3789.81</v>
          </cell>
          <cell r="J36">
            <v>3251.9270000000001</v>
          </cell>
          <cell r="K36">
            <v>234.31299999999999</v>
          </cell>
          <cell r="L36">
            <v>0.3</v>
          </cell>
          <cell r="M36">
            <v>2008</v>
          </cell>
          <cell r="N36" t="e">
            <v>#REF!</v>
          </cell>
          <cell r="O36">
            <v>1.4942406600000002</v>
          </cell>
          <cell r="P36">
            <v>6</v>
          </cell>
          <cell r="Q36">
            <v>7.5672119175286268E-3</v>
          </cell>
          <cell r="R36">
            <v>8.5000000000000006E-2</v>
          </cell>
          <cell r="S36">
            <v>35</v>
          </cell>
          <cell r="T36">
            <v>0.04</v>
          </cell>
          <cell r="U36">
            <v>39215</v>
          </cell>
          <cell r="V36">
            <v>1</v>
          </cell>
          <cell r="W36">
            <v>0</v>
          </cell>
          <cell r="X36">
            <v>0</v>
          </cell>
          <cell r="Y36">
            <v>0</v>
          </cell>
          <cell r="Z36">
            <v>1</v>
          </cell>
          <cell r="AA36">
            <v>0</v>
          </cell>
          <cell r="AB36">
            <v>0</v>
          </cell>
          <cell r="AC36">
            <v>29.829090909090912</v>
          </cell>
          <cell r="AD36">
            <v>14.914545454545456</v>
          </cell>
          <cell r="AE36">
            <v>46040</v>
          </cell>
          <cell r="AF36">
            <v>0.03</v>
          </cell>
          <cell r="AG36">
            <v>0</v>
          </cell>
          <cell r="AH36">
            <v>1.0328225980644108</v>
          </cell>
          <cell r="AI36">
            <v>0.69270169637970724</v>
          </cell>
          <cell r="AJ36">
            <v>1.725524294444118</v>
          </cell>
          <cell r="AK36">
            <v>5611.2790422587777</v>
          </cell>
          <cell r="AL36">
            <v>0</v>
          </cell>
          <cell r="AM36">
            <v>1.1287678667370609</v>
          </cell>
          <cell r="AN36">
            <v>0.75705103429476195</v>
          </cell>
          <cell r="AO36">
            <v>0.69270169637970724</v>
          </cell>
          <cell r="AP36">
            <v>34588.705000000002</v>
          </cell>
          <cell r="AQ36">
            <v>37136.536999999997</v>
          </cell>
          <cell r="AR36">
            <v>1.2</v>
          </cell>
          <cell r="AS36">
            <v>0.85</v>
          </cell>
          <cell r="AT36">
            <v>0.23400000000000001</v>
          </cell>
          <cell r="AU36">
            <v>0.36092262375</v>
          </cell>
          <cell r="AV36">
            <v>0</v>
          </cell>
          <cell r="AW36">
            <v>13970</v>
          </cell>
          <cell r="AX36">
            <v>0</v>
          </cell>
          <cell r="AY36">
            <v>7.0585184056168229E-4</v>
          </cell>
          <cell r="AZ36">
            <v>0</v>
          </cell>
        </row>
        <row r="37">
          <cell r="B37" t="str">
            <v>מי מוצקין</v>
          </cell>
          <cell r="C37" t="str">
            <v xml:space="preserve">קריית מוצקין רכסים טירת הכרמל    </v>
          </cell>
          <cell r="D37" t="str">
            <v>בינוני</v>
          </cell>
          <cell r="E37">
            <v>52310.570666666667</v>
          </cell>
          <cell r="F37">
            <v>34996.240000000005</v>
          </cell>
          <cell r="G37">
            <v>81631.954133333333</v>
          </cell>
          <cell r="H37">
            <v>23440.334999999999</v>
          </cell>
          <cell r="I37">
            <v>12031.243</v>
          </cell>
          <cell r="J37">
            <v>4739.8</v>
          </cell>
          <cell r="K37">
            <v>244.072</v>
          </cell>
          <cell r="L37">
            <v>0.4</v>
          </cell>
          <cell r="M37">
            <v>2008</v>
          </cell>
          <cell r="N37" t="e">
            <v>#REF!</v>
          </cell>
          <cell r="O37">
            <v>1.4775407707500001</v>
          </cell>
          <cell r="P37">
            <v>7</v>
          </cell>
          <cell r="Q37">
            <v>7.5672119175286268E-3</v>
          </cell>
          <cell r="R37">
            <v>9.2499999999999999E-2</v>
          </cell>
          <cell r="S37">
            <v>36</v>
          </cell>
          <cell r="T37">
            <v>0.04</v>
          </cell>
          <cell r="U37">
            <v>38452</v>
          </cell>
          <cell r="V37">
            <v>3</v>
          </cell>
          <cell r="W37">
            <v>0</v>
          </cell>
          <cell r="X37">
            <v>0</v>
          </cell>
          <cell r="Y37">
            <v>0</v>
          </cell>
          <cell r="Z37">
            <v>1</v>
          </cell>
          <cell r="AA37">
            <v>0</v>
          </cell>
          <cell r="AB37">
            <v>0</v>
          </cell>
          <cell r="AC37">
            <v>29.829090909090912</v>
          </cell>
          <cell r="AD37">
            <v>14.914545454545456</v>
          </cell>
          <cell r="AE37">
            <v>46040</v>
          </cell>
          <cell r="AF37">
            <v>0.03</v>
          </cell>
          <cell r="AG37">
            <v>0</v>
          </cell>
          <cell r="AH37">
            <v>1.0880531681295817</v>
          </cell>
          <cell r="AI37">
            <v>0.80003047143296868</v>
          </cell>
          <cell r="AJ37">
            <v>1.8880836395625504</v>
          </cell>
          <cell r="AK37">
            <v>8949.1388347985776</v>
          </cell>
          <cell r="AL37">
            <v>0</v>
          </cell>
          <cell r="AM37">
            <v>1.1989566590959579</v>
          </cell>
          <cell r="AN37">
            <v>0.88157627706112252</v>
          </cell>
          <cell r="AO37">
            <v>0</v>
          </cell>
          <cell r="AP37">
            <v>37553.300000000003</v>
          </cell>
          <cell r="AQ37">
            <v>23342.334999999999</v>
          </cell>
          <cell r="AR37">
            <v>1.6</v>
          </cell>
          <cell r="AS37">
            <v>2</v>
          </cell>
          <cell r="AT37">
            <v>0.23400000000000001</v>
          </cell>
          <cell r="AU37">
            <v>0.36092262375</v>
          </cell>
          <cell r="AV37">
            <v>1</v>
          </cell>
          <cell r="AW37">
            <v>16517</v>
          </cell>
          <cell r="AX37">
            <v>0</v>
          </cell>
          <cell r="AY37">
            <v>0</v>
          </cell>
          <cell r="AZ37">
            <v>0</v>
          </cell>
        </row>
        <row r="38">
          <cell r="B38" t="str">
            <v>מי קריית ביאליק</v>
          </cell>
          <cell r="C38" t="str">
            <v xml:space="preserve">קריית ביאליק      </v>
          </cell>
          <cell r="D38" t="str">
            <v>חזק מאוד</v>
          </cell>
          <cell r="E38">
            <v>27653.657999999999</v>
          </cell>
          <cell r="F38">
            <v>10808.652</v>
          </cell>
          <cell r="G38">
            <v>37261.69</v>
          </cell>
          <cell r="H38">
            <v>7505.799</v>
          </cell>
          <cell r="I38">
            <v>7288.5680000000002</v>
          </cell>
          <cell r="J38">
            <v>2883.7170000000001</v>
          </cell>
          <cell r="K38">
            <v>246.15799999999999</v>
          </cell>
          <cell r="L38">
            <v>0.3</v>
          </cell>
          <cell r="M38">
            <v>2008</v>
          </cell>
          <cell r="N38" t="e">
            <v>#REF!</v>
          </cell>
          <cell r="O38">
            <v>1.497892572</v>
          </cell>
          <cell r="P38">
            <v>7</v>
          </cell>
          <cell r="Q38">
            <v>7.5672119175286268E-3</v>
          </cell>
          <cell r="R38">
            <v>0.08</v>
          </cell>
          <cell r="S38">
            <v>37</v>
          </cell>
          <cell r="T38">
            <v>0.02</v>
          </cell>
          <cell r="U38">
            <v>37634</v>
          </cell>
          <cell r="V38">
            <v>1</v>
          </cell>
          <cell r="W38">
            <v>0</v>
          </cell>
          <cell r="X38">
            <v>0</v>
          </cell>
          <cell r="Y38">
            <v>0</v>
          </cell>
          <cell r="Z38">
            <v>1</v>
          </cell>
          <cell r="AA38">
            <v>0</v>
          </cell>
          <cell r="AB38">
            <v>0</v>
          </cell>
          <cell r="AC38">
            <v>29.829090909090912</v>
          </cell>
          <cell r="AD38">
            <v>14.914545454545456</v>
          </cell>
          <cell r="AE38">
            <v>46040</v>
          </cell>
          <cell r="AF38">
            <v>0.03</v>
          </cell>
          <cell r="AG38">
            <v>0</v>
          </cell>
          <cell r="AH38">
            <v>1.0696422673018207</v>
          </cell>
          <cell r="AI38">
            <v>0.73759056227682107</v>
          </cell>
          <cell r="AJ38">
            <v>1.8072328295786417</v>
          </cell>
          <cell r="AK38">
            <v>5211.5480336140317</v>
          </cell>
          <cell r="AL38">
            <v>0</v>
          </cell>
          <cell r="AM38">
            <v>1.1626546383715441</v>
          </cell>
          <cell r="AN38">
            <v>0.80172887204002286</v>
          </cell>
          <cell r="AO38">
            <v>0.73759056227682107</v>
          </cell>
          <cell r="AP38">
            <v>10808.652</v>
          </cell>
          <cell r="AQ38">
            <v>7505.799</v>
          </cell>
          <cell r="AR38">
            <v>1.2</v>
          </cell>
          <cell r="AS38">
            <v>0.85</v>
          </cell>
          <cell r="AT38">
            <v>0.21272727272727271</v>
          </cell>
          <cell r="AU38">
            <v>0.3281114761363636</v>
          </cell>
          <cell r="AV38">
            <v>1</v>
          </cell>
          <cell r="AW38">
            <v>18562</v>
          </cell>
          <cell r="AX38">
            <v>0</v>
          </cell>
          <cell r="AY38">
            <v>1.9958580840039259E-3</v>
          </cell>
          <cell r="AZ38">
            <v>0</v>
          </cell>
        </row>
        <row r="39">
          <cell r="B39" t="str">
            <v>תל אביב ב</v>
          </cell>
          <cell r="C39" t="str">
            <v xml:space="preserve">תל אביב-יפו      </v>
          </cell>
          <cell r="D39" t="str">
            <v>חזק מאוד</v>
          </cell>
          <cell r="E39">
            <v>583945.33786666661</v>
          </cell>
          <cell r="F39">
            <v>156795.084</v>
          </cell>
          <cell r="G39">
            <v>620965.16606672294</v>
          </cell>
          <cell r="H39">
            <v>207136.47740005623</v>
          </cell>
          <cell r="I39">
            <v>132397</v>
          </cell>
          <cell r="J39">
            <v>44346.097000000002</v>
          </cell>
          <cell r="K39">
            <v>2646.7269999999999</v>
          </cell>
          <cell r="L39">
            <v>0.4</v>
          </cell>
          <cell r="M39">
            <v>2008</v>
          </cell>
          <cell r="N39" t="e">
            <v>#REF!</v>
          </cell>
          <cell r="O39">
            <v>2.5701834840000006</v>
          </cell>
          <cell r="P39">
            <v>8</v>
          </cell>
          <cell r="Q39">
            <v>7.5672119175286268E-3</v>
          </cell>
          <cell r="R39">
            <v>0.08</v>
          </cell>
          <cell r="S39">
            <v>38</v>
          </cell>
          <cell r="T39">
            <v>0.02</v>
          </cell>
          <cell r="U39">
            <v>404336</v>
          </cell>
          <cell r="V39">
            <v>1</v>
          </cell>
          <cell r="W39">
            <v>1</v>
          </cell>
          <cell r="X39">
            <v>1</v>
          </cell>
          <cell r="Y39">
            <v>1</v>
          </cell>
          <cell r="Z39">
            <v>4</v>
          </cell>
          <cell r="AA39">
            <v>0</v>
          </cell>
          <cell r="AB39">
            <v>0</v>
          </cell>
          <cell r="AC39">
            <v>29.829090909090912</v>
          </cell>
          <cell r="AD39">
            <v>14.914545454545456</v>
          </cell>
          <cell r="AE39">
            <v>46040</v>
          </cell>
          <cell r="AF39">
            <v>0.03</v>
          </cell>
          <cell r="AG39">
            <v>0</v>
          </cell>
          <cell r="AH39">
            <v>1.0697557101741471</v>
          </cell>
          <cell r="AI39">
            <v>0.69764728371298435</v>
          </cell>
          <cell r="AJ39">
            <v>1.7674029938871314</v>
          </cell>
          <cell r="AK39">
            <v>78377.424605009146</v>
          </cell>
          <cell r="AL39">
            <v>0</v>
          </cell>
          <cell r="AM39">
            <v>1.1627779458414642</v>
          </cell>
          <cell r="AN39">
            <v>0.7583122649054177</v>
          </cell>
          <cell r="AO39">
            <v>0.69764728371298435</v>
          </cell>
          <cell r="AP39">
            <v>195693.476</v>
          </cell>
          <cell r="AQ39">
            <v>175531.37</v>
          </cell>
          <cell r="AR39">
            <v>1.2</v>
          </cell>
          <cell r="AS39">
            <v>0.85</v>
          </cell>
          <cell r="AT39">
            <v>0.21272727272727271</v>
          </cell>
          <cell r="AU39">
            <v>0.3281114761363636</v>
          </cell>
          <cell r="AV39">
            <v>0</v>
          </cell>
          <cell r="AW39">
            <v>285617</v>
          </cell>
          <cell r="AX39">
            <v>0</v>
          </cell>
          <cell r="AY39">
            <v>3.8498145398787497E-4</v>
          </cell>
          <cell r="AZ39">
            <v>0</v>
          </cell>
        </row>
        <row r="40">
          <cell r="B40" t="str">
            <v>מי השרון</v>
          </cell>
          <cell r="C40" t="str">
            <v xml:space="preserve">אבן יהודה כפר יונה פרדסיה קדימה צורן תל מונד  </v>
          </cell>
          <cell r="D40" t="str">
            <v>חזק מאוד</v>
          </cell>
          <cell r="E40">
            <v>92759.099699999992</v>
          </cell>
          <cell r="F40">
            <v>52794.25</v>
          </cell>
          <cell r="G40">
            <v>99701.854900000006</v>
          </cell>
          <cell r="H40">
            <v>66159.262999999992</v>
          </cell>
          <cell r="I40">
            <v>7447.7290000000003</v>
          </cell>
          <cell r="J40">
            <v>5824.6100000000006</v>
          </cell>
          <cell r="K40">
            <v>12.538</v>
          </cell>
          <cell r="L40">
            <v>0.4</v>
          </cell>
          <cell r="M40">
            <v>2008</v>
          </cell>
          <cell r="N40" t="e">
            <v>#REF!</v>
          </cell>
          <cell r="O40">
            <v>1.5102107478322759</v>
          </cell>
          <cell r="P40">
            <v>8</v>
          </cell>
          <cell r="Q40">
            <v>7.5672119175286268E-3</v>
          </cell>
          <cell r="R40">
            <v>0.08</v>
          </cell>
          <cell r="S40">
            <v>39</v>
          </cell>
          <cell r="T40">
            <v>0.02</v>
          </cell>
          <cell r="U40">
            <v>63115</v>
          </cell>
          <cell r="V40">
            <v>5</v>
          </cell>
          <cell r="W40">
            <v>1</v>
          </cell>
          <cell r="X40">
            <v>0</v>
          </cell>
          <cell r="Y40">
            <v>0</v>
          </cell>
          <cell r="Z40">
            <v>2</v>
          </cell>
          <cell r="AA40">
            <v>0</v>
          </cell>
          <cell r="AB40">
            <v>0</v>
          </cell>
          <cell r="AC40">
            <v>29.829090909090912</v>
          </cell>
          <cell r="AD40">
            <v>14.914545454545456</v>
          </cell>
          <cell r="AE40">
            <v>46040</v>
          </cell>
          <cell r="AF40">
            <v>0.03</v>
          </cell>
          <cell r="AG40">
            <v>0</v>
          </cell>
          <cell r="AH40">
            <v>1.1221030557084901</v>
          </cell>
          <cell r="AI40">
            <v>0.83929666770115374</v>
          </cell>
          <cell r="AJ40">
            <v>1.9613997234096439</v>
          </cell>
          <cell r="AK40">
            <v>11424.388442969046</v>
          </cell>
          <cell r="AL40">
            <v>0</v>
          </cell>
          <cell r="AM40">
            <v>1.21967723446575</v>
          </cell>
          <cell r="AN40">
            <v>0.91227898663168883</v>
          </cell>
          <cell r="AO40">
            <v>0</v>
          </cell>
          <cell r="AP40">
            <v>59811.722000000002</v>
          </cell>
          <cell r="AQ40">
            <v>76354.798999999999</v>
          </cell>
          <cell r="AR40">
            <v>1.6</v>
          </cell>
          <cell r="AS40">
            <v>2</v>
          </cell>
          <cell r="AT40">
            <v>0.21272727272727271</v>
          </cell>
          <cell r="AU40">
            <v>0.3281114761363636</v>
          </cell>
          <cell r="AV40">
            <v>1</v>
          </cell>
          <cell r="AW40">
            <v>18000</v>
          </cell>
          <cell r="AX40">
            <v>0</v>
          </cell>
          <cell r="AY40">
            <v>5.1078991355687553E-2</v>
          </cell>
          <cell r="AZ40">
            <v>6.6614508613043616E-4</v>
          </cell>
        </row>
        <row r="41">
          <cell r="B41" t="str">
            <v>רמת גן</v>
          </cell>
          <cell r="C41" t="str">
            <v xml:space="preserve">רמת גן      </v>
          </cell>
          <cell r="D41" t="str">
            <v>חזק מאוד</v>
          </cell>
          <cell r="E41">
            <v>178707.33500000002</v>
          </cell>
          <cell r="F41">
            <v>67730.303</v>
          </cell>
          <cell r="G41">
            <v>166393.17100000003</v>
          </cell>
          <cell r="H41">
            <v>7133.4570000000003</v>
          </cell>
          <cell r="I41">
            <v>16492.634999999998</v>
          </cell>
          <cell r="J41">
            <v>11533.609</v>
          </cell>
          <cell r="K41">
            <v>698.07799999999997</v>
          </cell>
          <cell r="L41">
            <v>0.3</v>
          </cell>
          <cell r="M41">
            <v>2008</v>
          </cell>
          <cell r="N41" t="e">
            <v>#REF!</v>
          </cell>
          <cell r="O41">
            <v>2.5701834840000006</v>
          </cell>
          <cell r="P41">
            <v>8</v>
          </cell>
          <cell r="Q41">
            <v>7.5672119175286268E-3</v>
          </cell>
          <cell r="R41">
            <v>0.08</v>
          </cell>
          <cell r="S41">
            <v>40</v>
          </cell>
          <cell r="T41">
            <v>0.02</v>
          </cell>
          <cell r="U41">
            <v>148035</v>
          </cell>
          <cell r="V41">
            <v>1</v>
          </cell>
          <cell r="W41">
            <v>1</v>
          </cell>
          <cell r="X41">
            <v>1</v>
          </cell>
          <cell r="Y41">
            <v>0</v>
          </cell>
          <cell r="Z41">
            <v>3</v>
          </cell>
          <cell r="AA41">
            <v>0</v>
          </cell>
          <cell r="AB41">
            <v>0</v>
          </cell>
          <cell r="AC41">
            <v>29.829090909090912</v>
          </cell>
          <cell r="AD41">
            <v>14.914545454545456</v>
          </cell>
          <cell r="AE41">
            <v>46040</v>
          </cell>
          <cell r="AF41">
            <v>0.03</v>
          </cell>
          <cell r="AG41">
            <v>0</v>
          </cell>
          <cell r="AH41">
            <v>1.0530541648492211</v>
          </cell>
          <cell r="AI41">
            <v>0.68929651105052137</v>
          </cell>
          <cell r="AJ41">
            <v>1.7423506758997425</v>
          </cell>
          <cell r="AK41">
            <v>20095.591436713352</v>
          </cell>
          <cell r="AL41">
            <v>0</v>
          </cell>
          <cell r="AM41">
            <v>1.1446240922274142</v>
          </cell>
          <cell r="AN41">
            <v>0.74923533809839271</v>
          </cell>
          <cell r="AO41">
            <v>0.68929651105052137</v>
          </cell>
          <cell r="AP41">
            <v>67732.403000000006</v>
          </cell>
          <cell r="AQ41">
            <v>7135.4570000000003</v>
          </cell>
          <cell r="AR41">
            <v>1.2</v>
          </cell>
          <cell r="AS41">
            <v>0.85</v>
          </cell>
          <cell r="AT41">
            <v>0.21272727272727271</v>
          </cell>
          <cell r="AU41">
            <v>0.3281114761363636</v>
          </cell>
          <cell r="AV41">
            <v>0</v>
          </cell>
          <cell r="AW41">
            <v>67826</v>
          </cell>
          <cell r="AX41">
            <v>0</v>
          </cell>
          <cell r="AY41">
            <v>1.0137721167781851E-2</v>
          </cell>
          <cell r="AZ41">
            <v>0</v>
          </cell>
        </row>
        <row r="42">
          <cell r="B42" t="str">
            <v>גבעתיים</v>
          </cell>
          <cell r="C42" t="str">
            <v xml:space="preserve">גבעתיים       </v>
          </cell>
          <cell r="D42" t="str">
            <v>חזק מאוד</v>
          </cell>
          <cell r="E42">
            <v>49189.022666666664</v>
          </cell>
          <cell r="F42">
            <v>18026.672999999999</v>
          </cell>
          <cell r="G42">
            <v>44797.09372631937</v>
          </cell>
          <cell r="H42">
            <v>4257.8457263193732</v>
          </cell>
          <cell r="I42">
            <v>9000</v>
          </cell>
          <cell r="J42">
            <v>3628.5720000000001</v>
          </cell>
          <cell r="K42">
            <v>141.34899999999999</v>
          </cell>
          <cell r="L42">
            <v>0.3</v>
          </cell>
          <cell r="M42">
            <v>2008</v>
          </cell>
          <cell r="N42" t="e">
            <v>#REF!</v>
          </cell>
          <cell r="O42">
            <v>2.5701834840000006</v>
          </cell>
          <cell r="P42">
            <v>9</v>
          </cell>
          <cell r="Q42">
            <v>7.5672119175286268E-3</v>
          </cell>
          <cell r="R42">
            <v>0.08</v>
          </cell>
          <cell r="S42">
            <v>41</v>
          </cell>
          <cell r="T42">
            <v>0.02</v>
          </cell>
          <cell r="U42">
            <v>54035</v>
          </cell>
          <cell r="V42">
            <v>1</v>
          </cell>
          <cell r="W42">
            <v>0</v>
          </cell>
          <cell r="X42">
            <v>0</v>
          </cell>
          <cell r="Y42">
            <v>0</v>
          </cell>
          <cell r="Z42">
            <v>1</v>
          </cell>
          <cell r="AA42">
            <v>0</v>
          </cell>
          <cell r="AB42">
            <v>0</v>
          </cell>
          <cell r="AC42">
            <v>29.829090909090912</v>
          </cell>
          <cell r="AD42">
            <v>14.914545454545456</v>
          </cell>
          <cell r="AE42">
            <v>46040</v>
          </cell>
          <cell r="AF42">
            <v>0.03</v>
          </cell>
          <cell r="AG42">
            <v>0</v>
          </cell>
          <cell r="AH42">
            <v>1.0776943095491065</v>
          </cell>
          <cell r="AI42">
            <v>0.70161658340046396</v>
          </cell>
          <cell r="AJ42">
            <v>1.7793108929495705</v>
          </cell>
          <cell r="AK42">
            <v>6456.3576854518087</v>
          </cell>
          <cell r="AL42">
            <v>0</v>
          </cell>
          <cell r="AM42">
            <v>1.1714068582055506</v>
          </cell>
          <cell r="AN42">
            <v>0.76262672108746077</v>
          </cell>
          <cell r="AO42">
            <v>0.70161658340046396</v>
          </cell>
          <cell r="AP42">
            <v>23560.257000000001</v>
          </cell>
          <cell r="AQ42">
            <v>2328.8939999999998</v>
          </cell>
          <cell r="AR42">
            <v>1.2</v>
          </cell>
          <cell r="AS42">
            <v>0.85</v>
          </cell>
          <cell r="AT42">
            <v>0.21272727272727271</v>
          </cell>
          <cell r="AU42">
            <v>0.3281114761363636</v>
          </cell>
          <cell r="AV42">
            <v>0</v>
          </cell>
          <cell r="AW42">
            <v>24336</v>
          </cell>
          <cell r="AX42">
            <v>0</v>
          </cell>
          <cell r="AY42">
            <v>0</v>
          </cell>
          <cell r="AZ42">
            <v>0</v>
          </cell>
        </row>
        <row r="43">
          <cell r="B43" t="str">
            <v>בת ים</v>
          </cell>
          <cell r="C43" t="str">
            <v xml:space="preserve">בת ים       </v>
          </cell>
          <cell r="D43" t="str">
            <v xml:space="preserve">חזק </v>
          </cell>
          <cell r="E43">
            <v>84013.125599999999</v>
          </cell>
          <cell r="F43">
            <v>37731.557047999995</v>
          </cell>
          <cell r="G43">
            <v>81605.738004259983</v>
          </cell>
          <cell r="H43">
            <v>29451.323367399997</v>
          </cell>
          <cell r="I43">
            <v>0</v>
          </cell>
          <cell r="J43">
            <v>8841.2080000000005</v>
          </cell>
          <cell r="K43">
            <v>476.08800000000002</v>
          </cell>
          <cell r="L43">
            <v>0.3</v>
          </cell>
          <cell r="M43">
            <v>2008</v>
          </cell>
          <cell r="N43" t="e">
            <v>#REF!</v>
          </cell>
          <cell r="O43">
            <v>2.5701834840000006</v>
          </cell>
          <cell r="P43">
            <v>6</v>
          </cell>
          <cell r="Q43">
            <v>7.5672119175286268E-3</v>
          </cell>
          <cell r="R43">
            <v>8.5000000000000006E-2</v>
          </cell>
          <cell r="S43">
            <v>42</v>
          </cell>
          <cell r="T43">
            <v>0.04</v>
          </cell>
          <cell r="U43">
            <v>130377</v>
          </cell>
          <cell r="V43">
            <v>1</v>
          </cell>
          <cell r="W43">
            <v>1</v>
          </cell>
          <cell r="X43">
            <v>1</v>
          </cell>
          <cell r="Y43">
            <v>0</v>
          </cell>
          <cell r="Z43">
            <v>3</v>
          </cell>
          <cell r="AA43">
            <v>0</v>
          </cell>
          <cell r="AB43">
            <v>0</v>
          </cell>
          <cell r="AC43">
            <v>29.829090909090912</v>
          </cell>
          <cell r="AD43">
            <v>14.914545454545456</v>
          </cell>
          <cell r="AE43">
            <v>46040</v>
          </cell>
          <cell r="AF43">
            <v>0.03</v>
          </cell>
          <cell r="AG43">
            <v>0</v>
          </cell>
          <cell r="AH43">
            <v>1.0835619913682464</v>
          </cell>
          <cell r="AI43">
            <v>0.71807139303162493</v>
          </cell>
          <cell r="AJ43">
            <v>1.8016333843998713</v>
          </cell>
          <cell r="AK43">
            <v>15928.615491223218</v>
          </cell>
          <cell r="AL43">
            <v>0</v>
          </cell>
          <cell r="AM43">
            <v>1.1842207555937119</v>
          </cell>
          <cell r="AN43">
            <v>0.78477747872308734</v>
          </cell>
          <cell r="AO43">
            <v>0.71807139303162493</v>
          </cell>
          <cell r="AP43">
            <v>37063.226999999999</v>
          </cell>
          <cell r="AQ43">
            <v>21448.785</v>
          </cell>
          <cell r="AR43">
            <v>1.2</v>
          </cell>
          <cell r="AS43">
            <v>0.85</v>
          </cell>
          <cell r="AT43">
            <v>0.23400000000000001</v>
          </cell>
          <cell r="AU43">
            <v>0.36092262375</v>
          </cell>
          <cell r="AV43">
            <v>0</v>
          </cell>
          <cell r="AW43">
            <v>53020</v>
          </cell>
          <cell r="AX43">
            <v>0</v>
          </cell>
          <cell r="AY43">
            <v>0</v>
          </cell>
          <cell r="AZ43">
            <v>0</v>
          </cell>
        </row>
        <row r="44">
          <cell r="B44" t="str">
            <v>קריית אונו</v>
          </cell>
          <cell r="C44" t="str">
            <v xml:space="preserve">קרית אונו       </v>
          </cell>
          <cell r="D44" t="str">
            <v>חזק מאוד</v>
          </cell>
          <cell r="E44">
            <v>45261.618533333334</v>
          </cell>
          <cell r="F44">
            <v>25918.876</v>
          </cell>
          <cell r="G44">
            <v>34892.548800000004</v>
          </cell>
          <cell r="H44">
            <v>12163.394</v>
          </cell>
          <cell r="I44">
            <v>240</v>
          </cell>
          <cell r="J44">
            <v>2378.12</v>
          </cell>
          <cell r="K44">
            <v>105.011</v>
          </cell>
          <cell r="L44">
            <v>0.3</v>
          </cell>
          <cell r="M44">
            <v>2008</v>
          </cell>
          <cell r="N44" t="e">
            <v>#REF!</v>
          </cell>
          <cell r="O44">
            <v>1.7082832800000001</v>
          </cell>
          <cell r="P44">
            <v>9</v>
          </cell>
          <cell r="Q44">
            <v>7.5672119175286268E-3</v>
          </cell>
          <cell r="R44">
            <v>0.08</v>
          </cell>
          <cell r="S44">
            <v>43</v>
          </cell>
          <cell r="T44">
            <v>0.02</v>
          </cell>
          <cell r="U44">
            <v>32183</v>
          </cell>
          <cell r="V44">
            <v>1</v>
          </cell>
          <cell r="W44">
            <v>0</v>
          </cell>
          <cell r="X44">
            <v>0</v>
          </cell>
          <cell r="Y44">
            <v>0</v>
          </cell>
          <cell r="Z44">
            <v>1</v>
          </cell>
          <cell r="AA44">
            <v>0</v>
          </cell>
          <cell r="AB44">
            <v>0</v>
          </cell>
          <cell r="AC44">
            <v>29.829090909090912</v>
          </cell>
          <cell r="AD44">
            <v>14.914545454545456</v>
          </cell>
          <cell r="AE44">
            <v>46040</v>
          </cell>
          <cell r="AF44">
            <v>0.03</v>
          </cell>
          <cell r="AG44">
            <v>0</v>
          </cell>
          <cell r="AH44">
            <v>1.0300742140444716</v>
          </cell>
          <cell r="AI44">
            <v>0.67780653564814664</v>
          </cell>
          <cell r="AJ44">
            <v>1.7078807496926183</v>
          </cell>
          <cell r="AK44">
            <v>4061.5453684590093</v>
          </cell>
          <cell r="AL44">
            <v>0</v>
          </cell>
          <cell r="AM44">
            <v>1.1196458848309474</v>
          </cell>
          <cell r="AN44">
            <v>0.73674623440015941</v>
          </cell>
          <cell r="AO44">
            <v>0.67780653564814664</v>
          </cell>
          <cell r="AP44">
            <v>26880.556</v>
          </cell>
          <cell r="AQ44">
            <v>9811.4740000000002</v>
          </cell>
          <cell r="AR44">
            <v>1.2</v>
          </cell>
          <cell r="AS44">
            <v>0.85</v>
          </cell>
          <cell r="AT44">
            <v>0.21272727272727271</v>
          </cell>
          <cell r="AU44">
            <v>0.3281114761363636</v>
          </cell>
          <cell r="AV44">
            <v>0</v>
          </cell>
          <cell r="AW44">
            <v>12153</v>
          </cell>
          <cell r="AX44">
            <v>0</v>
          </cell>
          <cell r="AY44">
            <v>0</v>
          </cell>
          <cell r="AZ44">
            <v>0</v>
          </cell>
        </row>
        <row r="45">
          <cell r="B45" t="str">
            <v>סובב שפרעם</v>
          </cell>
          <cell r="C45" t="str">
            <v>שפרעם  כפר מנדא  זרזיר כאבול  טמרה בסמת טבעון  שעב אעבלין   כאוכבביר אל מכסור</v>
          </cell>
          <cell r="D45" t="str">
            <v>חלש</v>
          </cell>
          <cell r="E45">
            <v>149075.37039999999</v>
          </cell>
          <cell r="F45">
            <v>101192.459</v>
          </cell>
          <cell r="G45">
            <v>198932.5196</v>
          </cell>
          <cell r="H45">
            <v>153423.91899999999</v>
          </cell>
          <cell r="I45">
            <v>8469.7909999999993</v>
          </cell>
          <cell r="J45">
            <v>9464.235999999999</v>
          </cell>
          <cell r="K45">
            <v>60.350999999999999</v>
          </cell>
          <cell r="L45">
            <v>0.4</v>
          </cell>
          <cell r="M45">
            <v>2008</v>
          </cell>
          <cell r="N45" t="e">
            <v>#REF!</v>
          </cell>
          <cell r="O45">
            <v>1.3843028601137379</v>
          </cell>
          <cell r="P45">
            <v>3</v>
          </cell>
          <cell r="Q45">
            <v>7.5672119175286268E-3</v>
          </cell>
          <cell r="R45">
            <v>0.1125</v>
          </cell>
          <cell r="S45">
            <v>44</v>
          </cell>
          <cell r="T45">
            <v>0.09</v>
          </cell>
          <cell r="U45">
            <v>126249</v>
          </cell>
          <cell r="V45">
            <v>10</v>
          </cell>
          <cell r="W45">
            <v>1</v>
          </cell>
          <cell r="X45">
            <v>1</v>
          </cell>
          <cell r="Y45">
            <v>0</v>
          </cell>
          <cell r="Z45">
            <v>3</v>
          </cell>
          <cell r="AA45">
            <v>0</v>
          </cell>
          <cell r="AB45">
            <v>0</v>
          </cell>
          <cell r="AC45">
            <v>29.829090909090912</v>
          </cell>
          <cell r="AD45">
            <v>14.914545454545456</v>
          </cell>
          <cell r="AE45">
            <v>46040</v>
          </cell>
          <cell r="AF45">
            <v>0.03</v>
          </cell>
          <cell r="AG45">
            <v>0</v>
          </cell>
          <cell r="AH45">
            <v>1.3444023309268451</v>
          </cell>
          <cell r="AI45">
            <v>1.0602554603746295</v>
          </cell>
          <cell r="AJ45">
            <v>2.4046577913014744</v>
          </cell>
          <cell r="AK45">
            <v>22758.248836115898</v>
          </cell>
          <cell r="AL45">
            <v>0</v>
          </cell>
          <cell r="AM45">
            <v>1.5148195278048959</v>
          </cell>
          <cell r="AN45">
            <v>1.1946540398587375</v>
          </cell>
          <cell r="AO45">
            <v>0</v>
          </cell>
          <cell r="AP45">
            <v>87686.123000000007</v>
          </cell>
          <cell r="AQ45">
            <v>142448.62299999999</v>
          </cell>
          <cell r="AR45">
            <v>1.6</v>
          </cell>
          <cell r="AS45">
            <v>2</v>
          </cell>
          <cell r="AT45">
            <v>0.25740000000000002</v>
          </cell>
          <cell r="AU45">
            <v>0.39701488612500002</v>
          </cell>
          <cell r="AV45">
            <v>1</v>
          </cell>
          <cell r="AW45">
            <v>30521</v>
          </cell>
          <cell r="AX45">
            <v>0</v>
          </cell>
          <cell r="AY45">
            <v>1.252715378274887E-2</v>
          </cell>
          <cell r="AZ45">
            <v>0</v>
          </cell>
        </row>
        <row r="46">
          <cell r="B46" t="str">
            <v>עכו</v>
          </cell>
          <cell r="C46" t="str">
            <v xml:space="preserve">עכו      </v>
          </cell>
          <cell r="D46" t="str">
            <v>חלש</v>
          </cell>
          <cell r="E46">
            <v>65938.492533333338</v>
          </cell>
          <cell r="F46">
            <v>32565.701000000001</v>
          </cell>
          <cell r="G46">
            <v>67159.224666666676</v>
          </cell>
          <cell r="H46">
            <v>27687.477000000006</v>
          </cell>
          <cell r="I46">
            <v>13124.655000000001</v>
          </cell>
          <cell r="J46">
            <v>3578.74</v>
          </cell>
          <cell r="K46">
            <v>204.34200000000001</v>
          </cell>
          <cell r="L46">
            <v>0.3</v>
          </cell>
          <cell r="M46">
            <v>2008</v>
          </cell>
          <cell r="N46" t="e">
            <v>#REF!</v>
          </cell>
          <cell r="O46">
            <v>1.4125512472690591</v>
          </cell>
          <cell r="P46">
            <v>4</v>
          </cell>
          <cell r="Q46">
            <v>7.5672119175286268E-3</v>
          </cell>
          <cell r="R46">
            <v>0.1125</v>
          </cell>
          <cell r="S46">
            <v>45</v>
          </cell>
          <cell r="T46">
            <v>0.09</v>
          </cell>
          <cell r="U46">
            <v>46617</v>
          </cell>
          <cell r="V46">
            <v>1</v>
          </cell>
          <cell r="W46">
            <v>0</v>
          </cell>
          <cell r="X46">
            <v>0</v>
          </cell>
          <cell r="Y46">
            <v>0</v>
          </cell>
          <cell r="Z46">
            <v>1</v>
          </cell>
          <cell r="AA46">
            <v>0</v>
          </cell>
          <cell r="AB46">
            <v>0</v>
          </cell>
          <cell r="AC46">
            <v>29.829090909090912</v>
          </cell>
          <cell r="AD46">
            <v>14.914545454545456</v>
          </cell>
          <cell r="AE46">
            <v>46040</v>
          </cell>
          <cell r="AF46">
            <v>0.03</v>
          </cell>
          <cell r="AG46">
            <v>0</v>
          </cell>
          <cell r="AH46">
            <v>1.0842569401085114</v>
          </cell>
          <cell r="AI46">
            <v>0.77329193299550747</v>
          </cell>
          <cell r="AJ46">
            <v>1.8575488731040188</v>
          </cell>
          <cell r="AK46">
            <v>6647.6844541322762</v>
          </cell>
          <cell r="AL46">
            <v>0</v>
          </cell>
          <cell r="AM46">
            <v>1.2216979606856466</v>
          </cell>
          <cell r="AN46">
            <v>0.87131485407944509</v>
          </cell>
          <cell r="AO46">
            <v>0.77329193299550747</v>
          </cell>
          <cell r="AP46">
            <v>34816.701000000001</v>
          </cell>
          <cell r="AQ46">
            <v>32214.217000000001</v>
          </cell>
          <cell r="AR46">
            <v>1.2</v>
          </cell>
          <cell r="AS46">
            <v>0.85</v>
          </cell>
          <cell r="AT46">
            <v>0.25740000000000002</v>
          </cell>
          <cell r="AU46">
            <v>0.39701488612500002</v>
          </cell>
          <cell r="AV46">
            <v>1</v>
          </cell>
          <cell r="AW46">
            <v>17976</v>
          </cell>
          <cell r="AX46">
            <v>0</v>
          </cell>
          <cell r="AY46">
            <v>7.5995280278524577E-3</v>
          </cell>
          <cell r="AZ46">
            <v>0</v>
          </cell>
        </row>
        <row r="47">
          <cell r="B47" t="str">
            <v>ימים</v>
          </cell>
          <cell r="C47" t="str">
            <v xml:space="preserve">קריית ים      </v>
          </cell>
          <cell r="D47" t="str">
            <v xml:space="preserve">חזק </v>
          </cell>
          <cell r="E47">
            <v>24135.292666666664</v>
          </cell>
          <cell r="F47">
            <v>14322.864</v>
          </cell>
          <cell r="G47">
            <v>30690.059999999998</v>
          </cell>
          <cell r="H47">
            <v>3827.1149999999998</v>
          </cell>
          <cell r="I47">
            <v>7233.38</v>
          </cell>
          <cell r="J47">
            <v>2561.7849999999999</v>
          </cell>
          <cell r="K47">
            <v>226.19300000000001</v>
          </cell>
          <cell r="L47">
            <v>0.3</v>
          </cell>
          <cell r="M47">
            <v>2008</v>
          </cell>
          <cell r="N47" t="e">
            <v>#REF!</v>
          </cell>
          <cell r="O47">
            <v>1.4897518515000001</v>
          </cell>
          <cell r="P47">
            <v>5</v>
          </cell>
          <cell r="Q47">
            <v>7.5672119175286268E-3</v>
          </cell>
          <cell r="R47">
            <v>8.5000000000000006E-2</v>
          </cell>
          <cell r="S47">
            <v>46</v>
          </cell>
          <cell r="T47">
            <v>0.04</v>
          </cell>
          <cell r="U47">
            <v>37835</v>
          </cell>
          <cell r="V47">
            <v>1</v>
          </cell>
          <cell r="W47">
            <v>0</v>
          </cell>
          <cell r="X47">
            <v>0</v>
          </cell>
          <cell r="Y47">
            <v>0</v>
          </cell>
          <cell r="Z47">
            <v>1</v>
          </cell>
          <cell r="AA47">
            <v>0</v>
          </cell>
          <cell r="AB47">
            <v>0</v>
          </cell>
          <cell r="AC47">
            <v>29.829090909090912</v>
          </cell>
          <cell r="AD47">
            <v>14.914545454545456</v>
          </cell>
          <cell r="AE47">
            <v>46040</v>
          </cell>
          <cell r="AF47">
            <v>0.03</v>
          </cell>
          <cell r="AG47">
            <v>0</v>
          </cell>
          <cell r="AH47">
            <v>1.0863703209695599</v>
          </cell>
          <cell r="AI47">
            <v>0.75947555783228182</v>
          </cell>
          <cell r="AJ47">
            <v>1.8458458788018417</v>
          </cell>
          <cell r="AK47">
            <v>4728.6602846263759</v>
          </cell>
          <cell r="AL47">
            <v>0</v>
          </cell>
          <cell r="AM47">
            <v>1.1872899682727429</v>
          </cell>
          <cell r="AN47">
            <v>0.83002793205713854</v>
          </cell>
          <cell r="AO47">
            <v>0.75947555783228182</v>
          </cell>
          <cell r="AP47">
            <v>15354.864</v>
          </cell>
          <cell r="AQ47">
            <v>7134.1149999999998</v>
          </cell>
          <cell r="AR47">
            <v>1.2</v>
          </cell>
          <cell r="AS47">
            <v>0.85</v>
          </cell>
          <cell r="AT47">
            <v>0.23400000000000001</v>
          </cell>
          <cell r="AU47">
            <v>0.36092262375</v>
          </cell>
          <cell r="AV47">
            <v>1</v>
          </cell>
          <cell r="AW47">
            <v>15604</v>
          </cell>
          <cell r="AX47">
            <v>0</v>
          </cell>
          <cell r="AY47">
            <v>0</v>
          </cell>
          <cell r="AZ47">
            <v>0</v>
          </cell>
        </row>
        <row r="48">
          <cell r="B48" t="str">
            <v>הוד השרון</v>
          </cell>
          <cell r="C48" t="str">
            <v xml:space="preserve">הוד השרון      </v>
          </cell>
          <cell r="D48" t="str">
            <v>חזק מאוד</v>
          </cell>
          <cell r="E48">
            <v>67523.53866666666</v>
          </cell>
          <cell r="F48">
            <v>39946.81</v>
          </cell>
          <cell r="G48">
            <v>83325.167999999991</v>
          </cell>
          <cell r="H48">
            <v>43653.900999999998</v>
          </cell>
          <cell r="I48">
            <v>0</v>
          </cell>
          <cell r="J48">
            <v>4001.3590000000004</v>
          </cell>
          <cell r="K48">
            <v>332.411</v>
          </cell>
          <cell r="L48">
            <v>0.3</v>
          </cell>
          <cell r="M48">
            <v>2009</v>
          </cell>
          <cell r="N48" t="e">
            <v>#REF!</v>
          </cell>
          <cell r="O48">
            <v>1.8811703950533372</v>
          </cell>
          <cell r="P48">
            <v>8</v>
          </cell>
          <cell r="Q48">
            <v>-2.9665550707775878E-3</v>
          </cell>
          <cell r="R48">
            <v>0.08</v>
          </cell>
          <cell r="S48">
            <v>47</v>
          </cell>
          <cell r="T48">
            <v>0.02</v>
          </cell>
          <cell r="U48">
            <v>48488</v>
          </cell>
          <cell r="V48">
            <v>1</v>
          </cell>
          <cell r="W48">
            <v>0</v>
          </cell>
          <cell r="X48">
            <v>0</v>
          </cell>
          <cell r="Y48">
            <v>0</v>
          </cell>
          <cell r="Z48">
            <v>1</v>
          </cell>
          <cell r="AA48">
            <v>0</v>
          </cell>
          <cell r="AB48">
            <v>0</v>
          </cell>
          <cell r="AC48">
            <v>29.829090909090912</v>
          </cell>
          <cell r="AD48">
            <v>14.914545454545456</v>
          </cell>
          <cell r="AE48">
            <v>46040</v>
          </cell>
          <cell r="AF48">
            <v>0.03</v>
          </cell>
          <cell r="AG48">
            <v>0</v>
          </cell>
          <cell r="AH48">
            <v>1.0126224685240721</v>
          </cell>
          <cell r="AI48">
            <v>0.70557963645581179</v>
          </cell>
          <cell r="AJ48">
            <v>1.7182021049798839</v>
          </cell>
          <cell r="AK48">
            <v>6875.1434565802037</v>
          </cell>
          <cell r="AL48">
            <v>0</v>
          </cell>
          <cell r="AM48">
            <v>1.1006765962218175</v>
          </cell>
          <cell r="AN48">
            <v>0.76693438745196929</v>
          </cell>
          <cell r="AO48">
            <v>0.70557963645581179</v>
          </cell>
          <cell r="AP48">
            <v>45332.273999999998</v>
          </cell>
          <cell r="AQ48">
            <v>38501.900999999998</v>
          </cell>
          <cell r="AR48">
            <v>1.2</v>
          </cell>
          <cell r="AS48">
            <v>0.85</v>
          </cell>
          <cell r="AT48">
            <v>0.21272727272727271</v>
          </cell>
          <cell r="AU48">
            <v>0.3281114761363636</v>
          </cell>
          <cell r="AV48">
            <v>1</v>
          </cell>
          <cell r="AW48">
            <v>17168</v>
          </cell>
          <cell r="AX48">
            <v>0</v>
          </cell>
          <cell r="AY48">
            <v>6.1341605109634427E-2</v>
          </cell>
          <cell r="AZ48">
            <v>7.0020528642702204E-3</v>
          </cell>
        </row>
        <row r="49">
          <cell r="B49" t="str">
            <v>אל עין</v>
          </cell>
          <cell r="C49" t="str">
            <v>אבו סנאן ג'דידה אלמכר ג'וליס  כפר יאסיף ירכא מזרעה יאנוח ג'ת</v>
          </cell>
          <cell r="D49" t="str">
            <v>חלש</v>
          </cell>
          <cell r="E49">
            <v>84941.368399999992</v>
          </cell>
          <cell r="F49">
            <v>56261.707000000002</v>
          </cell>
          <cell r="G49">
            <v>128271.93213333332</v>
          </cell>
          <cell r="H49">
            <v>102806.48299999999</v>
          </cell>
          <cell r="I49">
            <v>7377.9719999999998</v>
          </cell>
          <cell r="J49">
            <v>5224.0940000000001</v>
          </cell>
          <cell r="K49">
            <v>1.508</v>
          </cell>
          <cell r="L49">
            <v>0.4</v>
          </cell>
          <cell r="M49">
            <v>2008</v>
          </cell>
          <cell r="N49" t="e">
            <v>#REF!</v>
          </cell>
          <cell r="O49">
            <v>1.4204708738550591</v>
          </cell>
          <cell r="P49">
            <v>3</v>
          </cell>
          <cell r="Q49">
            <v>7.5672119175286268E-3</v>
          </cell>
          <cell r="R49">
            <v>0.1125</v>
          </cell>
          <cell r="S49">
            <v>48</v>
          </cell>
          <cell r="T49">
            <v>0.09</v>
          </cell>
          <cell r="U49">
            <v>69983</v>
          </cell>
          <cell r="V49">
            <v>7</v>
          </cell>
          <cell r="W49">
            <v>1</v>
          </cell>
          <cell r="X49">
            <v>0</v>
          </cell>
          <cell r="Y49">
            <v>0</v>
          </cell>
          <cell r="Z49">
            <v>2</v>
          </cell>
          <cell r="AA49">
            <v>0</v>
          </cell>
          <cell r="AB49">
            <v>0</v>
          </cell>
          <cell r="AC49">
            <v>29.829090909090912</v>
          </cell>
          <cell r="AD49">
            <v>14.914545454545456</v>
          </cell>
          <cell r="AE49">
            <v>46040</v>
          </cell>
          <cell r="AF49">
            <v>0.03</v>
          </cell>
          <cell r="AG49">
            <v>0</v>
          </cell>
          <cell r="AH49">
            <v>1.2681862136607982</v>
          </cell>
          <cell r="AI49">
            <v>0.98169560398504752</v>
          </cell>
          <cell r="AJ49">
            <v>2.2498818176458455</v>
          </cell>
          <cell r="AK49">
            <v>11753.594104272755</v>
          </cell>
          <cell r="AL49">
            <v>0</v>
          </cell>
          <cell r="AM49">
            <v>1.4289422125755473</v>
          </cell>
          <cell r="AN49">
            <v>1.1061358918141382</v>
          </cell>
          <cell r="AO49">
            <v>0</v>
          </cell>
          <cell r="AP49">
            <v>62597.707000000002</v>
          </cell>
          <cell r="AQ49">
            <v>104637.48299999999</v>
          </cell>
          <cell r="AR49">
            <v>1.6</v>
          </cell>
          <cell r="AS49">
            <v>2</v>
          </cell>
          <cell r="AT49">
            <v>0.25740000000000002</v>
          </cell>
          <cell r="AU49">
            <v>0.39701488612500002</v>
          </cell>
          <cell r="AV49">
            <v>1</v>
          </cell>
          <cell r="AW49">
            <v>17668</v>
          </cell>
          <cell r="AX49">
            <v>0</v>
          </cell>
          <cell r="AY49">
            <v>1.5450217995452004E-2</v>
          </cell>
          <cell r="AZ49">
            <v>0</v>
          </cell>
        </row>
        <row r="50">
          <cell r="B50" t="str">
            <v>מי גליל</v>
          </cell>
          <cell r="C50" t="str">
            <v>דיר אלאסד דיר חנא נחף עראבה סכנין בענה מג'דל כרום</v>
          </cell>
          <cell r="D50" t="str">
            <v>חלש</v>
          </cell>
          <cell r="E50">
            <v>77143.966666666674</v>
          </cell>
          <cell r="F50">
            <v>49246.076999999997</v>
          </cell>
          <cell r="G50">
            <v>124184.92266666667</v>
          </cell>
          <cell r="H50">
            <v>94168.620999999985</v>
          </cell>
          <cell r="I50">
            <v>4136.0529999999999</v>
          </cell>
          <cell r="J50">
            <v>7444.8320000000003</v>
          </cell>
          <cell r="K50">
            <v>20.026</v>
          </cell>
          <cell r="L50">
            <v>0.4</v>
          </cell>
          <cell r="M50">
            <v>2008</v>
          </cell>
          <cell r="N50" t="e">
            <v>#REF!</v>
          </cell>
          <cell r="O50">
            <v>1.3922477661961532</v>
          </cell>
          <cell r="P50">
            <v>2</v>
          </cell>
          <cell r="Q50">
            <v>7.5672119175286268E-3</v>
          </cell>
          <cell r="R50">
            <v>0.1125</v>
          </cell>
          <cell r="S50">
            <v>49</v>
          </cell>
          <cell r="T50">
            <v>0.09</v>
          </cell>
          <cell r="U50">
            <v>99389</v>
          </cell>
          <cell r="V50">
            <v>7</v>
          </cell>
          <cell r="W50">
            <v>1</v>
          </cell>
          <cell r="X50">
            <v>0</v>
          </cell>
          <cell r="Y50">
            <v>0</v>
          </cell>
          <cell r="Z50">
            <v>2</v>
          </cell>
          <cell r="AA50">
            <v>0</v>
          </cell>
          <cell r="AB50">
            <v>0</v>
          </cell>
          <cell r="AC50">
            <v>29.829090909090912</v>
          </cell>
          <cell r="AD50">
            <v>14.914545454545456</v>
          </cell>
          <cell r="AE50">
            <v>46040</v>
          </cell>
          <cell r="AF50">
            <v>0.03</v>
          </cell>
          <cell r="AG50">
            <v>0</v>
          </cell>
          <cell r="AH50">
            <v>1.2330063659769257</v>
          </cell>
          <cell r="AI50">
            <v>0.95621911292964157</v>
          </cell>
          <cell r="AJ50">
            <v>2.1892254789065673</v>
          </cell>
          <cell r="AK50">
            <v>16298.415900578937</v>
          </cell>
          <cell r="AL50">
            <v>0</v>
          </cell>
          <cell r="AM50">
            <v>1.3893029475796346</v>
          </cell>
          <cell r="AN50">
            <v>1.0774299863995962</v>
          </cell>
          <cell r="AO50">
            <v>0</v>
          </cell>
          <cell r="AP50">
            <v>52249.180999999997</v>
          </cell>
          <cell r="AQ50">
            <v>94145.628999999986</v>
          </cell>
          <cell r="AR50">
            <v>1.6</v>
          </cell>
          <cell r="AS50">
            <v>2</v>
          </cell>
          <cell r="AT50">
            <v>0.25740000000000002</v>
          </cell>
          <cell r="AU50">
            <v>0.39701488612500002</v>
          </cell>
          <cell r="AV50">
            <v>1</v>
          </cell>
          <cell r="AW50">
            <v>20335</v>
          </cell>
          <cell r="AX50">
            <v>0</v>
          </cell>
          <cell r="AY50">
            <v>1.2461701352659543E-2</v>
          </cell>
          <cell r="AZ50">
            <v>0</v>
          </cell>
        </row>
        <row r="51">
          <cell r="B51" t="str">
            <v>מי אשקלון</v>
          </cell>
          <cell r="C51" t="str">
            <v xml:space="preserve">אשקלון  נתיבות     </v>
          </cell>
          <cell r="D51" t="str">
            <v>בינוני</v>
          </cell>
          <cell r="E51">
            <v>121482.69306666669</v>
          </cell>
          <cell r="F51">
            <v>57644.087000000007</v>
          </cell>
          <cell r="G51">
            <v>147005.39173333332</v>
          </cell>
          <cell r="H51">
            <v>74169.463000000003</v>
          </cell>
          <cell r="I51">
            <v>36753.584000000003</v>
          </cell>
          <cell r="J51">
            <v>12240.239</v>
          </cell>
          <cell r="K51">
            <v>668.96100000000001</v>
          </cell>
          <cell r="L51">
            <v>0.4</v>
          </cell>
          <cell r="M51">
            <v>2008</v>
          </cell>
          <cell r="N51" t="e">
            <v>#REF!</v>
          </cell>
          <cell r="O51">
            <v>1.260938809259837</v>
          </cell>
          <cell r="P51">
            <v>5</v>
          </cell>
          <cell r="Q51">
            <v>7.5672119175286268E-3</v>
          </cell>
          <cell r="R51">
            <v>9.2499999999999999E-2</v>
          </cell>
          <cell r="S51">
            <v>50</v>
          </cell>
          <cell r="T51">
            <v>0.04</v>
          </cell>
          <cell r="U51">
            <v>145407</v>
          </cell>
          <cell r="V51">
            <v>2</v>
          </cell>
          <cell r="W51">
            <v>1</v>
          </cell>
          <cell r="X51">
            <v>1</v>
          </cell>
          <cell r="Y51">
            <v>0</v>
          </cell>
          <cell r="Z51">
            <v>3</v>
          </cell>
          <cell r="AA51">
            <v>0</v>
          </cell>
          <cell r="AB51">
            <v>0</v>
          </cell>
          <cell r="AC51">
            <v>29.829090909090912</v>
          </cell>
          <cell r="AD51">
            <v>14.914545454545456</v>
          </cell>
          <cell r="AE51">
            <v>46040</v>
          </cell>
          <cell r="AF51">
            <v>0.03</v>
          </cell>
          <cell r="AG51">
            <v>0</v>
          </cell>
          <cell r="AH51">
            <v>1.0670639995438727</v>
          </cell>
          <cell r="AI51">
            <v>0.76670307935121484</v>
          </cell>
          <cell r="AJ51">
            <v>1.8337670788950875</v>
          </cell>
          <cell r="AK51">
            <v>22445.747316007728</v>
          </cell>
          <cell r="AL51">
            <v>0</v>
          </cell>
          <cell r="AM51">
            <v>1.1758280986709342</v>
          </cell>
          <cell r="AN51">
            <v>0.84485187807296402</v>
          </cell>
          <cell r="AO51">
            <v>0</v>
          </cell>
          <cell r="AP51">
            <v>69583.839000000007</v>
          </cell>
          <cell r="AQ51">
            <v>80912.463000000003</v>
          </cell>
          <cell r="AR51">
            <v>1.6</v>
          </cell>
          <cell r="AS51">
            <v>2</v>
          </cell>
          <cell r="AT51">
            <v>0.23400000000000001</v>
          </cell>
          <cell r="AU51">
            <v>0.36092262375</v>
          </cell>
          <cell r="AV51">
            <v>1</v>
          </cell>
          <cell r="AW51">
            <v>52780</v>
          </cell>
          <cell r="AX51">
            <v>0</v>
          </cell>
          <cell r="AY51">
            <v>6.4386228079574273E-3</v>
          </cell>
          <cell r="AZ51">
            <v>0</v>
          </cell>
        </row>
        <row r="52">
          <cell r="B52" t="str">
            <v>מי דרום</v>
          </cell>
          <cell r="C52" t="str">
            <v xml:space="preserve">דימונה ערד ירוחם מצפה רמון   </v>
          </cell>
          <cell r="D52" t="str">
            <v>חלש</v>
          </cell>
          <cell r="E52">
            <v>99805.30266666667</v>
          </cell>
          <cell r="F52">
            <v>37842.828999999998</v>
          </cell>
          <cell r="G52">
            <v>129973.88426666665</v>
          </cell>
          <cell r="H52">
            <v>36608.271000000001</v>
          </cell>
          <cell r="I52">
            <v>25538.787</v>
          </cell>
          <cell r="J52">
            <v>7248.96</v>
          </cell>
          <cell r="K52">
            <v>845.38599999999997</v>
          </cell>
          <cell r="L52">
            <v>0.4</v>
          </cell>
          <cell r="M52">
            <v>2008</v>
          </cell>
          <cell r="N52" t="e">
            <v>#REF!</v>
          </cell>
          <cell r="O52">
            <v>1.7456277803219622</v>
          </cell>
          <cell r="P52">
            <v>4</v>
          </cell>
          <cell r="Q52">
            <v>7.5672119175286268E-3</v>
          </cell>
          <cell r="R52">
            <v>0.1125</v>
          </cell>
          <cell r="S52">
            <v>51</v>
          </cell>
          <cell r="T52">
            <v>0.09</v>
          </cell>
          <cell r="U52">
            <v>69420</v>
          </cell>
          <cell r="V52">
            <v>4</v>
          </cell>
          <cell r="W52">
            <v>1</v>
          </cell>
          <cell r="X52">
            <v>0</v>
          </cell>
          <cell r="Y52">
            <v>0</v>
          </cell>
          <cell r="Z52">
            <v>2</v>
          </cell>
          <cell r="AA52">
            <v>0</v>
          </cell>
          <cell r="AB52">
            <v>0</v>
          </cell>
          <cell r="AC52">
            <v>29.829090909090912</v>
          </cell>
          <cell r="AD52">
            <v>14.914545454545456</v>
          </cell>
          <cell r="AE52">
            <v>46040</v>
          </cell>
          <cell r="AF52">
            <v>0.03</v>
          </cell>
          <cell r="AG52">
            <v>0</v>
          </cell>
          <cell r="AH52">
            <v>1.1585825916731325</v>
          </cell>
          <cell r="AI52">
            <v>0.86498164263426081</v>
          </cell>
          <cell r="AJ52">
            <v>2.0235642343073934</v>
          </cell>
          <cell r="AK52">
            <v>14668.736191924923</v>
          </cell>
          <cell r="AL52">
            <v>0</v>
          </cell>
          <cell r="AM52">
            <v>1.3054451737162056</v>
          </cell>
          <cell r="AN52">
            <v>0.97462720296818128</v>
          </cell>
          <cell r="AO52">
            <v>0</v>
          </cell>
          <cell r="AP52">
            <v>41699.828999999998</v>
          </cell>
          <cell r="AQ52">
            <v>41485.478999999999</v>
          </cell>
          <cell r="AR52">
            <v>1.6</v>
          </cell>
          <cell r="AS52">
            <v>2</v>
          </cell>
          <cell r="AT52">
            <v>0.25740000000000002</v>
          </cell>
          <cell r="AU52">
            <v>0.39701488612500002</v>
          </cell>
          <cell r="AV52">
            <v>1</v>
          </cell>
          <cell r="AW52">
            <v>27972</v>
          </cell>
          <cell r="AX52">
            <v>0</v>
          </cell>
          <cell r="AY52">
            <v>1.6149989133258207E-3</v>
          </cell>
          <cell r="AZ52">
            <v>0</v>
          </cell>
        </row>
        <row r="53">
          <cell r="B53" t="str">
            <v>מעיינות העמקים</v>
          </cell>
          <cell r="C53" t="str">
            <v xml:space="preserve">קריית טבעון יקנעם עילית רמת ישי    </v>
          </cell>
          <cell r="D53" t="str">
            <v>חזק מאוד</v>
          </cell>
          <cell r="E53">
            <v>58433.842799999991</v>
          </cell>
          <cell r="F53">
            <v>32102.364999999998</v>
          </cell>
          <cell r="G53">
            <v>87658.353733333337</v>
          </cell>
          <cell r="H53">
            <v>41222.139000000003</v>
          </cell>
          <cell r="I53">
            <v>4649.616</v>
          </cell>
          <cell r="J53">
            <v>3208.2359999999999</v>
          </cell>
          <cell r="K53">
            <v>188.791</v>
          </cell>
          <cell r="L53">
            <v>0.4</v>
          </cell>
          <cell r="M53">
            <v>2009</v>
          </cell>
          <cell r="N53" t="e">
            <v>#REF!</v>
          </cell>
          <cell r="O53">
            <v>0.60119772172478703</v>
          </cell>
          <cell r="P53">
            <v>9</v>
          </cell>
          <cell r="Q53">
            <v>-2.9665550707775878E-3</v>
          </cell>
          <cell r="R53">
            <v>0.08</v>
          </cell>
          <cell r="S53">
            <v>52</v>
          </cell>
          <cell r="T53">
            <v>0.02</v>
          </cell>
          <cell r="U53">
            <v>40000</v>
          </cell>
          <cell r="V53">
            <v>3</v>
          </cell>
          <cell r="W53">
            <v>0</v>
          </cell>
          <cell r="X53">
            <v>0</v>
          </cell>
          <cell r="Y53">
            <v>0</v>
          </cell>
          <cell r="Z53">
            <v>1</v>
          </cell>
          <cell r="AA53">
            <v>0</v>
          </cell>
          <cell r="AB53">
            <v>0</v>
          </cell>
          <cell r="AC53">
            <v>29.829090909090912</v>
          </cell>
          <cell r="AD53">
            <v>14.914545454545456</v>
          </cell>
          <cell r="AE53">
            <v>46040</v>
          </cell>
          <cell r="AF53">
            <v>0.03</v>
          </cell>
          <cell r="AG53">
            <v>0</v>
          </cell>
          <cell r="AH53">
            <v>1.1064915128868245</v>
          </cell>
          <cell r="AI53">
            <v>0.80036575030205537</v>
          </cell>
          <cell r="AJ53">
            <v>1.9068572631888798</v>
          </cell>
          <cell r="AK53">
            <v>6117.6481186240389</v>
          </cell>
          <cell r="AL53">
            <v>0</v>
          </cell>
          <cell r="AM53">
            <v>1.2027081661813308</v>
          </cell>
          <cell r="AN53">
            <v>0.86996277206745143</v>
          </cell>
          <cell r="AO53">
            <v>0</v>
          </cell>
          <cell r="AP53">
            <v>37829.580999999998</v>
          </cell>
          <cell r="AQ53">
            <v>46991.059000000001</v>
          </cell>
          <cell r="AR53">
            <v>1.6</v>
          </cell>
          <cell r="AS53">
            <v>2</v>
          </cell>
          <cell r="AT53">
            <v>0.21272727272727271</v>
          </cell>
          <cell r="AU53">
            <v>0.3281114761363636</v>
          </cell>
          <cell r="AV53">
            <v>1</v>
          </cell>
          <cell r="AW53">
            <v>15074</v>
          </cell>
          <cell r="AX53">
            <v>0</v>
          </cell>
          <cell r="AY53">
            <v>3.910277361737422E-4</v>
          </cell>
          <cell r="AZ53">
            <v>0</v>
          </cell>
        </row>
        <row r="54">
          <cell r="B54" t="str">
            <v>בית שמש</v>
          </cell>
          <cell r="C54" t="str">
            <v xml:space="preserve">בית שמש      </v>
          </cell>
          <cell r="D54" t="str">
            <v>חלש</v>
          </cell>
          <cell r="E54">
            <v>51976.671200000004</v>
          </cell>
          <cell r="F54">
            <v>32329.614000000001</v>
          </cell>
          <cell r="G54">
            <v>48914.075333333334</v>
          </cell>
          <cell r="H54">
            <v>26110.799999999999</v>
          </cell>
          <cell r="I54">
            <v>8248.2649999999994</v>
          </cell>
          <cell r="J54">
            <v>5224.5789999999997</v>
          </cell>
          <cell r="K54">
            <v>185.28700000000001</v>
          </cell>
          <cell r="L54">
            <v>0.3</v>
          </cell>
          <cell r="M54">
            <v>2009</v>
          </cell>
          <cell r="N54" t="e">
            <v>#REF!</v>
          </cell>
          <cell r="O54">
            <v>1.4785375607560025</v>
          </cell>
          <cell r="P54">
            <v>3</v>
          </cell>
          <cell r="Q54">
            <v>-2.9665550707775878E-3</v>
          </cell>
          <cell r="R54">
            <v>0.1125</v>
          </cell>
          <cell r="S54">
            <v>53</v>
          </cell>
          <cell r="T54">
            <v>0.09</v>
          </cell>
          <cell r="U54">
            <v>80561</v>
          </cell>
          <cell r="V54">
            <v>1</v>
          </cell>
          <cell r="W54">
            <v>1</v>
          </cell>
          <cell r="X54">
            <v>0</v>
          </cell>
          <cell r="Y54">
            <v>0</v>
          </cell>
          <cell r="Z54">
            <v>2</v>
          </cell>
          <cell r="AA54">
            <v>0</v>
          </cell>
          <cell r="AB54">
            <v>0</v>
          </cell>
          <cell r="AC54">
            <v>29.829090909090912</v>
          </cell>
          <cell r="AD54">
            <v>14.914545454545456</v>
          </cell>
          <cell r="AE54">
            <v>46040</v>
          </cell>
          <cell r="AF54">
            <v>0.03</v>
          </cell>
          <cell r="AG54">
            <v>0</v>
          </cell>
          <cell r="AH54">
            <v>1.0487386535909653</v>
          </cell>
          <cell r="AI54">
            <v>0.75553278973673443</v>
          </cell>
          <cell r="AJ54">
            <v>1.8042714433276998</v>
          </cell>
          <cell r="AK54">
            <v>9426.5586931095895</v>
          </cell>
          <cell r="AL54">
            <v>0</v>
          </cell>
          <cell r="AM54">
            <v>1.1816773561588343</v>
          </cell>
          <cell r="AN54">
            <v>0.85130455181603881</v>
          </cell>
          <cell r="AO54">
            <v>0.75553278973673443</v>
          </cell>
          <cell r="AP54">
            <v>34929.398000000001</v>
          </cell>
          <cell r="AQ54">
            <v>27289.263999999999</v>
          </cell>
          <cell r="AR54">
            <v>1.2</v>
          </cell>
          <cell r="AS54">
            <v>0.85</v>
          </cell>
          <cell r="AT54">
            <v>0.25740000000000002</v>
          </cell>
          <cell r="AU54">
            <v>0.39701488612500002</v>
          </cell>
          <cell r="AV54">
            <v>1</v>
          </cell>
          <cell r="AW54">
            <v>20022</v>
          </cell>
          <cell r="AX54">
            <v>0</v>
          </cell>
          <cell r="AY54">
            <v>0</v>
          </cell>
          <cell r="AZ54">
            <v>0</v>
          </cell>
        </row>
        <row r="55">
          <cell r="B55" t="str">
            <v>ישובי המשולש</v>
          </cell>
          <cell r="C55" t="str">
            <v xml:space="preserve"> ג'לג'וליה  כפר קאסם טירה   </v>
          </cell>
          <cell r="D55" t="str">
            <v>חלש</v>
          </cell>
          <cell r="E55">
            <v>40266.266133333331</v>
          </cell>
          <cell r="F55">
            <v>27474.741999999998</v>
          </cell>
          <cell r="G55">
            <v>56550.231733333334</v>
          </cell>
          <cell r="H55">
            <v>42313.864000000001</v>
          </cell>
          <cell r="I55">
            <v>35.124000000000002</v>
          </cell>
          <cell r="J55">
            <v>5307.0460000000003</v>
          </cell>
          <cell r="K55">
            <v>201.34899999999999</v>
          </cell>
          <cell r="L55">
            <v>0.4</v>
          </cell>
          <cell r="M55">
            <v>2008</v>
          </cell>
          <cell r="N55" t="e">
            <v>#REF!</v>
          </cell>
          <cell r="O55">
            <v>0.74146451725819817</v>
          </cell>
          <cell r="P55">
            <v>3</v>
          </cell>
          <cell r="Q55">
            <v>7.5672119175286268E-3</v>
          </cell>
          <cell r="R55">
            <v>0.1125</v>
          </cell>
          <cell r="S55">
            <v>54</v>
          </cell>
          <cell r="T55">
            <v>0.09</v>
          </cell>
          <cell r="U55">
            <v>52082</v>
          </cell>
          <cell r="V55">
            <v>3</v>
          </cell>
          <cell r="W55">
            <v>0</v>
          </cell>
          <cell r="X55">
            <v>0</v>
          </cell>
          <cell r="Y55">
            <v>0</v>
          </cell>
          <cell r="Z55">
            <v>1</v>
          </cell>
          <cell r="AA55">
            <v>0</v>
          </cell>
          <cell r="AB55">
            <v>0</v>
          </cell>
          <cell r="AC55">
            <v>29.829090909090912</v>
          </cell>
          <cell r="AD55">
            <v>14.914545454545456</v>
          </cell>
          <cell r="AE55">
            <v>46040</v>
          </cell>
          <cell r="AF55">
            <v>0.03</v>
          </cell>
          <cell r="AG55">
            <v>0</v>
          </cell>
          <cell r="AH55">
            <v>1.109354398001309</v>
          </cell>
          <cell r="AI55">
            <v>0.82451592121043349</v>
          </cell>
          <cell r="AJ55">
            <v>1.9338703192117426</v>
          </cell>
          <cell r="AK55">
            <v>10263.138742091402</v>
          </cell>
          <cell r="AL55">
            <v>0</v>
          </cell>
          <cell r="AM55">
            <v>1.2499767864803482</v>
          </cell>
          <cell r="AN55">
            <v>0.92903202389908002</v>
          </cell>
          <cell r="AO55">
            <v>0</v>
          </cell>
          <cell r="AP55">
            <v>27474.741999999998</v>
          </cell>
          <cell r="AQ55">
            <v>42313.864000000001</v>
          </cell>
          <cell r="AR55">
            <v>1.6</v>
          </cell>
          <cell r="AS55">
            <v>2</v>
          </cell>
          <cell r="AT55">
            <v>0.25740000000000002</v>
          </cell>
          <cell r="AU55">
            <v>0.39701488612500002</v>
          </cell>
          <cell r="AV55">
            <v>1</v>
          </cell>
          <cell r="AW55">
            <v>17360.666666666668</v>
          </cell>
          <cell r="AX55">
            <v>0</v>
          </cell>
          <cell r="AY55">
            <v>0</v>
          </cell>
          <cell r="AZ55">
            <v>0</v>
          </cell>
        </row>
        <row r="56">
          <cell r="B56" t="str">
            <v>בדואים</v>
          </cell>
          <cell r="C56" t="str">
            <v xml:space="preserve">תל שבע כסיפה ערערה בנגב לקיה חורה שגב שלום </v>
          </cell>
          <cell r="D56" t="str">
            <v>חלש</v>
          </cell>
          <cell r="E56">
            <v>76384.90863333334</v>
          </cell>
          <cell r="F56">
            <v>44614.951000000001</v>
          </cell>
          <cell r="G56">
            <v>127125.29220000001</v>
          </cell>
          <cell r="H56">
            <v>100516.398</v>
          </cell>
          <cell r="I56">
            <v>9236.1610000000001</v>
          </cell>
          <cell r="J56">
            <v>5648.2979999999998</v>
          </cell>
          <cell r="K56">
            <v>38.796999999999997</v>
          </cell>
          <cell r="L56">
            <v>0.4</v>
          </cell>
          <cell r="M56">
            <v>2008</v>
          </cell>
          <cell r="N56" t="e">
            <v>#REF!</v>
          </cell>
          <cell r="O56">
            <v>1.1779540407283871</v>
          </cell>
          <cell r="P56">
            <v>1</v>
          </cell>
          <cell r="Q56">
            <v>7.5672119175286268E-3</v>
          </cell>
          <cell r="R56">
            <v>0.1125</v>
          </cell>
          <cell r="S56">
            <v>55</v>
          </cell>
          <cell r="T56">
            <v>0.09</v>
          </cell>
          <cell r="U56">
            <v>81732</v>
          </cell>
          <cell r="V56">
            <v>6</v>
          </cell>
          <cell r="W56">
            <v>1</v>
          </cell>
          <cell r="X56">
            <v>0</v>
          </cell>
          <cell r="Y56">
            <v>0</v>
          </cell>
          <cell r="Z56">
            <v>2</v>
          </cell>
          <cell r="AA56">
            <v>0</v>
          </cell>
          <cell r="AB56">
            <v>0</v>
          </cell>
          <cell r="AC56">
            <v>29.829090909090912</v>
          </cell>
          <cell r="AD56">
            <v>14.914545454545456</v>
          </cell>
          <cell r="AE56">
            <v>46040</v>
          </cell>
          <cell r="AF56">
            <v>0.03</v>
          </cell>
          <cell r="AG56">
            <v>0</v>
          </cell>
          <cell r="AH56">
            <v>1.2690587824061232</v>
          </cell>
          <cell r="AI56">
            <v>0.96107067415310188</v>
          </cell>
          <cell r="AJ56">
            <v>2.2301294565592249</v>
          </cell>
          <cell r="AK56">
            <v>12596.435749224556</v>
          </cell>
          <cell r="AL56">
            <v>0</v>
          </cell>
          <cell r="AM56">
            <v>1.4299253886266179</v>
          </cell>
          <cell r="AN56">
            <v>1.0828965342570163</v>
          </cell>
          <cell r="AO56">
            <v>0</v>
          </cell>
          <cell r="AP56">
            <v>46846.951000000001</v>
          </cell>
          <cell r="AQ56">
            <v>102039.398</v>
          </cell>
          <cell r="AR56">
            <v>1.6</v>
          </cell>
          <cell r="AS56">
            <v>2</v>
          </cell>
          <cell r="AT56">
            <v>0.25740000000000002</v>
          </cell>
          <cell r="AU56">
            <v>0.39701488612500002</v>
          </cell>
          <cell r="AV56">
            <v>1</v>
          </cell>
          <cell r="AW56">
            <v>27244</v>
          </cell>
          <cell r="AX56">
            <v>0</v>
          </cell>
          <cell r="AY56">
            <v>1.0072816371849434E-4</v>
          </cell>
          <cell r="AZ56">
            <v>0</v>
          </cell>
        </row>
        <row r="57">
          <cell r="B57" t="str">
            <v>פלגי השרון</v>
          </cell>
          <cell r="C57" t="str">
            <v xml:space="preserve">כפר סבא צור יגאל     </v>
          </cell>
          <cell r="D57" t="str">
            <v>חזק מאוד</v>
          </cell>
          <cell r="E57">
            <v>16863.746666666666</v>
          </cell>
          <cell r="F57">
            <v>5187.4089999999997</v>
          </cell>
          <cell r="G57">
            <v>140937.07919999998</v>
          </cell>
          <cell r="H57">
            <v>54061.987999999998</v>
          </cell>
          <cell r="I57">
            <v>2472</v>
          </cell>
          <cell r="J57">
            <v>1017.579</v>
          </cell>
          <cell r="K57">
            <v>67.325000000000003</v>
          </cell>
          <cell r="L57">
            <v>0.4</v>
          </cell>
          <cell r="M57">
            <v>2010</v>
          </cell>
          <cell r="N57" t="e">
            <v>#REF!</v>
          </cell>
          <cell r="O57">
            <v>1.8190475590715949</v>
          </cell>
          <cell r="P57">
            <v>7</v>
          </cell>
          <cell r="Q57">
            <v>7.231248230426579E-2</v>
          </cell>
          <cell r="R57">
            <v>0.08</v>
          </cell>
          <cell r="S57">
            <v>56</v>
          </cell>
          <cell r="T57">
            <v>0.02</v>
          </cell>
          <cell r="U57">
            <v>90000</v>
          </cell>
          <cell r="V57">
            <v>2</v>
          </cell>
          <cell r="W57">
            <v>1</v>
          </cell>
          <cell r="X57">
            <v>0</v>
          </cell>
          <cell r="Y57">
            <v>0</v>
          </cell>
          <cell r="Z57">
            <v>2</v>
          </cell>
          <cell r="AA57">
            <v>0</v>
          </cell>
          <cell r="AB57">
            <v>0</v>
          </cell>
          <cell r="AC57">
            <v>29.829090909090912</v>
          </cell>
          <cell r="AD57">
            <v>14.914545454545456</v>
          </cell>
          <cell r="AE57">
            <v>46040</v>
          </cell>
          <cell r="AF57">
            <v>0.03</v>
          </cell>
          <cell r="AG57">
            <v>0</v>
          </cell>
          <cell r="AH57">
            <v>1.6</v>
          </cell>
          <cell r="AI57">
            <v>1.2298240111520007</v>
          </cell>
          <cell r="AJ57">
            <v>2.8298240111520006</v>
          </cell>
          <cell r="AK57">
            <v>2879.5694874440414</v>
          </cell>
          <cell r="AL57">
            <v>1</v>
          </cell>
          <cell r="AM57">
            <v>1.7391304347826086</v>
          </cell>
          <cell r="AN57">
            <v>1.3367652295130441</v>
          </cell>
          <cell r="AO57">
            <v>0</v>
          </cell>
          <cell r="AP57">
            <v>5673.4089999999997</v>
          </cell>
          <cell r="AQ57">
            <v>56916.987999999998</v>
          </cell>
          <cell r="AR57">
            <v>1.6</v>
          </cell>
          <cell r="AS57">
            <v>2</v>
          </cell>
          <cell r="AT57">
            <v>0.21272727272727271</v>
          </cell>
          <cell r="AU57">
            <v>0.3281114761363636</v>
          </cell>
          <cell r="AV57">
            <v>1</v>
          </cell>
          <cell r="AW57">
            <v>35000</v>
          </cell>
          <cell r="AX57">
            <v>0</v>
          </cell>
          <cell r="AY57">
            <v>0</v>
          </cell>
          <cell r="AZ57">
            <v>0</v>
          </cell>
        </row>
        <row r="58">
          <cell r="B58" t="str">
            <v>מי תקווה</v>
          </cell>
          <cell r="C58" t="str">
            <v xml:space="preserve">גני תקווה      </v>
          </cell>
          <cell r="D58" t="str">
            <v>חזק מאוד</v>
          </cell>
          <cell r="E58">
            <v>18989.509999999998</v>
          </cell>
          <cell r="F58">
            <v>9665.0560000000005</v>
          </cell>
          <cell r="G58">
            <v>17786.932000000001</v>
          </cell>
          <cell r="H58">
            <v>10505.34</v>
          </cell>
          <cell r="I58">
            <v>2772</v>
          </cell>
          <cell r="J58">
            <v>1069.8119999999999</v>
          </cell>
          <cell r="K58">
            <v>93.358000000000004</v>
          </cell>
          <cell r="L58">
            <v>0.4</v>
          </cell>
          <cell r="M58">
            <v>2009</v>
          </cell>
          <cell r="O58">
            <v>1.7082832800000001</v>
          </cell>
          <cell r="P58">
            <v>8</v>
          </cell>
          <cell r="Q58">
            <v>-2.9665550707775878E-3</v>
          </cell>
          <cell r="R58">
            <v>0.08</v>
          </cell>
          <cell r="S58">
            <v>57</v>
          </cell>
          <cell r="T58">
            <v>0.02</v>
          </cell>
          <cell r="U58">
            <v>13910</v>
          </cell>
          <cell r="V58">
            <v>1</v>
          </cell>
          <cell r="W58">
            <v>0</v>
          </cell>
          <cell r="X58">
            <v>0</v>
          </cell>
          <cell r="Y58">
            <v>0</v>
          </cell>
          <cell r="Z58">
            <v>1</v>
          </cell>
          <cell r="AA58">
            <v>0</v>
          </cell>
          <cell r="AB58">
            <v>0</v>
          </cell>
          <cell r="AC58">
            <v>29.829090909090912</v>
          </cell>
          <cell r="AD58">
            <v>14.914545454545456</v>
          </cell>
          <cell r="AE58">
            <v>46040</v>
          </cell>
          <cell r="AF58">
            <v>0.03</v>
          </cell>
          <cell r="AG58">
            <v>0</v>
          </cell>
          <cell r="AH58">
            <v>1.0208701198285215</v>
          </cell>
          <cell r="AI58">
            <v>0.67320448854017156</v>
          </cell>
          <cell r="AJ58">
            <v>1.6940746083686931</v>
          </cell>
          <cell r="AK58">
            <v>1812.3413449281281</v>
          </cell>
          <cell r="AL58">
            <v>0</v>
          </cell>
          <cell r="AM58">
            <v>1.1096414345962189</v>
          </cell>
          <cell r="AN58">
            <v>0.73174400928279515</v>
          </cell>
          <cell r="AO58">
            <v>0.67320448854017156</v>
          </cell>
          <cell r="AP58">
            <v>9665.0560000000005</v>
          </cell>
          <cell r="AQ58">
            <v>10505.34</v>
          </cell>
          <cell r="AR58">
            <v>1.2</v>
          </cell>
          <cell r="AS58">
            <v>0.85</v>
          </cell>
          <cell r="AT58">
            <v>0.21272727272727271</v>
          </cell>
          <cell r="AU58">
            <v>0.3281114761363636</v>
          </cell>
          <cell r="AV58">
            <v>0</v>
          </cell>
          <cell r="AW58">
            <v>5137</v>
          </cell>
          <cell r="AX58">
            <v>0</v>
          </cell>
          <cell r="AY58">
            <v>0</v>
          </cell>
          <cell r="AZ58">
            <v>0</v>
          </cell>
        </row>
        <row r="60">
          <cell r="C60" t="str">
            <v>ינואר עד יוני 2010</v>
          </cell>
          <cell r="J60">
            <v>502778.18099999992</v>
          </cell>
          <cell r="AC60">
            <v>29.829090909090894</v>
          </cell>
          <cell r="AJ60">
            <v>1.8704758986002534</v>
          </cell>
          <cell r="AK60">
            <v>940434.46990257571</v>
          </cell>
        </row>
        <row r="61">
          <cell r="C61" t="str">
            <v>יולי עד דצמבר 2010</v>
          </cell>
        </row>
        <row r="63">
          <cell r="C63">
            <v>1</v>
          </cell>
          <cell r="D63" t="str">
            <v>ראשונה</v>
          </cell>
          <cell r="AH63">
            <v>1.6</v>
          </cell>
          <cell r="AI63">
            <v>1.2298240111520007</v>
          </cell>
          <cell r="AJ63">
            <v>2.8298240111520006</v>
          </cell>
          <cell r="AO63">
            <v>0.77329193299550747</v>
          </cell>
        </row>
        <row r="64">
          <cell r="C64">
            <v>2</v>
          </cell>
          <cell r="D64" t="str">
            <v>שניה</v>
          </cell>
          <cell r="AH64">
            <v>0.96058097179446678</v>
          </cell>
          <cell r="AI64">
            <v>0.67780653564814664</v>
          </cell>
          <cell r="AJ64">
            <v>1.657161855039202</v>
          </cell>
          <cell r="AO64">
            <v>0</v>
          </cell>
        </row>
        <row r="66">
          <cell r="AL66">
            <v>9.9000000000000005E-2</v>
          </cell>
        </row>
        <row r="67">
          <cell r="AL67">
            <v>0.1640557380681818</v>
          </cell>
        </row>
        <row r="68">
          <cell r="AL68">
            <v>0.61</v>
          </cell>
        </row>
        <row r="69">
          <cell r="AL69">
            <v>0.87305573806818182</v>
          </cell>
        </row>
        <row r="70">
          <cell r="AL70">
            <v>-0.19669997210596524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>
        <row r="57">
          <cell r="D57">
            <v>4.5973162126998046</v>
          </cell>
        </row>
      </sheetData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6"/>
  <sheetViews>
    <sheetView rightToLeft="1" topLeftCell="D1" workbookViewId="0">
      <pane xSplit="3" ySplit="3" topLeftCell="AP4" activePane="bottomRight" state="frozen"/>
      <selection activeCell="D1" sqref="D1"/>
      <selection pane="topRight" activeCell="G1" sqref="G1"/>
      <selection pane="bottomLeft" activeCell="D4" sqref="D4"/>
      <selection pane="bottomRight" activeCell="G2" sqref="G2:AV2"/>
    </sheetView>
  </sheetViews>
  <sheetFormatPr defaultRowHeight="14.25" x14ac:dyDescent="0.2"/>
  <cols>
    <col min="1" max="1" width="5.25" style="1" hidden="1" customWidth="1"/>
    <col min="2" max="2" width="5" style="1" hidden="1" customWidth="1"/>
    <col min="3" max="3" width="9" style="1"/>
    <col min="4" max="4" width="33" style="1" customWidth="1"/>
    <col min="5" max="5" width="0" style="1" hidden="1" customWidth="1"/>
    <col min="6" max="6" width="3.875" style="1" customWidth="1"/>
    <col min="7" max="7" width="9" style="1"/>
    <col min="8" max="8" width="10.125" style="1" bestFit="1" customWidth="1"/>
    <col min="9" max="10" width="9" style="1"/>
    <col min="11" max="11" width="9" style="2"/>
    <col min="12" max="13" width="9" style="1"/>
    <col min="14" max="15" width="9" style="2"/>
    <col min="16" max="16" width="9" style="1"/>
    <col min="17" max="19" width="9" style="2"/>
    <col min="20" max="20" width="9" style="1"/>
    <col min="21" max="21" width="9" style="2"/>
    <col min="22" max="23" width="9" style="1"/>
    <col min="24" max="24" width="11" style="1" customWidth="1"/>
    <col min="25" max="25" width="9" style="1"/>
    <col min="26" max="26" width="9" style="4"/>
    <col min="27" max="27" width="9" style="2"/>
    <col min="28" max="28" width="9" style="1"/>
    <col min="29" max="30" width="9" style="2"/>
    <col min="31" max="31" width="9" style="1"/>
    <col min="32" max="32" width="9" style="2"/>
    <col min="33" max="33" width="9" style="4" customWidth="1"/>
    <col min="34" max="36" width="9" style="1" customWidth="1"/>
    <col min="37" max="40" width="12.125" style="1" bestFit="1" customWidth="1"/>
    <col min="41" max="41" width="9" style="1"/>
    <col min="42" max="46" width="9.875" style="1" bestFit="1" customWidth="1"/>
    <col min="47" max="47" width="9.875" style="2" bestFit="1" customWidth="1"/>
    <col min="48" max="48" width="9.875" style="1" bestFit="1" customWidth="1"/>
    <col min="49" max="16384" width="9" style="1"/>
  </cols>
  <sheetData>
    <row r="1" spans="1:48" ht="15" x14ac:dyDescent="0.25">
      <c r="X1" s="3" t="s">
        <v>0</v>
      </c>
    </row>
    <row r="2" spans="1:48" s="13" customFormat="1" ht="26.25" x14ac:dyDescent="0.25">
      <c r="A2" s="5"/>
      <c r="B2" s="6"/>
      <c r="C2" s="6" t="s">
        <v>1</v>
      </c>
      <c r="D2" s="6"/>
      <c r="E2" s="6"/>
      <c r="F2" s="6"/>
      <c r="G2" s="7" t="s">
        <v>2</v>
      </c>
      <c r="H2" s="8" t="s">
        <v>3</v>
      </c>
      <c r="I2" s="6" t="s">
        <v>4</v>
      </c>
      <c r="J2" s="6" t="s">
        <v>5</v>
      </c>
      <c r="K2" s="9" t="s">
        <v>6</v>
      </c>
      <c r="L2" s="6" t="s">
        <v>7</v>
      </c>
      <c r="M2" s="6" t="s">
        <v>8</v>
      </c>
      <c r="N2" s="10" t="s">
        <v>9</v>
      </c>
      <c r="O2" s="10" t="s">
        <v>10</v>
      </c>
      <c r="P2" s="8" t="s">
        <v>11</v>
      </c>
      <c r="Q2" s="9" t="s">
        <v>12</v>
      </c>
      <c r="R2" s="10" t="s">
        <v>13</v>
      </c>
      <c r="S2" s="9" t="s">
        <v>14</v>
      </c>
      <c r="T2" s="8" t="s">
        <v>15</v>
      </c>
      <c r="U2" s="9" t="s">
        <v>16</v>
      </c>
      <c r="V2" s="8" t="s">
        <v>17</v>
      </c>
      <c r="W2" s="8" t="s">
        <v>18</v>
      </c>
      <c r="X2" s="8" t="s">
        <v>19</v>
      </c>
      <c r="Y2" s="8" t="s">
        <v>20</v>
      </c>
      <c r="Z2" s="11" t="s">
        <v>21</v>
      </c>
      <c r="AA2" s="9" t="s">
        <v>22</v>
      </c>
      <c r="AB2" s="8" t="s">
        <v>23</v>
      </c>
      <c r="AC2" s="9" t="s">
        <v>24</v>
      </c>
      <c r="AD2" s="9" t="s">
        <v>25</v>
      </c>
      <c r="AE2" s="8" t="s">
        <v>26</v>
      </c>
      <c r="AF2" s="9" t="s">
        <v>27</v>
      </c>
      <c r="AG2" s="11" t="s">
        <v>28</v>
      </c>
      <c r="AH2" s="8" t="s">
        <v>29</v>
      </c>
      <c r="AI2" s="8" t="s">
        <v>30</v>
      </c>
      <c r="AJ2" s="8" t="s">
        <v>31</v>
      </c>
      <c r="AK2" s="8" t="s">
        <v>32</v>
      </c>
      <c r="AL2" s="8" t="s">
        <v>33</v>
      </c>
      <c r="AM2" s="8" t="s">
        <v>34</v>
      </c>
      <c r="AN2" s="8" t="s">
        <v>25</v>
      </c>
      <c r="AO2" s="8" t="s">
        <v>35</v>
      </c>
      <c r="AP2" s="8" t="s">
        <v>36</v>
      </c>
      <c r="AQ2" s="12" t="s">
        <v>37</v>
      </c>
      <c r="AR2" s="8" t="s">
        <v>38</v>
      </c>
      <c r="AS2" s="8" t="s">
        <v>24</v>
      </c>
      <c r="AT2" s="8" t="s">
        <v>39</v>
      </c>
      <c r="AU2" s="9" t="s">
        <v>40</v>
      </c>
      <c r="AV2" s="8" t="s">
        <v>41</v>
      </c>
    </row>
    <row r="3" spans="1:48" s="13" customFormat="1" ht="16.5" thickBot="1" x14ac:dyDescent="0.3">
      <c r="A3" s="5"/>
      <c r="B3" s="14"/>
      <c r="C3" s="15" t="s">
        <v>42</v>
      </c>
      <c r="D3" s="16"/>
      <c r="E3" s="6"/>
      <c r="F3" s="6"/>
      <c r="G3" s="17">
        <v>2010</v>
      </c>
      <c r="H3" s="17">
        <v>2010</v>
      </c>
      <c r="I3" s="17">
        <v>2010</v>
      </c>
      <c r="J3" s="17">
        <v>2010</v>
      </c>
      <c r="K3" s="18">
        <v>2010</v>
      </c>
      <c r="L3" s="17">
        <v>2010</v>
      </c>
      <c r="M3" s="17">
        <v>2010</v>
      </c>
      <c r="N3" s="18">
        <v>2010</v>
      </c>
      <c r="O3" s="18">
        <v>2010</v>
      </c>
      <c r="P3" s="17">
        <v>2010</v>
      </c>
      <c r="Q3" s="18">
        <v>2010</v>
      </c>
      <c r="R3" s="18">
        <v>2010</v>
      </c>
      <c r="S3" s="18">
        <v>2010</v>
      </c>
      <c r="T3" s="17">
        <v>2010</v>
      </c>
      <c r="U3" s="18">
        <v>2010</v>
      </c>
      <c r="V3" s="17">
        <v>2010</v>
      </c>
      <c r="W3" s="17">
        <v>2010</v>
      </c>
      <c r="X3" s="17">
        <v>2010</v>
      </c>
      <c r="Y3" s="17">
        <v>2010</v>
      </c>
      <c r="Z3" s="19">
        <v>2010</v>
      </c>
      <c r="AA3" s="18">
        <v>2010</v>
      </c>
      <c r="AB3" s="17">
        <v>2010</v>
      </c>
      <c r="AC3" s="18">
        <v>2010</v>
      </c>
      <c r="AD3" s="18">
        <v>2010</v>
      </c>
      <c r="AE3" s="17">
        <v>2010</v>
      </c>
      <c r="AF3" s="18">
        <v>2010</v>
      </c>
      <c r="AG3" s="19">
        <v>2010</v>
      </c>
      <c r="AH3" s="17">
        <v>2010</v>
      </c>
      <c r="AI3" s="17">
        <v>2010</v>
      </c>
      <c r="AJ3" s="17">
        <v>2010</v>
      </c>
      <c r="AK3" s="17">
        <v>2010</v>
      </c>
      <c r="AL3" s="17">
        <v>2010</v>
      </c>
      <c r="AM3" s="17">
        <v>2010</v>
      </c>
      <c r="AN3" s="17">
        <v>2010</v>
      </c>
      <c r="AO3" s="17">
        <v>2010</v>
      </c>
      <c r="AP3" s="17">
        <v>2010</v>
      </c>
      <c r="AQ3" s="17">
        <v>2010</v>
      </c>
      <c r="AR3" s="17">
        <v>2010</v>
      </c>
      <c r="AS3" s="17">
        <v>2010</v>
      </c>
      <c r="AT3" s="17">
        <v>2010</v>
      </c>
      <c r="AU3" s="18">
        <v>2010</v>
      </c>
      <c r="AV3" s="17">
        <v>2010</v>
      </c>
    </row>
    <row r="4" spans="1:48" s="13" customFormat="1" ht="18" x14ac:dyDescent="0.4">
      <c r="A4" s="20" t="s">
        <v>43</v>
      </c>
      <c r="B4" s="6"/>
      <c r="C4" s="21" t="s">
        <v>44</v>
      </c>
      <c r="D4" s="6"/>
      <c r="E4" s="6"/>
      <c r="F4" s="6"/>
      <c r="G4" s="6"/>
      <c r="H4" s="6"/>
      <c r="I4" s="6"/>
      <c r="J4" s="6"/>
      <c r="K4" s="10"/>
      <c r="L4" s="6"/>
      <c r="M4" s="6"/>
      <c r="N4" s="10"/>
      <c r="O4" s="10"/>
      <c r="P4" s="6"/>
      <c r="Q4" s="10"/>
      <c r="R4" s="10"/>
      <c r="S4" s="10"/>
      <c r="T4" s="6"/>
      <c r="U4" s="10"/>
      <c r="V4" s="6"/>
      <c r="W4" s="6"/>
      <c r="X4" s="6"/>
      <c r="Y4" s="6"/>
      <c r="Z4" s="22"/>
      <c r="AA4" s="10"/>
      <c r="AB4" s="6"/>
      <c r="AC4" s="10"/>
      <c r="AD4" s="10"/>
      <c r="AE4" s="6"/>
      <c r="AF4" s="10"/>
      <c r="AG4" s="22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10"/>
      <c r="AV4" s="6"/>
    </row>
    <row r="5" spans="1:48" s="13" customFormat="1" ht="16.5" hidden="1" thickBot="1" x14ac:dyDescent="0.3">
      <c r="A5" s="5"/>
      <c r="B5" s="14"/>
      <c r="C5" s="15" t="s">
        <v>42</v>
      </c>
      <c r="D5" s="16" t="s">
        <v>45</v>
      </c>
      <c r="E5" s="6"/>
      <c r="F5" s="6"/>
      <c r="G5" s="17">
        <v>2010</v>
      </c>
      <c r="H5" s="17">
        <v>2010</v>
      </c>
      <c r="I5" s="17">
        <v>2010</v>
      </c>
      <c r="J5" s="17">
        <v>2010</v>
      </c>
      <c r="K5" s="18">
        <v>2010</v>
      </c>
      <c r="L5" s="17">
        <v>2010</v>
      </c>
      <c r="M5" s="17">
        <v>2010</v>
      </c>
      <c r="N5" s="18">
        <v>2010</v>
      </c>
      <c r="O5" s="18">
        <v>2010</v>
      </c>
      <c r="P5" s="17">
        <v>2010</v>
      </c>
      <c r="Q5" s="18">
        <v>2010</v>
      </c>
      <c r="R5" s="18">
        <v>2010</v>
      </c>
      <c r="S5" s="18">
        <v>2010</v>
      </c>
      <c r="T5" s="17">
        <v>2010</v>
      </c>
      <c r="U5" s="18">
        <v>2010</v>
      </c>
      <c r="V5" s="17"/>
      <c r="W5" s="17"/>
      <c r="X5" s="17"/>
      <c r="Y5" s="17"/>
      <c r="Z5" s="19"/>
      <c r="AA5" s="18"/>
      <c r="AB5" s="17"/>
      <c r="AC5" s="18"/>
      <c r="AD5" s="18"/>
      <c r="AE5" s="17"/>
      <c r="AF5" s="18"/>
      <c r="AG5" s="19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8"/>
      <c r="AV5" s="17"/>
    </row>
    <row r="6" spans="1:48" s="13" customFormat="1" ht="15.75" hidden="1" x14ac:dyDescent="0.25">
      <c r="A6" s="5"/>
      <c r="B6" s="6"/>
      <c r="C6" s="6"/>
      <c r="D6" s="6" t="s">
        <v>46</v>
      </c>
      <c r="E6" s="6"/>
      <c r="F6" s="6"/>
      <c r="G6" s="23"/>
      <c r="H6" s="23"/>
      <c r="I6" s="23"/>
      <c r="J6" s="23"/>
      <c r="K6" s="24"/>
      <c r="L6" s="23"/>
      <c r="M6" s="23"/>
      <c r="N6" s="24"/>
      <c r="O6" s="24"/>
      <c r="P6" s="23"/>
      <c r="Q6" s="24"/>
      <c r="R6" s="24"/>
      <c r="S6" s="24"/>
      <c r="T6" s="23"/>
      <c r="U6" s="24"/>
      <c r="V6" s="23"/>
      <c r="W6" s="23"/>
      <c r="X6" s="23"/>
      <c r="Y6" s="23"/>
      <c r="Z6" s="25"/>
      <c r="AA6" s="24"/>
      <c r="AB6" s="23"/>
      <c r="AC6" s="24"/>
      <c r="AD6" s="24"/>
      <c r="AE6" s="23"/>
      <c r="AF6" s="24"/>
      <c r="AG6" s="25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4"/>
      <c r="AV6" s="23"/>
    </row>
    <row r="7" spans="1:48" s="13" customFormat="1" ht="15.75" hidden="1" x14ac:dyDescent="0.25">
      <c r="A7" s="5"/>
      <c r="B7" s="6"/>
      <c r="C7" s="6"/>
      <c r="D7" s="6" t="s">
        <v>47</v>
      </c>
      <c r="E7" s="6"/>
      <c r="F7" s="6"/>
      <c r="G7" s="26"/>
      <c r="H7" s="26"/>
      <c r="I7" s="26"/>
      <c r="J7" s="26"/>
      <c r="K7" s="27"/>
      <c r="L7" s="26"/>
      <c r="M7" s="26"/>
      <c r="N7" s="27"/>
      <c r="O7" s="27"/>
      <c r="P7" s="26"/>
      <c r="Q7" s="27"/>
      <c r="R7" s="27"/>
      <c r="S7" s="27"/>
      <c r="T7" s="26"/>
      <c r="U7" s="27"/>
      <c r="V7" s="26"/>
      <c r="W7" s="26"/>
      <c r="X7" s="26"/>
      <c r="Y7" s="26"/>
      <c r="Z7" s="28"/>
      <c r="AA7" s="27"/>
      <c r="AB7" s="26"/>
      <c r="AC7" s="27"/>
      <c r="AD7" s="27"/>
      <c r="AE7" s="26"/>
      <c r="AF7" s="27"/>
      <c r="AG7" s="28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7"/>
      <c r="AV7" s="26"/>
    </row>
    <row r="8" spans="1:48" s="13" customFormat="1" ht="15.75" hidden="1" x14ac:dyDescent="0.25">
      <c r="A8" s="5"/>
      <c r="B8" s="6"/>
      <c r="C8" s="6"/>
      <c r="D8" s="6" t="s">
        <v>48</v>
      </c>
      <c r="E8" s="6"/>
      <c r="F8" s="6"/>
      <c r="G8" s="26"/>
      <c r="H8" s="26"/>
      <c r="I8" s="26"/>
      <c r="J8" s="26"/>
      <c r="K8" s="27"/>
      <c r="L8" s="26"/>
      <c r="M8" s="26"/>
      <c r="N8" s="27"/>
      <c r="O8" s="27"/>
      <c r="P8" s="26"/>
      <c r="Q8" s="27"/>
      <c r="R8" s="27"/>
      <c r="S8" s="27"/>
      <c r="T8" s="26"/>
      <c r="U8" s="27"/>
      <c r="V8" s="26"/>
      <c r="W8" s="26"/>
      <c r="X8" s="26"/>
      <c r="Y8" s="26"/>
      <c r="Z8" s="28"/>
      <c r="AA8" s="27"/>
      <c r="AB8" s="26"/>
      <c r="AC8" s="27"/>
      <c r="AD8" s="27"/>
      <c r="AE8" s="26"/>
      <c r="AF8" s="27"/>
      <c r="AG8" s="28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7"/>
      <c r="AV8" s="26"/>
    </row>
    <row r="9" spans="1:48" s="13" customFormat="1" ht="15.75" hidden="1" x14ac:dyDescent="0.25">
      <c r="A9" s="5"/>
      <c r="B9" s="6"/>
      <c r="C9" s="6"/>
      <c r="D9" s="6"/>
      <c r="E9" s="6"/>
      <c r="F9" s="6"/>
      <c r="G9" s="29">
        <f>SUM(G6:G8)</f>
        <v>0</v>
      </c>
      <c r="H9" s="29">
        <f t="shared" ref="H9:U9" si="0">SUM(H6:H8)</f>
        <v>0</v>
      </c>
      <c r="I9" s="29">
        <f t="shared" si="0"/>
        <v>0</v>
      </c>
      <c r="J9" s="29">
        <f t="shared" si="0"/>
        <v>0</v>
      </c>
      <c r="K9" s="30">
        <f t="shared" si="0"/>
        <v>0</v>
      </c>
      <c r="L9" s="29">
        <f t="shared" si="0"/>
        <v>0</v>
      </c>
      <c r="M9" s="29">
        <f t="shared" si="0"/>
        <v>0</v>
      </c>
      <c r="N9" s="30">
        <f t="shared" si="0"/>
        <v>0</v>
      </c>
      <c r="O9" s="30">
        <f t="shared" si="0"/>
        <v>0</v>
      </c>
      <c r="P9" s="29">
        <f t="shared" si="0"/>
        <v>0</v>
      </c>
      <c r="Q9" s="30">
        <f t="shared" si="0"/>
        <v>0</v>
      </c>
      <c r="R9" s="30">
        <f t="shared" si="0"/>
        <v>0</v>
      </c>
      <c r="S9" s="30">
        <f t="shared" si="0"/>
        <v>0</v>
      </c>
      <c r="T9" s="29">
        <f t="shared" si="0"/>
        <v>0</v>
      </c>
      <c r="U9" s="30">
        <f t="shared" si="0"/>
        <v>0</v>
      </c>
      <c r="V9" s="29"/>
      <c r="W9" s="29"/>
      <c r="X9" s="29"/>
      <c r="Y9" s="29"/>
      <c r="Z9" s="31"/>
      <c r="AA9" s="30"/>
      <c r="AB9" s="29"/>
      <c r="AC9" s="30"/>
      <c r="AD9" s="30"/>
      <c r="AE9" s="29"/>
      <c r="AF9" s="30"/>
      <c r="AG9" s="31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30"/>
      <c r="AV9" s="29"/>
    </row>
    <row r="10" spans="1:48" s="13" customFormat="1" ht="15.75" x14ac:dyDescent="0.25">
      <c r="A10" s="5"/>
      <c r="B10" s="6"/>
      <c r="C10" s="32" t="s">
        <v>49</v>
      </c>
      <c r="D10" s="16" t="s">
        <v>50</v>
      </c>
      <c r="E10" s="6"/>
      <c r="F10" s="6"/>
      <c r="G10" s="33"/>
      <c r="H10" s="33"/>
      <c r="I10" s="33"/>
      <c r="J10" s="33"/>
      <c r="K10" s="34"/>
      <c r="L10" s="33"/>
      <c r="M10" s="33"/>
      <c r="N10" s="34"/>
      <c r="O10" s="34"/>
      <c r="P10" s="33"/>
      <c r="Q10" s="34"/>
      <c r="R10" s="34"/>
      <c r="S10" s="34"/>
      <c r="T10" s="33"/>
      <c r="U10" s="34"/>
      <c r="V10" s="33"/>
      <c r="W10" s="33"/>
      <c r="X10" s="33"/>
      <c r="Y10" s="33"/>
      <c r="Z10" s="35"/>
      <c r="AA10" s="34"/>
      <c r="AB10" s="33"/>
      <c r="AC10" s="34"/>
      <c r="AD10" s="34"/>
      <c r="AE10" s="33"/>
      <c r="AF10" s="34"/>
      <c r="AG10" s="35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4"/>
      <c r="AV10" s="33"/>
    </row>
    <row r="11" spans="1:48" s="13" customFormat="1" ht="15.75" x14ac:dyDescent="0.25">
      <c r="A11" s="5"/>
      <c r="B11" s="6"/>
      <c r="C11" s="32"/>
      <c r="D11" s="36" t="s">
        <v>51</v>
      </c>
      <c r="E11" s="6"/>
      <c r="F11" s="6"/>
      <c r="G11" s="23">
        <v>322</v>
      </c>
      <c r="H11" s="23">
        <v>846</v>
      </c>
      <c r="I11" s="23">
        <v>3293</v>
      </c>
      <c r="J11" s="23">
        <v>930</v>
      </c>
      <c r="K11" s="24">
        <v>733</v>
      </c>
      <c r="L11" s="23"/>
      <c r="M11" s="23">
        <v>232</v>
      </c>
      <c r="N11" s="24">
        <v>1130</v>
      </c>
      <c r="O11" s="24">
        <v>1235</v>
      </c>
      <c r="P11" s="23">
        <v>903</v>
      </c>
      <c r="Q11" s="24">
        <v>2982</v>
      </c>
      <c r="R11" s="24">
        <v>244</v>
      </c>
      <c r="S11" s="24">
        <v>1015</v>
      </c>
      <c r="T11" s="23">
        <v>576</v>
      </c>
      <c r="U11" s="24">
        <v>1947</v>
      </c>
      <c r="V11" s="23">
        <v>1733</v>
      </c>
      <c r="W11" s="23">
        <v>116</v>
      </c>
      <c r="X11" s="23">
        <v>1694</v>
      </c>
      <c r="Y11" s="23"/>
      <c r="Z11" s="25">
        <v>23354</v>
      </c>
      <c r="AA11" s="24">
        <v>10828</v>
      </c>
      <c r="AB11" s="23">
        <v>430</v>
      </c>
      <c r="AC11" s="24"/>
      <c r="AD11" s="24"/>
      <c r="AE11" s="23">
        <v>376</v>
      </c>
      <c r="AF11" s="24">
        <v>977</v>
      </c>
      <c r="AG11" s="25">
        <v>14402</v>
      </c>
      <c r="AH11" s="23">
        <v>927</v>
      </c>
      <c r="AI11" s="23"/>
      <c r="AJ11" s="23">
        <v>108</v>
      </c>
      <c r="AK11" s="23">
        <v>914</v>
      </c>
      <c r="AL11" s="23">
        <v>208</v>
      </c>
      <c r="AM11" s="23">
        <v>1184</v>
      </c>
      <c r="AN11" s="23">
        <v>501</v>
      </c>
      <c r="AO11" s="23">
        <v>565</v>
      </c>
      <c r="AP11" s="23">
        <v>1957</v>
      </c>
      <c r="AQ11" s="23">
        <v>851</v>
      </c>
      <c r="AR11" s="23">
        <v>2197</v>
      </c>
      <c r="AS11" s="23">
        <v>2838</v>
      </c>
      <c r="AT11" s="23">
        <v>467</v>
      </c>
      <c r="AU11" s="24">
        <v>1375</v>
      </c>
      <c r="AV11" s="23"/>
    </row>
    <row r="12" spans="1:48" s="13" customFormat="1" ht="15.75" x14ac:dyDescent="0.25">
      <c r="A12" s="5"/>
      <c r="B12" s="6"/>
      <c r="C12" s="32"/>
      <c r="D12" s="36" t="s">
        <v>52</v>
      </c>
      <c r="E12" s="6"/>
      <c r="F12" s="6"/>
      <c r="G12" s="23">
        <v>4895</v>
      </c>
      <c r="H12" s="23">
        <v>16546</v>
      </c>
      <c r="I12" s="23">
        <v>16482</v>
      </c>
      <c r="J12" s="23">
        <v>11874</v>
      </c>
      <c r="K12" s="24">
        <v>15417</v>
      </c>
      <c r="L12" s="23"/>
      <c r="M12" s="23"/>
      <c r="N12" s="24"/>
      <c r="O12" s="24">
        <v>72104</v>
      </c>
      <c r="P12" s="23">
        <v>11687</v>
      </c>
      <c r="Q12" s="24"/>
      <c r="R12" s="24">
        <v>19467</v>
      </c>
      <c r="S12" s="24">
        <v>55610</v>
      </c>
      <c r="T12" s="23"/>
      <c r="U12" s="24">
        <v>18976</v>
      </c>
      <c r="V12" s="23">
        <v>28915</v>
      </c>
      <c r="W12" s="23">
        <v>18604</v>
      </c>
      <c r="X12" s="23"/>
      <c r="Y12" s="23">
        <v>6856</v>
      </c>
      <c r="Z12" s="25"/>
      <c r="AA12" s="24">
        <v>72580</v>
      </c>
      <c r="AB12" s="23">
        <v>6131</v>
      </c>
      <c r="AC12" s="24"/>
      <c r="AD12" s="24"/>
      <c r="AE12" s="23">
        <v>25322</v>
      </c>
      <c r="AF12" s="24"/>
      <c r="AG12" s="25"/>
      <c r="AH12" s="23"/>
      <c r="AI12" s="23"/>
      <c r="AJ12" s="23">
        <v>9807</v>
      </c>
      <c r="AK12" s="23">
        <v>13100</v>
      </c>
      <c r="AL12" s="23"/>
      <c r="AM12" s="23"/>
      <c r="AN12" s="23">
        <v>12176</v>
      </c>
      <c r="AO12" s="23">
        <v>7783</v>
      </c>
      <c r="AP12" s="23"/>
      <c r="AQ12" s="23">
        <v>10207</v>
      </c>
      <c r="AR12" s="23"/>
      <c r="AS12" s="23"/>
      <c r="AT12" s="23"/>
      <c r="AU12" s="24"/>
      <c r="AV12" s="23">
        <v>20099</v>
      </c>
    </row>
    <row r="13" spans="1:48" s="13" customFormat="1" ht="15.75" x14ac:dyDescent="0.25">
      <c r="A13" s="5"/>
      <c r="B13" s="6"/>
      <c r="C13" s="32"/>
      <c r="D13" s="36" t="s">
        <v>53</v>
      </c>
      <c r="E13" s="6"/>
      <c r="F13" s="6"/>
      <c r="G13" s="23"/>
      <c r="H13" s="23"/>
      <c r="I13" s="23">
        <v>2317</v>
      </c>
      <c r="J13" s="23">
        <v>1792</v>
      </c>
      <c r="K13" s="24">
        <v>2525</v>
      </c>
      <c r="L13" s="23"/>
      <c r="M13" s="23">
        <v>166</v>
      </c>
      <c r="N13" s="24">
        <v>84</v>
      </c>
      <c r="O13" s="24"/>
      <c r="P13" s="23"/>
      <c r="Q13" s="24">
        <v>679</v>
      </c>
      <c r="R13" s="24"/>
      <c r="S13" s="24">
        <v>2581</v>
      </c>
      <c r="T13" s="23"/>
      <c r="U13" s="24"/>
      <c r="V13" s="23">
        <v>1804</v>
      </c>
      <c r="W13" s="23">
        <v>1943</v>
      </c>
      <c r="X13" s="23"/>
      <c r="Y13" s="23">
        <v>808</v>
      </c>
      <c r="Z13" s="25"/>
      <c r="AA13" s="24">
        <v>7049</v>
      </c>
      <c r="AB13" s="23">
        <v>78</v>
      </c>
      <c r="AC13" s="24"/>
      <c r="AD13" s="24"/>
      <c r="AE13" s="23"/>
      <c r="AF13" s="24">
        <v>333</v>
      </c>
      <c r="AG13" s="25"/>
      <c r="AH13" s="23"/>
      <c r="AI13" s="23">
        <v>1976</v>
      </c>
      <c r="AJ13" s="23"/>
      <c r="AK13" s="23"/>
      <c r="AL13" s="23"/>
      <c r="AM13" s="23"/>
      <c r="AN13" s="23"/>
      <c r="AO13" s="23"/>
      <c r="AP13" s="23"/>
      <c r="AQ13" s="23">
        <v>232</v>
      </c>
      <c r="AR13" s="23">
        <v>3799</v>
      </c>
      <c r="AS13" s="23"/>
      <c r="AT13" s="23">
        <v>180</v>
      </c>
      <c r="AU13" s="24"/>
      <c r="AV13" s="23"/>
    </row>
    <row r="14" spans="1:48" s="13" customFormat="1" ht="15.75" x14ac:dyDescent="0.25">
      <c r="A14" s="5"/>
      <c r="B14" s="6"/>
      <c r="C14" s="32"/>
      <c r="D14" s="36" t="s">
        <v>54</v>
      </c>
      <c r="E14" s="6"/>
      <c r="F14" s="6"/>
      <c r="G14" s="23"/>
      <c r="H14" s="23"/>
      <c r="I14" s="23"/>
      <c r="J14" s="23"/>
      <c r="K14" s="24"/>
      <c r="L14" s="23"/>
      <c r="M14" s="23"/>
      <c r="N14" s="24"/>
      <c r="O14" s="24"/>
      <c r="P14" s="23"/>
      <c r="Q14" s="24"/>
      <c r="R14" s="24"/>
      <c r="S14" s="24"/>
      <c r="T14" s="23"/>
      <c r="U14" s="24"/>
      <c r="V14" s="23">
        <v>486</v>
      </c>
      <c r="W14" s="23">
        <v>2967</v>
      </c>
      <c r="X14" s="23"/>
      <c r="Y14" s="23"/>
      <c r="Z14" s="25"/>
      <c r="AA14" s="24"/>
      <c r="AB14" s="23"/>
      <c r="AC14" s="24"/>
      <c r="AD14" s="24"/>
      <c r="AE14" s="23"/>
      <c r="AF14" s="24"/>
      <c r="AG14" s="25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4"/>
      <c r="AV14" s="23"/>
    </row>
    <row r="15" spans="1:48" s="13" customFormat="1" ht="15.75" x14ac:dyDescent="0.25">
      <c r="A15" s="5"/>
      <c r="B15" s="6"/>
      <c r="C15" s="32"/>
      <c r="D15" s="36" t="s">
        <v>55</v>
      </c>
      <c r="E15" s="6"/>
      <c r="F15" s="6"/>
      <c r="G15" s="23">
        <v>62</v>
      </c>
      <c r="H15" s="23">
        <v>278</v>
      </c>
      <c r="I15" s="23"/>
      <c r="J15" s="23">
        <v>259</v>
      </c>
      <c r="K15" s="24">
        <v>258</v>
      </c>
      <c r="L15" s="23"/>
      <c r="M15" s="23"/>
      <c r="N15" s="24">
        <v>188</v>
      </c>
      <c r="O15" s="24">
        <v>853</v>
      </c>
      <c r="P15" s="23">
        <v>98</v>
      </c>
      <c r="Q15" s="24">
        <v>1093</v>
      </c>
      <c r="R15" s="24"/>
      <c r="S15" s="24">
        <v>224</v>
      </c>
      <c r="T15" s="23"/>
      <c r="U15" s="24">
        <v>469</v>
      </c>
      <c r="V15" s="23"/>
      <c r="W15" s="23"/>
      <c r="X15" s="23">
        <v>1007</v>
      </c>
      <c r="Y15" s="23">
        <v>136</v>
      </c>
      <c r="Z15" s="25">
        <v>1366</v>
      </c>
      <c r="AA15" s="24">
        <v>3221</v>
      </c>
      <c r="AB15" s="23">
        <v>15</v>
      </c>
      <c r="AC15" s="24"/>
      <c r="AD15" s="24"/>
      <c r="AE15" s="23">
        <v>793</v>
      </c>
      <c r="AF15" s="24"/>
      <c r="AG15" s="25">
        <v>673</v>
      </c>
      <c r="AH15" s="23"/>
      <c r="AI15" s="23">
        <v>71</v>
      </c>
      <c r="AJ15" s="23">
        <v>267</v>
      </c>
      <c r="AK15" s="23">
        <v>224</v>
      </c>
      <c r="AL15" s="23">
        <v>31</v>
      </c>
      <c r="AM15" s="23"/>
      <c r="AN15" s="23">
        <v>274</v>
      </c>
      <c r="AO15" s="23">
        <v>8</v>
      </c>
      <c r="AP15" s="23"/>
      <c r="AQ15" s="23">
        <v>289</v>
      </c>
      <c r="AR15" s="23">
        <v>1056</v>
      </c>
      <c r="AS15" s="23"/>
      <c r="AT15" s="23">
        <v>78</v>
      </c>
      <c r="AU15" s="24"/>
      <c r="AV15" s="23"/>
    </row>
    <row r="16" spans="1:48" s="13" customFormat="1" ht="15.75" x14ac:dyDescent="0.25">
      <c r="A16" s="5"/>
      <c r="B16" s="6"/>
      <c r="C16" s="32"/>
      <c r="D16" s="36" t="s">
        <v>56</v>
      </c>
      <c r="E16" s="6"/>
      <c r="F16" s="6"/>
      <c r="G16" s="23">
        <v>874</v>
      </c>
      <c r="H16" s="23">
        <v>1620</v>
      </c>
      <c r="I16" s="23">
        <v>7484</v>
      </c>
      <c r="J16" s="23"/>
      <c r="K16" s="24">
        <v>57</v>
      </c>
      <c r="L16" s="23"/>
      <c r="M16" s="23"/>
      <c r="N16" s="24">
        <v>1471</v>
      </c>
      <c r="O16" s="24">
        <v>4326</v>
      </c>
      <c r="P16" s="23">
        <v>329</v>
      </c>
      <c r="Q16" s="24">
        <v>1122</v>
      </c>
      <c r="R16" s="24">
        <v>1441</v>
      </c>
      <c r="S16" s="24">
        <v>3771</v>
      </c>
      <c r="T16" s="23">
        <v>4142</v>
      </c>
      <c r="U16" s="24">
        <v>1105</v>
      </c>
      <c r="V16" s="23"/>
      <c r="W16" s="23"/>
      <c r="X16" s="23">
        <v>4279</v>
      </c>
      <c r="Y16" s="23"/>
      <c r="Z16" s="25">
        <v>14634</v>
      </c>
      <c r="AA16" s="24"/>
      <c r="AB16" s="23"/>
      <c r="AC16" s="24"/>
      <c r="AD16" s="24"/>
      <c r="AE16" s="23">
        <v>6790</v>
      </c>
      <c r="AF16" s="24"/>
      <c r="AG16" s="25">
        <v>13843</v>
      </c>
      <c r="AH16" s="23">
        <v>1126</v>
      </c>
      <c r="AI16" s="23"/>
      <c r="AJ16" s="23">
        <v>1612</v>
      </c>
      <c r="AK16" s="23">
        <v>2232</v>
      </c>
      <c r="AL16" s="23">
        <v>525</v>
      </c>
      <c r="AM16" s="23">
        <v>355</v>
      </c>
      <c r="AN16" s="23">
        <v>1459</v>
      </c>
      <c r="AO16" s="23"/>
      <c r="AP16" s="23">
        <v>1932</v>
      </c>
      <c r="AQ16" s="23">
        <v>2093</v>
      </c>
      <c r="AR16" s="23"/>
      <c r="AS16" s="23">
        <v>1454</v>
      </c>
      <c r="AT16" s="23"/>
      <c r="AU16" s="24">
        <v>1020</v>
      </c>
      <c r="AV16" s="23"/>
    </row>
    <row r="17" spans="1:48" s="13" customFormat="1" ht="15.75" x14ac:dyDescent="0.25">
      <c r="A17" s="5"/>
      <c r="B17" s="6"/>
      <c r="C17" s="32"/>
      <c r="D17" s="36" t="s">
        <v>57</v>
      </c>
      <c r="E17" s="6"/>
      <c r="F17" s="6"/>
      <c r="G17" s="23"/>
      <c r="H17" s="23">
        <v>352</v>
      </c>
      <c r="I17" s="23"/>
      <c r="J17" s="23"/>
      <c r="K17" s="24"/>
      <c r="L17" s="23"/>
      <c r="M17" s="23"/>
      <c r="N17" s="24"/>
      <c r="O17" s="24"/>
      <c r="P17" s="23">
        <v>189</v>
      </c>
      <c r="Q17" s="24">
        <v>314</v>
      </c>
      <c r="R17" s="24"/>
      <c r="S17" s="24"/>
      <c r="T17" s="23"/>
      <c r="U17" s="24"/>
      <c r="V17" s="23"/>
      <c r="W17" s="23"/>
      <c r="X17" s="23">
        <v>321</v>
      </c>
      <c r="Y17" s="23">
        <v>31</v>
      </c>
      <c r="Z17" s="25">
        <v>4774</v>
      </c>
      <c r="AA17" s="24"/>
      <c r="AB17" s="23">
        <v>112</v>
      </c>
      <c r="AC17" s="24"/>
      <c r="AD17" s="24"/>
      <c r="AE17" s="23"/>
      <c r="AF17" s="24"/>
      <c r="AG17" s="25">
        <v>344</v>
      </c>
      <c r="AH17" s="23"/>
      <c r="AI17" s="23"/>
      <c r="AJ17" s="23">
        <v>-11</v>
      </c>
      <c r="AK17" s="23">
        <v>150</v>
      </c>
      <c r="AL17" s="23"/>
      <c r="AM17" s="23">
        <v>440</v>
      </c>
      <c r="AN17" s="23"/>
      <c r="AO17" s="23">
        <v>71</v>
      </c>
      <c r="AP17" s="23">
        <v>101</v>
      </c>
      <c r="AQ17" s="23">
        <v>569</v>
      </c>
      <c r="AR17" s="23"/>
      <c r="AS17" s="23">
        <v>398</v>
      </c>
      <c r="AT17" s="23"/>
      <c r="AU17" s="24"/>
      <c r="AV17" s="23"/>
    </row>
    <row r="18" spans="1:48" s="13" customFormat="1" ht="15.75" x14ac:dyDescent="0.25">
      <c r="A18" s="5"/>
      <c r="B18" s="6"/>
      <c r="C18" s="32"/>
      <c r="D18" s="36" t="s">
        <v>58</v>
      </c>
      <c r="E18" s="6"/>
      <c r="F18" s="6"/>
      <c r="G18" s="23">
        <v>75</v>
      </c>
      <c r="H18" s="23"/>
      <c r="I18" s="23"/>
      <c r="J18" s="23">
        <v>121</v>
      </c>
      <c r="K18" s="24">
        <v>160</v>
      </c>
      <c r="L18" s="23"/>
      <c r="M18" s="23"/>
      <c r="N18" s="24">
        <v>333</v>
      </c>
      <c r="O18" s="24">
        <v>1606</v>
      </c>
      <c r="P18" s="23">
        <v>93</v>
      </c>
      <c r="Q18" s="24">
        <v>1820</v>
      </c>
      <c r="R18" s="24">
        <v>157</v>
      </c>
      <c r="S18" s="24"/>
      <c r="T18" s="23">
        <v>84</v>
      </c>
      <c r="U18" s="24">
        <v>456</v>
      </c>
      <c r="V18" s="23"/>
      <c r="W18" s="23">
        <v>483</v>
      </c>
      <c r="X18" s="23">
        <v>670</v>
      </c>
      <c r="Y18" s="23">
        <v>110</v>
      </c>
      <c r="Z18" s="25">
        <v>3163</v>
      </c>
      <c r="AA18" s="24">
        <v>1754</v>
      </c>
      <c r="AB18" s="23"/>
      <c r="AC18" s="24"/>
      <c r="AD18" s="24"/>
      <c r="AE18" s="23"/>
      <c r="AF18" s="24"/>
      <c r="AG18" s="25">
        <v>1292</v>
      </c>
      <c r="AH18" s="23"/>
      <c r="AI18" s="23"/>
      <c r="AJ18" s="23"/>
      <c r="AK18" s="23">
        <v>111</v>
      </c>
      <c r="AL18" s="23">
        <v>113</v>
      </c>
      <c r="AM18" s="23">
        <v>1075</v>
      </c>
      <c r="AN18" s="23"/>
      <c r="AO18" s="23">
        <v>105</v>
      </c>
      <c r="AP18" s="23">
        <v>358</v>
      </c>
      <c r="AQ18" s="23">
        <v>96</v>
      </c>
      <c r="AR18" s="23">
        <v>1191</v>
      </c>
      <c r="AS18" s="23">
        <v>2800</v>
      </c>
      <c r="AT18" s="23">
        <v>39</v>
      </c>
      <c r="AU18" s="24"/>
      <c r="AV18" s="23"/>
    </row>
    <row r="19" spans="1:48" s="13" customFormat="1" ht="15.75" x14ac:dyDescent="0.25">
      <c r="A19" s="5"/>
      <c r="B19" s="6"/>
      <c r="C19" s="32"/>
      <c r="D19" s="36" t="s">
        <v>59</v>
      </c>
      <c r="E19" s="6"/>
      <c r="F19" s="6"/>
      <c r="G19" s="23"/>
      <c r="H19" s="23"/>
      <c r="I19" s="23"/>
      <c r="J19" s="23">
        <v>129</v>
      </c>
      <c r="K19" s="24">
        <v>182</v>
      </c>
      <c r="L19" s="23"/>
      <c r="M19" s="23"/>
      <c r="N19" s="24"/>
      <c r="O19" s="24">
        <v>220</v>
      </c>
      <c r="P19" s="23">
        <v>118</v>
      </c>
      <c r="Q19" s="24"/>
      <c r="R19" s="24">
        <v>63</v>
      </c>
      <c r="S19" s="24"/>
      <c r="T19" s="23">
        <v>198</v>
      </c>
      <c r="U19" s="24"/>
      <c r="V19" s="23">
        <v>136</v>
      </c>
      <c r="W19" s="23">
        <v>132</v>
      </c>
      <c r="X19" s="23">
        <v>151</v>
      </c>
      <c r="Y19" s="23"/>
      <c r="Z19" s="25">
        <v>22</v>
      </c>
      <c r="AA19" s="24"/>
      <c r="AB19" s="23">
        <v>25</v>
      </c>
      <c r="AC19" s="24"/>
      <c r="AD19" s="24"/>
      <c r="AE19" s="23"/>
      <c r="AF19" s="24"/>
      <c r="AG19" s="25"/>
      <c r="AH19" s="23"/>
      <c r="AI19" s="23"/>
      <c r="AJ19" s="23"/>
      <c r="AK19" s="23">
        <v>54</v>
      </c>
      <c r="AL19" s="23"/>
      <c r="AM19" s="23"/>
      <c r="AN19" s="23"/>
      <c r="AO19" s="23"/>
      <c r="AP19" s="23"/>
      <c r="AQ19" s="23">
        <v>133</v>
      </c>
      <c r="AR19" s="23">
        <v>116</v>
      </c>
      <c r="AS19" s="23">
        <v>70</v>
      </c>
      <c r="AT19" s="23">
        <v>30</v>
      </c>
      <c r="AU19" s="24"/>
      <c r="AV19" s="23"/>
    </row>
    <row r="20" spans="1:48" s="13" customFormat="1" ht="15.75" x14ac:dyDescent="0.25">
      <c r="A20" s="5"/>
      <c r="B20" s="6"/>
      <c r="C20" s="32"/>
      <c r="D20" s="36" t="s">
        <v>60</v>
      </c>
      <c r="E20" s="14"/>
      <c r="F20" s="14"/>
      <c r="G20" s="23"/>
      <c r="H20" s="23"/>
      <c r="I20" s="23">
        <v>2944</v>
      </c>
      <c r="J20" s="23"/>
      <c r="K20" s="24">
        <v>159</v>
      </c>
      <c r="L20" s="23"/>
      <c r="M20" s="23"/>
      <c r="N20" s="24">
        <v>136</v>
      </c>
      <c r="O20" s="24">
        <v>350</v>
      </c>
      <c r="P20" s="23">
        <v>15</v>
      </c>
      <c r="Q20" s="24">
        <v>-222</v>
      </c>
      <c r="R20" s="24">
        <v>109</v>
      </c>
      <c r="S20" s="24">
        <v>219</v>
      </c>
      <c r="T20" s="23"/>
      <c r="U20" s="24">
        <v>124</v>
      </c>
      <c r="V20" s="23"/>
      <c r="W20" s="23"/>
      <c r="X20" s="23">
        <v>400</v>
      </c>
      <c r="Y20" s="23"/>
      <c r="Z20" s="25">
        <v>657</v>
      </c>
      <c r="AA20" s="24">
        <v>394</v>
      </c>
      <c r="AB20" s="23"/>
      <c r="AC20" s="24"/>
      <c r="AD20" s="24"/>
      <c r="AE20" s="23"/>
      <c r="AF20" s="24">
        <v>33</v>
      </c>
      <c r="AG20" s="25">
        <v>2555</v>
      </c>
      <c r="AH20" s="23">
        <v>2</v>
      </c>
      <c r="AI20" s="23"/>
      <c r="AJ20" s="23"/>
      <c r="AK20" s="23"/>
      <c r="AL20" s="23"/>
      <c r="AM20" s="23">
        <v>526</v>
      </c>
      <c r="AN20" s="23">
        <v>12</v>
      </c>
      <c r="AO20" s="23">
        <v>489</v>
      </c>
      <c r="AP20" s="23">
        <v>20</v>
      </c>
      <c r="AQ20" s="23">
        <v>9</v>
      </c>
      <c r="AR20" s="23">
        <v>22</v>
      </c>
      <c r="AS20" s="23">
        <v>221</v>
      </c>
      <c r="AT20" s="23"/>
      <c r="AU20" s="24">
        <v>76</v>
      </c>
      <c r="AV20" s="23">
        <v>2</v>
      </c>
    </row>
    <row r="21" spans="1:48" s="13" customFormat="1" ht="15.75" x14ac:dyDescent="0.25">
      <c r="A21" s="5"/>
      <c r="B21" s="6"/>
      <c r="C21" s="32"/>
      <c r="D21" s="36" t="s">
        <v>61</v>
      </c>
      <c r="E21" s="14"/>
      <c r="F21" s="14"/>
      <c r="G21" s="23">
        <v>1145</v>
      </c>
      <c r="H21" s="23">
        <v>1551</v>
      </c>
      <c r="I21" s="23">
        <v>6042</v>
      </c>
      <c r="J21" s="23">
        <v>2595</v>
      </c>
      <c r="K21" s="24">
        <v>1915</v>
      </c>
      <c r="L21" s="23"/>
      <c r="M21" s="23">
        <v>602</v>
      </c>
      <c r="N21" s="24">
        <v>3663</v>
      </c>
      <c r="O21" s="24">
        <v>7438</v>
      </c>
      <c r="P21" s="23">
        <v>3465</v>
      </c>
      <c r="Q21" s="24">
        <v>9003</v>
      </c>
      <c r="R21" s="24">
        <v>1613</v>
      </c>
      <c r="S21" s="24">
        <v>6637</v>
      </c>
      <c r="T21" s="23">
        <v>2783</v>
      </c>
      <c r="U21" s="24">
        <v>2110</v>
      </c>
      <c r="V21" s="23">
        <v>5219</v>
      </c>
      <c r="W21" s="23">
        <v>3140</v>
      </c>
      <c r="X21" s="23">
        <v>3359</v>
      </c>
      <c r="Y21" s="23">
        <v>1351</v>
      </c>
      <c r="Z21" s="25">
        <v>33085</v>
      </c>
      <c r="AA21" s="24">
        <v>18325</v>
      </c>
      <c r="AB21" s="23">
        <v>534</v>
      </c>
      <c r="AC21" s="24"/>
      <c r="AD21" s="24"/>
      <c r="AE21" s="23">
        <v>2774</v>
      </c>
      <c r="AF21" s="24">
        <v>2595</v>
      </c>
      <c r="AG21" s="25">
        <v>14072</v>
      </c>
      <c r="AH21" s="23">
        <v>5546</v>
      </c>
      <c r="AI21" s="23">
        <v>1578</v>
      </c>
      <c r="AJ21" s="23">
        <v>3255</v>
      </c>
      <c r="AK21" s="23">
        <v>2194</v>
      </c>
      <c r="AL21" s="23">
        <v>1373</v>
      </c>
      <c r="AM21" s="23">
        <v>1977</v>
      </c>
      <c r="AN21" s="23">
        <v>2351</v>
      </c>
      <c r="AO21" s="23">
        <v>1969</v>
      </c>
      <c r="AP21" s="23">
        <v>2425</v>
      </c>
      <c r="AQ21" s="23">
        <v>4222</v>
      </c>
      <c r="AR21" s="23">
        <v>10459</v>
      </c>
      <c r="AS21" s="23">
        <v>4046</v>
      </c>
      <c r="AT21" s="23">
        <v>2392</v>
      </c>
      <c r="AU21" s="24">
        <v>6858</v>
      </c>
      <c r="AV21" s="23">
        <v>1497</v>
      </c>
    </row>
    <row r="22" spans="1:48" s="13" customFormat="1" ht="15.75" x14ac:dyDescent="0.25">
      <c r="A22" s="5"/>
      <c r="B22" s="6"/>
      <c r="C22" s="32"/>
      <c r="D22" s="37" t="s">
        <v>62</v>
      </c>
      <c r="E22" s="38"/>
      <c r="F22" s="38"/>
      <c r="G22" s="23">
        <v>7</v>
      </c>
      <c r="H22" s="23">
        <v>57</v>
      </c>
      <c r="I22" s="23"/>
      <c r="J22" s="23">
        <v>239</v>
      </c>
      <c r="K22" s="24">
        <v>251</v>
      </c>
      <c r="L22" s="23"/>
      <c r="M22" s="23"/>
      <c r="N22" s="24">
        <v>163</v>
      </c>
      <c r="O22" s="24">
        <v>375</v>
      </c>
      <c r="P22" s="23">
        <v>138</v>
      </c>
      <c r="Q22" s="24">
        <v>688</v>
      </c>
      <c r="R22" s="24"/>
      <c r="S22" s="24"/>
      <c r="T22" s="23">
        <v>181</v>
      </c>
      <c r="U22" s="24">
        <v>203</v>
      </c>
      <c r="V22" s="23">
        <v>313</v>
      </c>
      <c r="W22" s="23"/>
      <c r="X22" s="23">
        <v>91</v>
      </c>
      <c r="Y22" s="23">
        <v>20</v>
      </c>
      <c r="Z22" s="25"/>
      <c r="AA22" s="24">
        <v>767</v>
      </c>
      <c r="AB22" s="23">
        <v>20</v>
      </c>
      <c r="AC22" s="24"/>
      <c r="AD22" s="24"/>
      <c r="AE22" s="23"/>
      <c r="AF22" s="24"/>
      <c r="AG22" s="25">
        <v>606</v>
      </c>
      <c r="AH22" s="23"/>
      <c r="AI22" s="23"/>
      <c r="AJ22" s="23"/>
      <c r="AK22" s="23">
        <v>87</v>
      </c>
      <c r="AL22" s="23">
        <v>47</v>
      </c>
      <c r="AM22" s="23">
        <v>140</v>
      </c>
      <c r="AN22" s="23">
        <v>74</v>
      </c>
      <c r="AO22" s="23">
        <v>201</v>
      </c>
      <c r="AP22" s="23">
        <v>112</v>
      </c>
      <c r="AQ22" s="23">
        <v>225</v>
      </c>
      <c r="AR22" s="23">
        <v>279</v>
      </c>
      <c r="AS22" s="23">
        <v>467</v>
      </c>
      <c r="AT22" s="23">
        <v>195</v>
      </c>
      <c r="AU22" s="24">
        <v>309</v>
      </c>
      <c r="AV22" s="23"/>
    </row>
    <row r="23" spans="1:48" s="13" customFormat="1" ht="15.75" x14ac:dyDescent="0.25">
      <c r="A23" s="5"/>
      <c r="B23" s="6"/>
      <c r="C23" s="32"/>
      <c r="D23" s="37" t="s">
        <v>63</v>
      </c>
      <c r="E23" s="38"/>
      <c r="F23" s="38"/>
      <c r="G23" s="23"/>
      <c r="H23" s="23"/>
      <c r="I23" s="23"/>
      <c r="J23" s="23"/>
      <c r="K23" s="24"/>
      <c r="L23" s="23"/>
      <c r="M23" s="23"/>
      <c r="N23" s="24"/>
      <c r="O23" s="24"/>
      <c r="P23" s="23"/>
      <c r="Q23" s="24"/>
      <c r="R23" s="24"/>
      <c r="S23" s="24"/>
      <c r="T23" s="23"/>
      <c r="U23" s="24"/>
      <c r="V23" s="23"/>
      <c r="W23" s="23"/>
      <c r="X23" s="23"/>
      <c r="Y23" s="23"/>
      <c r="Z23" s="25">
        <v>4</v>
      </c>
      <c r="AA23" s="24"/>
      <c r="AB23" s="23"/>
      <c r="AC23" s="24"/>
      <c r="AD23" s="24"/>
      <c r="AE23" s="23"/>
      <c r="AF23" s="24"/>
      <c r="AG23" s="25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4"/>
      <c r="AV23" s="23"/>
    </row>
    <row r="24" spans="1:48" s="13" customFormat="1" ht="15.75" x14ac:dyDescent="0.25">
      <c r="A24" s="5"/>
      <c r="B24" s="6"/>
      <c r="C24" s="32"/>
      <c r="D24" s="37" t="s">
        <v>64</v>
      </c>
      <c r="E24" s="38"/>
      <c r="F24" s="38"/>
      <c r="G24" s="26"/>
      <c r="H24" s="26"/>
      <c r="I24" s="26"/>
      <c r="J24" s="26"/>
      <c r="K24" s="27">
        <v>920</v>
      </c>
      <c r="L24" s="26"/>
      <c r="M24" s="26">
        <v>134</v>
      </c>
      <c r="N24" s="27"/>
      <c r="O24" s="27"/>
      <c r="P24" s="26"/>
      <c r="Q24" s="27"/>
      <c r="R24" s="27"/>
      <c r="S24" s="27"/>
      <c r="T24" s="26"/>
      <c r="U24" s="27"/>
      <c r="V24" s="26"/>
      <c r="W24" s="26">
        <v>104</v>
      </c>
      <c r="X24" s="26"/>
      <c r="Y24" s="26"/>
      <c r="Z24" s="28"/>
      <c r="AA24" s="27"/>
      <c r="AB24" s="26"/>
      <c r="AC24" s="27"/>
      <c r="AD24" s="27"/>
      <c r="AE24" s="26"/>
      <c r="AF24" s="27"/>
      <c r="AG24" s="28"/>
      <c r="AH24" s="26">
        <v>56</v>
      </c>
      <c r="AI24" s="26">
        <v>246</v>
      </c>
      <c r="AJ24" s="26"/>
      <c r="AK24" s="26"/>
      <c r="AL24" s="26"/>
      <c r="AM24" s="26"/>
      <c r="AN24" s="26"/>
      <c r="AO24" s="26"/>
      <c r="AP24" s="26"/>
      <c r="AQ24" s="26">
        <v>152</v>
      </c>
      <c r="AR24" s="26"/>
      <c r="AS24" s="26"/>
      <c r="AT24" s="26"/>
      <c r="AU24" s="27"/>
      <c r="AV24" s="26">
        <v>33</v>
      </c>
    </row>
    <row r="25" spans="1:48" s="13" customFormat="1" ht="15.75" x14ac:dyDescent="0.25">
      <c r="A25" s="5"/>
      <c r="B25" s="6"/>
      <c r="C25" s="32"/>
      <c r="D25" s="6"/>
      <c r="E25" s="6"/>
      <c r="F25" s="6"/>
      <c r="G25" s="39">
        <f>SUM(G11:G24)</f>
        <v>7380</v>
      </c>
      <c r="H25" s="39">
        <f t="shared" ref="H25:AV25" si="1">SUM(H11:H24)</f>
        <v>21250</v>
      </c>
      <c r="I25" s="39">
        <f t="shared" si="1"/>
        <v>38562</v>
      </c>
      <c r="J25" s="39">
        <f t="shared" si="1"/>
        <v>17939</v>
      </c>
      <c r="K25" s="40">
        <f t="shared" si="1"/>
        <v>22577</v>
      </c>
      <c r="L25" s="39">
        <f t="shared" si="1"/>
        <v>0</v>
      </c>
      <c r="M25" s="39">
        <f t="shared" si="1"/>
        <v>1134</v>
      </c>
      <c r="N25" s="40">
        <f t="shared" si="1"/>
        <v>7168</v>
      </c>
      <c r="O25" s="40">
        <f t="shared" si="1"/>
        <v>88507</v>
      </c>
      <c r="P25" s="39">
        <f t="shared" si="1"/>
        <v>17035</v>
      </c>
      <c r="Q25" s="40">
        <f t="shared" si="1"/>
        <v>17479</v>
      </c>
      <c r="R25" s="40">
        <f t="shared" si="1"/>
        <v>23094</v>
      </c>
      <c r="S25" s="40">
        <f t="shared" si="1"/>
        <v>70057</v>
      </c>
      <c r="T25" s="39">
        <f t="shared" si="1"/>
        <v>7964</v>
      </c>
      <c r="U25" s="40">
        <f t="shared" si="1"/>
        <v>25390</v>
      </c>
      <c r="V25" s="39">
        <f t="shared" si="1"/>
        <v>38606</v>
      </c>
      <c r="W25" s="39">
        <f t="shared" si="1"/>
        <v>27489</v>
      </c>
      <c r="X25" s="39">
        <f t="shared" si="1"/>
        <v>11972</v>
      </c>
      <c r="Y25" s="39">
        <f t="shared" si="1"/>
        <v>9312</v>
      </c>
      <c r="Z25" s="41">
        <f t="shared" si="1"/>
        <v>81059</v>
      </c>
      <c r="AA25" s="40">
        <f t="shared" si="1"/>
        <v>114918</v>
      </c>
      <c r="AB25" s="39">
        <f t="shared" si="1"/>
        <v>7345</v>
      </c>
      <c r="AC25" s="40">
        <f t="shared" si="1"/>
        <v>0</v>
      </c>
      <c r="AD25" s="40">
        <f t="shared" si="1"/>
        <v>0</v>
      </c>
      <c r="AE25" s="39">
        <f t="shared" si="1"/>
        <v>36055</v>
      </c>
      <c r="AF25" s="40">
        <f t="shared" si="1"/>
        <v>3938</v>
      </c>
      <c r="AG25" s="41">
        <f t="shared" si="1"/>
        <v>47787</v>
      </c>
      <c r="AH25" s="39">
        <f t="shared" si="1"/>
        <v>7657</v>
      </c>
      <c r="AI25" s="39">
        <f t="shared" si="1"/>
        <v>3871</v>
      </c>
      <c r="AJ25" s="39">
        <f t="shared" si="1"/>
        <v>15038</v>
      </c>
      <c r="AK25" s="39">
        <f t="shared" si="1"/>
        <v>19066</v>
      </c>
      <c r="AL25" s="39">
        <f t="shared" si="1"/>
        <v>2297</v>
      </c>
      <c r="AM25" s="39">
        <f t="shared" si="1"/>
        <v>5697</v>
      </c>
      <c r="AN25" s="39">
        <f t="shared" si="1"/>
        <v>16847</v>
      </c>
      <c r="AO25" s="39">
        <f t="shared" si="1"/>
        <v>11191</v>
      </c>
      <c r="AP25" s="39">
        <f t="shared" si="1"/>
        <v>6905</v>
      </c>
      <c r="AQ25" s="39">
        <f t="shared" si="1"/>
        <v>19078</v>
      </c>
      <c r="AR25" s="39">
        <f t="shared" si="1"/>
        <v>19119</v>
      </c>
      <c r="AS25" s="39">
        <f t="shared" si="1"/>
        <v>12294</v>
      </c>
      <c r="AT25" s="39">
        <f t="shared" si="1"/>
        <v>3381</v>
      </c>
      <c r="AU25" s="40">
        <f t="shared" si="1"/>
        <v>9638</v>
      </c>
      <c r="AV25" s="39">
        <f t="shared" si="1"/>
        <v>21631</v>
      </c>
    </row>
    <row r="26" spans="1:48" s="13" customFormat="1" ht="15.75" x14ac:dyDescent="0.25">
      <c r="A26" s="5"/>
      <c r="B26" s="6"/>
      <c r="C26" s="32"/>
      <c r="D26" s="6"/>
      <c r="E26" s="6"/>
      <c r="F26" s="6"/>
      <c r="G26" s="42"/>
      <c r="H26" s="42"/>
      <c r="I26" s="42"/>
      <c r="J26" s="42"/>
      <c r="K26" s="43"/>
      <c r="L26" s="42"/>
      <c r="M26" s="42"/>
      <c r="N26" s="43"/>
      <c r="O26" s="43"/>
      <c r="P26" s="42"/>
      <c r="Q26" s="43"/>
      <c r="R26" s="43"/>
      <c r="S26" s="43"/>
      <c r="T26" s="42"/>
      <c r="U26" s="43"/>
      <c r="V26" s="42"/>
      <c r="W26" s="42"/>
      <c r="X26" s="42"/>
      <c r="Y26" s="42"/>
      <c r="Z26" s="44"/>
      <c r="AA26" s="43"/>
      <c r="AB26" s="42"/>
      <c r="AC26" s="43"/>
      <c r="AD26" s="43"/>
      <c r="AE26" s="42"/>
      <c r="AF26" s="43"/>
      <c r="AG26" s="44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3"/>
      <c r="AV26" s="42"/>
    </row>
    <row r="27" spans="1:48" s="13" customFormat="1" ht="15.75" x14ac:dyDescent="0.25">
      <c r="A27" s="5"/>
      <c r="B27" s="6"/>
      <c r="C27" s="32" t="s">
        <v>65</v>
      </c>
      <c r="D27" s="16" t="s">
        <v>66</v>
      </c>
      <c r="E27" s="6"/>
      <c r="F27" s="6"/>
      <c r="G27" s="33"/>
      <c r="H27" s="33"/>
      <c r="I27" s="33"/>
      <c r="J27" s="33"/>
      <c r="K27" s="34"/>
      <c r="L27" s="33"/>
      <c r="M27" s="33"/>
      <c r="N27" s="34"/>
      <c r="O27" s="34"/>
      <c r="P27" s="33"/>
      <c r="Q27" s="34"/>
      <c r="R27" s="34"/>
      <c r="S27" s="34"/>
      <c r="T27" s="33"/>
      <c r="U27" s="34"/>
      <c r="V27" s="33"/>
      <c r="W27" s="33"/>
      <c r="X27" s="33"/>
      <c r="Y27" s="33"/>
      <c r="Z27" s="35"/>
      <c r="AA27" s="34"/>
      <c r="AB27" s="33"/>
      <c r="AC27" s="34"/>
      <c r="AD27" s="34"/>
      <c r="AE27" s="33"/>
      <c r="AF27" s="34"/>
      <c r="AG27" s="35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4"/>
      <c r="AV27" s="33"/>
    </row>
    <row r="28" spans="1:48" s="13" customFormat="1" ht="15.75" x14ac:dyDescent="0.25">
      <c r="A28" s="5"/>
      <c r="B28" s="6"/>
      <c r="C28" s="6"/>
      <c r="D28" s="6" t="s">
        <v>67</v>
      </c>
      <c r="E28" s="6"/>
      <c r="F28" s="6"/>
      <c r="G28" s="23"/>
      <c r="H28" s="23"/>
      <c r="I28" s="23"/>
      <c r="J28" s="23"/>
      <c r="K28" s="24"/>
      <c r="L28" s="23"/>
      <c r="M28" s="23">
        <v>2291</v>
      </c>
      <c r="N28" s="24">
        <v>14299</v>
      </c>
      <c r="O28" s="24"/>
      <c r="P28" s="23"/>
      <c r="Q28" s="24">
        <v>32096</v>
      </c>
      <c r="R28" s="24"/>
      <c r="S28" s="24"/>
      <c r="T28" s="23">
        <v>37313</v>
      </c>
      <c r="U28" s="24"/>
      <c r="V28" s="23"/>
      <c r="W28" s="23"/>
      <c r="X28" s="23"/>
      <c r="Y28" s="23"/>
      <c r="Z28" s="25">
        <v>176996</v>
      </c>
      <c r="AA28" s="24"/>
      <c r="AB28" s="23"/>
      <c r="AC28" s="24"/>
      <c r="AD28" s="24"/>
      <c r="AE28" s="23"/>
      <c r="AF28" s="24">
        <v>4086</v>
      </c>
      <c r="AG28" s="25">
        <v>168653</v>
      </c>
      <c r="AH28" s="23">
        <v>23795</v>
      </c>
      <c r="AI28" s="23">
        <v>18571</v>
      </c>
      <c r="AJ28" s="23"/>
      <c r="AK28" s="23"/>
      <c r="AL28" s="23">
        <v>11544</v>
      </c>
      <c r="AM28" s="23">
        <v>17514</v>
      </c>
      <c r="AN28" s="23"/>
      <c r="AO28" s="23"/>
      <c r="AP28" s="23">
        <v>17386</v>
      </c>
      <c r="AQ28" s="23"/>
      <c r="AR28" s="23">
        <v>33681</v>
      </c>
      <c r="AS28" s="23"/>
      <c r="AT28" s="23">
        <v>7203</v>
      </c>
      <c r="AU28" s="24">
        <v>8190</v>
      </c>
      <c r="AV28" s="23"/>
    </row>
    <row r="29" spans="1:48" s="13" customFormat="1" ht="15.75" x14ac:dyDescent="0.25">
      <c r="A29" s="5"/>
      <c r="B29" s="6"/>
      <c r="C29" s="6"/>
      <c r="D29" s="36" t="s">
        <v>51</v>
      </c>
      <c r="E29" s="6"/>
      <c r="F29" s="6"/>
      <c r="G29" s="23"/>
      <c r="H29" s="23"/>
      <c r="I29" s="23"/>
      <c r="J29" s="23"/>
      <c r="K29" s="24"/>
      <c r="L29" s="23"/>
      <c r="M29" s="23">
        <v>232</v>
      </c>
      <c r="N29" s="24">
        <v>44</v>
      </c>
      <c r="O29" s="24"/>
      <c r="P29" s="23"/>
      <c r="Q29" s="24">
        <v>152</v>
      </c>
      <c r="R29" s="24"/>
      <c r="S29" s="24"/>
      <c r="T29" s="23"/>
      <c r="U29" s="24"/>
      <c r="V29" s="23">
        <v>664</v>
      </c>
      <c r="W29" s="23"/>
      <c r="X29" s="23"/>
      <c r="Y29" s="23"/>
      <c r="Z29" s="25"/>
      <c r="AA29" s="24"/>
      <c r="AB29" s="23"/>
      <c r="AC29" s="24"/>
      <c r="AD29" s="24"/>
      <c r="AE29" s="23"/>
      <c r="AF29" s="24"/>
      <c r="AG29" s="25"/>
      <c r="AH29" s="23"/>
      <c r="AI29" s="23"/>
      <c r="AJ29" s="23"/>
      <c r="AK29" s="23"/>
      <c r="AL29" s="23"/>
      <c r="AM29" s="23"/>
      <c r="AN29" s="23"/>
      <c r="AO29" s="23"/>
      <c r="AP29" s="23">
        <v>1205</v>
      </c>
      <c r="AQ29" s="23"/>
      <c r="AR29" s="23"/>
      <c r="AS29" s="23">
        <v>507</v>
      </c>
      <c r="AT29" s="23"/>
      <c r="AU29" s="24">
        <v>571</v>
      </c>
      <c r="AV29" s="23">
        <v>588</v>
      </c>
    </row>
    <row r="30" spans="1:48" s="13" customFormat="1" ht="15.75" x14ac:dyDescent="0.25">
      <c r="A30" s="5"/>
      <c r="B30" s="6"/>
      <c r="C30" s="6"/>
      <c r="D30" s="36" t="s">
        <v>55</v>
      </c>
      <c r="E30" s="6"/>
      <c r="F30" s="6"/>
      <c r="G30" s="23"/>
      <c r="H30" s="23"/>
      <c r="I30" s="23"/>
      <c r="J30" s="23"/>
      <c r="K30" s="24"/>
      <c r="L30" s="23"/>
      <c r="M30" s="23">
        <v>362</v>
      </c>
      <c r="N30" s="24">
        <v>663</v>
      </c>
      <c r="O30" s="24"/>
      <c r="P30" s="23"/>
      <c r="Q30" s="24">
        <v>2293</v>
      </c>
      <c r="R30" s="24"/>
      <c r="S30" s="24"/>
      <c r="T30" s="23"/>
      <c r="U30" s="24"/>
      <c r="V30" s="23">
        <v>1218</v>
      </c>
      <c r="W30" s="23"/>
      <c r="X30" s="23">
        <v>1300</v>
      </c>
      <c r="Y30" s="23"/>
      <c r="Z30" s="25"/>
      <c r="AA30" s="24"/>
      <c r="AB30" s="23"/>
      <c r="AC30" s="24"/>
      <c r="AD30" s="24"/>
      <c r="AE30" s="23"/>
      <c r="AF30" s="24">
        <v>408</v>
      </c>
      <c r="AG30" s="25"/>
      <c r="AH30" s="23"/>
      <c r="AI30" s="23"/>
      <c r="AJ30" s="23"/>
      <c r="AK30" s="23"/>
      <c r="AL30" s="23"/>
      <c r="AM30" s="23"/>
      <c r="AN30" s="23"/>
      <c r="AO30" s="23">
        <v>461</v>
      </c>
      <c r="AP30" s="23">
        <v>1395</v>
      </c>
      <c r="AQ30" s="23"/>
      <c r="AR30" s="23">
        <v>1055</v>
      </c>
      <c r="AS30" s="23">
        <v>416</v>
      </c>
      <c r="AT30" s="23"/>
      <c r="AU30" s="24">
        <v>1513</v>
      </c>
      <c r="AV30" s="23"/>
    </row>
    <row r="31" spans="1:48" s="13" customFormat="1" ht="15.75" x14ac:dyDescent="0.25">
      <c r="A31" s="5"/>
      <c r="B31" s="6"/>
      <c r="C31" s="6"/>
      <c r="D31" s="36" t="s">
        <v>56</v>
      </c>
      <c r="E31" s="6"/>
      <c r="F31" s="6"/>
      <c r="G31" s="23"/>
      <c r="H31" s="23"/>
      <c r="I31" s="23"/>
      <c r="J31" s="23"/>
      <c r="K31" s="24"/>
      <c r="L31" s="23"/>
      <c r="M31" s="23"/>
      <c r="N31" s="24">
        <v>25</v>
      </c>
      <c r="O31" s="24"/>
      <c r="P31" s="23"/>
      <c r="Q31" s="24">
        <v>115</v>
      </c>
      <c r="R31" s="24"/>
      <c r="S31" s="24"/>
      <c r="T31" s="23">
        <v>4776</v>
      </c>
      <c r="U31" s="24"/>
      <c r="V31" s="23"/>
      <c r="W31" s="23"/>
      <c r="X31" s="23">
        <v>3262</v>
      </c>
      <c r="Y31" s="23"/>
      <c r="Z31" s="25"/>
      <c r="AA31" s="24"/>
      <c r="AB31" s="23"/>
      <c r="AC31" s="24"/>
      <c r="AD31" s="24"/>
      <c r="AE31" s="23"/>
      <c r="AF31" s="24"/>
      <c r="AG31" s="25"/>
      <c r="AH31" s="23"/>
      <c r="AI31" s="23"/>
      <c r="AJ31" s="23"/>
      <c r="AK31" s="23"/>
      <c r="AL31" s="23"/>
      <c r="AM31" s="23"/>
      <c r="AN31" s="23"/>
      <c r="AO31" s="23">
        <v>180</v>
      </c>
      <c r="AP31" s="23">
        <v>1511</v>
      </c>
      <c r="AQ31" s="23"/>
      <c r="AR31" s="23"/>
      <c r="AS31" s="23">
        <v>208</v>
      </c>
      <c r="AT31" s="23"/>
      <c r="AU31" s="24">
        <v>113</v>
      </c>
      <c r="AV31" s="23">
        <v>1360</v>
      </c>
    </row>
    <row r="32" spans="1:48" s="13" customFormat="1" ht="15.75" x14ac:dyDescent="0.25">
      <c r="A32" s="5"/>
      <c r="B32" s="6"/>
      <c r="C32" s="6"/>
      <c r="D32" s="36" t="s">
        <v>57</v>
      </c>
      <c r="E32" s="6"/>
      <c r="F32" s="6"/>
      <c r="G32" s="23"/>
      <c r="H32" s="23"/>
      <c r="I32" s="23"/>
      <c r="J32" s="23"/>
      <c r="K32" s="24"/>
      <c r="L32" s="23"/>
      <c r="M32" s="23"/>
      <c r="N32" s="24"/>
      <c r="O32" s="24"/>
      <c r="P32" s="23"/>
      <c r="Q32" s="24">
        <v>497</v>
      </c>
      <c r="R32" s="24"/>
      <c r="S32" s="24"/>
      <c r="T32" s="23"/>
      <c r="U32" s="24"/>
      <c r="V32" s="23"/>
      <c r="W32" s="23"/>
      <c r="X32" s="23"/>
      <c r="Y32" s="23"/>
      <c r="Z32" s="25"/>
      <c r="AA32" s="24"/>
      <c r="AB32" s="23"/>
      <c r="AC32" s="24"/>
      <c r="AD32" s="24"/>
      <c r="AE32" s="23"/>
      <c r="AF32" s="24"/>
      <c r="AG32" s="25"/>
      <c r="AH32" s="23"/>
      <c r="AI32" s="23"/>
      <c r="AJ32" s="23"/>
      <c r="AK32" s="23"/>
      <c r="AL32" s="23"/>
      <c r="AM32" s="23"/>
      <c r="AN32" s="23"/>
      <c r="AO32" s="23"/>
      <c r="AP32" s="23">
        <v>98</v>
      </c>
      <c r="AQ32" s="23"/>
      <c r="AR32" s="23"/>
      <c r="AS32" s="23"/>
      <c r="AT32" s="23"/>
      <c r="AU32" s="24"/>
      <c r="AV32" s="23"/>
    </row>
    <row r="33" spans="1:48" s="13" customFormat="1" ht="15.75" x14ac:dyDescent="0.25">
      <c r="A33" s="5"/>
      <c r="B33" s="6"/>
      <c r="C33" s="6"/>
      <c r="D33" s="36" t="s">
        <v>58</v>
      </c>
      <c r="E33" s="6"/>
      <c r="F33" s="6"/>
      <c r="G33" s="23"/>
      <c r="H33" s="23"/>
      <c r="I33" s="23"/>
      <c r="J33" s="23"/>
      <c r="K33" s="24"/>
      <c r="L33" s="23"/>
      <c r="M33" s="23">
        <v>138</v>
      </c>
      <c r="N33" s="24">
        <v>101</v>
      </c>
      <c r="O33" s="24"/>
      <c r="P33" s="23"/>
      <c r="Q33" s="24">
        <v>296</v>
      </c>
      <c r="R33" s="24"/>
      <c r="S33" s="24"/>
      <c r="T33" s="23">
        <v>2350</v>
      </c>
      <c r="U33" s="24"/>
      <c r="V33" s="23">
        <v>182</v>
      </c>
      <c r="W33" s="23"/>
      <c r="X33" s="23">
        <v>426</v>
      </c>
      <c r="Y33" s="23"/>
      <c r="Z33" s="25"/>
      <c r="AA33" s="24"/>
      <c r="AB33" s="23"/>
      <c r="AC33" s="24"/>
      <c r="AD33" s="24"/>
      <c r="AE33" s="23"/>
      <c r="AF33" s="24">
        <v>154</v>
      </c>
      <c r="AG33" s="25"/>
      <c r="AH33" s="23"/>
      <c r="AI33" s="23"/>
      <c r="AJ33" s="23"/>
      <c r="AK33" s="23"/>
      <c r="AL33" s="23"/>
      <c r="AM33" s="23"/>
      <c r="AN33" s="23"/>
      <c r="AO33" s="23">
        <v>161</v>
      </c>
      <c r="AP33" s="23">
        <v>171</v>
      </c>
      <c r="AQ33" s="23"/>
      <c r="AR33" s="23">
        <v>75</v>
      </c>
      <c r="AS33" s="23">
        <v>293</v>
      </c>
      <c r="AT33" s="23"/>
      <c r="AU33" s="24">
        <v>837</v>
      </c>
      <c r="AV33" s="23"/>
    </row>
    <row r="34" spans="1:48" s="13" customFormat="1" ht="15.75" x14ac:dyDescent="0.25">
      <c r="A34" s="5"/>
      <c r="B34" s="6"/>
      <c r="C34" s="6"/>
      <c r="D34" s="36" t="s">
        <v>59</v>
      </c>
      <c r="E34" s="6"/>
      <c r="F34" s="6"/>
      <c r="G34" s="23"/>
      <c r="H34" s="23"/>
      <c r="I34" s="23"/>
      <c r="J34" s="23"/>
      <c r="K34" s="24"/>
      <c r="L34" s="23"/>
      <c r="M34" s="23">
        <v>75</v>
      </c>
      <c r="N34" s="24"/>
      <c r="O34" s="24"/>
      <c r="P34" s="23"/>
      <c r="Q34" s="24"/>
      <c r="R34" s="24"/>
      <c r="S34" s="24"/>
      <c r="T34" s="23"/>
      <c r="U34" s="24"/>
      <c r="V34" s="23"/>
      <c r="W34" s="23"/>
      <c r="X34" s="23"/>
      <c r="Y34" s="23"/>
      <c r="Z34" s="25"/>
      <c r="AA34" s="24"/>
      <c r="AB34" s="23"/>
      <c r="AC34" s="24"/>
      <c r="AD34" s="24"/>
      <c r="AE34" s="23"/>
      <c r="AF34" s="24">
        <v>165</v>
      </c>
      <c r="AG34" s="25"/>
      <c r="AH34" s="23"/>
      <c r="AI34" s="23"/>
      <c r="AJ34" s="23"/>
      <c r="AK34" s="23"/>
      <c r="AL34" s="23"/>
      <c r="AM34" s="23"/>
      <c r="AN34" s="23"/>
      <c r="AO34" s="23">
        <v>43</v>
      </c>
      <c r="AP34" s="23">
        <v>645</v>
      </c>
      <c r="AQ34" s="23"/>
      <c r="AR34" s="23">
        <v>174</v>
      </c>
      <c r="AS34" s="23">
        <v>62</v>
      </c>
      <c r="AT34" s="23"/>
      <c r="AU34" s="24"/>
      <c r="AV34" s="23">
        <v>33</v>
      </c>
    </row>
    <row r="35" spans="1:48" s="13" customFormat="1" ht="15.75" x14ac:dyDescent="0.25">
      <c r="A35" s="5"/>
      <c r="B35" s="6"/>
      <c r="C35" s="6"/>
      <c r="D35" s="36" t="s">
        <v>170</v>
      </c>
      <c r="E35" s="6"/>
      <c r="F35" s="6"/>
      <c r="G35" s="23"/>
      <c r="H35" s="23"/>
      <c r="I35" s="23"/>
      <c r="J35" s="23"/>
      <c r="K35" s="24"/>
      <c r="L35" s="23"/>
      <c r="M35" s="23"/>
      <c r="N35" s="24">
        <v>2214</v>
      </c>
      <c r="O35" s="24"/>
      <c r="P35" s="23"/>
      <c r="Q35" s="24">
        <v>1571</v>
      </c>
      <c r="R35" s="24"/>
      <c r="S35" s="24"/>
      <c r="T35" s="23"/>
      <c r="U35" s="24"/>
      <c r="V35" s="23"/>
      <c r="W35" s="23"/>
      <c r="X35" s="23"/>
      <c r="Y35" s="23"/>
      <c r="Z35" s="25"/>
      <c r="AA35" s="24"/>
      <c r="AB35" s="23"/>
      <c r="AC35" s="24"/>
      <c r="AD35" s="24"/>
      <c r="AE35" s="23"/>
      <c r="AF35" s="24">
        <v>305</v>
      </c>
      <c r="AG35" s="25"/>
      <c r="AH35" s="23"/>
      <c r="AI35" s="23"/>
      <c r="AJ35" s="23"/>
      <c r="AK35" s="23"/>
      <c r="AL35" s="23"/>
      <c r="AM35" s="23"/>
      <c r="AN35" s="23"/>
      <c r="AO35" s="23">
        <v>150</v>
      </c>
      <c r="AP35" s="23"/>
      <c r="AQ35" s="23"/>
      <c r="AR35" s="23"/>
      <c r="AS35" s="23"/>
      <c r="AT35" s="23"/>
      <c r="AU35" s="24">
        <v>755</v>
      </c>
      <c r="AV35" s="23"/>
    </row>
    <row r="36" spans="1:48" s="13" customFormat="1" ht="15.75" x14ac:dyDescent="0.25">
      <c r="A36" s="5"/>
      <c r="B36" s="6"/>
      <c r="C36" s="6"/>
      <c r="D36" s="6" t="s">
        <v>68</v>
      </c>
      <c r="E36" s="6"/>
      <c r="F36" s="6"/>
      <c r="G36" s="23"/>
      <c r="H36" s="23"/>
      <c r="I36" s="23"/>
      <c r="J36" s="23"/>
      <c r="K36" s="24"/>
      <c r="L36" s="23"/>
      <c r="M36" s="23">
        <v>2940</v>
      </c>
      <c r="N36" s="24">
        <v>4581</v>
      </c>
      <c r="O36" s="24"/>
      <c r="P36" s="23"/>
      <c r="Q36" s="24">
        <v>14683</v>
      </c>
      <c r="R36" s="24"/>
      <c r="S36" s="24"/>
      <c r="T36" s="23"/>
      <c r="U36" s="24"/>
      <c r="V36" s="23">
        <v>3795</v>
      </c>
      <c r="W36" s="23"/>
      <c r="X36" s="23">
        <v>3420</v>
      </c>
      <c r="Y36" s="23"/>
      <c r="Z36" s="25"/>
      <c r="AA36" s="24"/>
      <c r="AB36" s="23"/>
      <c r="AC36" s="24"/>
      <c r="AD36" s="24"/>
      <c r="AE36" s="23"/>
      <c r="AF36" s="24">
        <v>51</v>
      </c>
      <c r="AG36" s="25">
        <v>7310</v>
      </c>
      <c r="AH36" s="23"/>
      <c r="AI36" s="23">
        <v>150</v>
      </c>
      <c r="AJ36" s="23"/>
      <c r="AK36" s="23"/>
      <c r="AL36" s="23"/>
      <c r="AM36" s="23"/>
      <c r="AN36" s="23"/>
      <c r="AO36" s="23"/>
      <c r="AP36" s="23">
        <v>10556</v>
      </c>
      <c r="AQ36" s="23"/>
      <c r="AR36" s="23">
        <v>15088</v>
      </c>
      <c r="AS36" s="23">
        <v>6902</v>
      </c>
      <c r="AT36" s="23"/>
      <c r="AU36" s="24">
        <v>2000</v>
      </c>
      <c r="AV36" s="23"/>
    </row>
    <row r="37" spans="1:48" s="13" customFormat="1" ht="15.75" x14ac:dyDescent="0.25">
      <c r="A37" s="5"/>
      <c r="B37" s="6"/>
      <c r="C37" s="6"/>
      <c r="D37" s="36" t="s">
        <v>60</v>
      </c>
      <c r="E37" s="6"/>
      <c r="F37" s="6"/>
      <c r="G37" s="23"/>
      <c r="H37" s="23"/>
      <c r="I37" s="23"/>
      <c r="J37" s="23"/>
      <c r="K37" s="24"/>
      <c r="L37" s="23"/>
      <c r="M37" s="23">
        <v>32</v>
      </c>
      <c r="N37" s="24"/>
      <c r="O37" s="24"/>
      <c r="P37" s="23"/>
      <c r="Q37" s="24">
        <v>414</v>
      </c>
      <c r="R37" s="24"/>
      <c r="S37" s="24"/>
      <c r="T37" s="23"/>
      <c r="U37" s="24"/>
      <c r="V37" s="23">
        <v>462</v>
      </c>
      <c r="W37" s="23"/>
      <c r="X37" s="23"/>
      <c r="Y37" s="23"/>
      <c r="Z37" s="25"/>
      <c r="AA37" s="24"/>
      <c r="AB37" s="23"/>
      <c r="AC37" s="24"/>
      <c r="AD37" s="24"/>
      <c r="AE37" s="23"/>
      <c r="AF37" s="24">
        <v>132</v>
      </c>
      <c r="AG37" s="25"/>
      <c r="AH37" s="23"/>
      <c r="AI37" s="23"/>
      <c r="AJ37" s="23"/>
      <c r="AK37" s="23"/>
      <c r="AL37" s="23"/>
      <c r="AM37" s="23"/>
      <c r="AN37" s="23"/>
      <c r="AO37" s="23">
        <v>123</v>
      </c>
      <c r="AP37" s="23">
        <v>98</v>
      </c>
      <c r="AQ37" s="23"/>
      <c r="AR37" s="23"/>
      <c r="AS37" s="23">
        <v>834</v>
      </c>
      <c r="AT37" s="23"/>
      <c r="AU37" s="24">
        <v>42</v>
      </c>
      <c r="AV37" s="23">
        <v>268</v>
      </c>
    </row>
    <row r="38" spans="1:48" s="13" customFormat="1" ht="15.75" x14ac:dyDescent="0.25">
      <c r="A38" s="5"/>
      <c r="B38" s="6"/>
      <c r="C38" s="6"/>
      <c r="D38" s="36" t="s">
        <v>62</v>
      </c>
      <c r="E38" s="6"/>
      <c r="F38" s="6"/>
      <c r="G38" s="23"/>
      <c r="H38" s="23"/>
      <c r="I38" s="23"/>
      <c r="J38" s="23"/>
      <c r="K38" s="24"/>
      <c r="L38" s="23"/>
      <c r="M38" s="23"/>
      <c r="N38" s="24">
        <v>10</v>
      </c>
      <c r="O38" s="24"/>
      <c r="P38" s="23"/>
      <c r="Q38" s="24">
        <v>37</v>
      </c>
      <c r="R38" s="24"/>
      <c r="S38" s="24"/>
      <c r="T38" s="23"/>
      <c r="U38" s="24"/>
      <c r="V38" s="23">
        <v>77</v>
      </c>
      <c r="W38" s="23"/>
      <c r="X38" s="23"/>
      <c r="Y38" s="23"/>
      <c r="Z38" s="25"/>
      <c r="AA38" s="24"/>
      <c r="AB38" s="23"/>
      <c r="AC38" s="24"/>
      <c r="AD38" s="24"/>
      <c r="AE38" s="23"/>
      <c r="AF38" s="24"/>
      <c r="AG38" s="25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>
        <v>62</v>
      </c>
      <c r="AT38" s="23"/>
      <c r="AU38" s="24"/>
      <c r="AV38" s="23">
        <v>76</v>
      </c>
    </row>
    <row r="39" spans="1:48" s="13" customFormat="1" ht="15.75" x14ac:dyDescent="0.25">
      <c r="A39" s="5"/>
      <c r="B39" s="6"/>
      <c r="C39" s="6"/>
      <c r="D39" s="36" t="s">
        <v>61</v>
      </c>
      <c r="E39" s="6"/>
      <c r="F39" s="6"/>
      <c r="G39" s="23"/>
      <c r="H39" s="23"/>
      <c r="I39" s="23"/>
      <c r="J39" s="23"/>
      <c r="K39" s="24"/>
      <c r="L39" s="23"/>
      <c r="M39" s="23">
        <v>457</v>
      </c>
      <c r="N39" s="24">
        <v>175</v>
      </c>
      <c r="O39" s="24"/>
      <c r="P39" s="23"/>
      <c r="Q39" s="24">
        <v>610</v>
      </c>
      <c r="R39" s="24"/>
      <c r="S39" s="24"/>
      <c r="T39" s="23">
        <v>3142</v>
      </c>
      <c r="U39" s="24"/>
      <c r="V39" s="23">
        <v>398</v>
      </c>
      <c r="W39" s="23"/>
      <c r="X39" s="23">
        <v>2091</v>
      </c>
      <c r="Y39" s="23"/>
      <c r="Z39" s="25"/>
      <c r="AA39" s="24"/>
      <c r="AB39" s="23"/>
      <c r="AC39" s="24"/>
      <c r="AD39" s="24"/>
      <c r="AE39" s="23"/>
      <c r="AF39" s="24">
        <v>136</v>
      </c>
      <c r="AG39" s="25"/>
      <c r="AH39" s="23">
        <v>1</v>
      </c>
      <c r="AI39" s="23">
        <v>17</v>
      </c>
      <c r="AJ39" s="23"/>
      <c r="AK39" s="23"/>
      <c r="AL39" s="23"/>
      <c r="AM39" s="23"/>
      <c r="AN39" s="23"/>
      <c r="AO39" s="23">
        <v>572</v>
      </c>
      <c r="AP39" s="23">
        <v>782</v>
      </c>
      <c r="AQ39" s="23"/>
      <c r="AR39" s="23">
        <v>1102</v>
      </c>
      <c r="AS39" s="23">
        <v>328</v>
      </c>
      <c r="AT39" s="23"/>
      <c r="AU39" s="24">
        <v>718</v>
      </c>
      <c r="AV39" s="23">
        <v>1497</v>
      </c>
    </row>
    <row r="40" spans="1:48" s="13" customFormat="1" ht="15.75" x14ac:dyDescent="0.25">
      <c r="A40" s="5"/>
      <c r="B40" s="6"/>
      <c r="C40" s="6"/>
      <c r="D40" s="6"/>
      <c r="E40" s="6"/>
      <c r="F40" s="6"/>
      <c r="G40" s="39">
        <f>SUM(G28:G39)</f>
        <v>0</v>
      </c>
      <c r="H40" s="39">
        <f t="shared" ref="H40:AV40" si="2">SUM(H28:H39)</f>
        <v>0</v>
      </c>
      <c r="I40" s="39">
        <f t="shared" si="2"/>
        <v>0</v>
      </c>
      <c r="J40" s="39">
        <f t="shared" si="2"/>
        <v>0</v>
      </c>
      <c r="K40" s="40">
        <f t="shared" si="2"/>
        <v>0</v>
      </c>
      <c r="L40" s="39">
        <f t="shared" si="2"/>
        <v>0</v>
      </c>
      <c r="M40" s="39">
        <f t="shared" si="2"/>
        <v>6527</v>
      </c>
      <c r="N40" s="40">
        <f t="shared" si="2"/>
        <v>22112</v>
      </c>
      <c r="O40" s="40">
        <f t="shared" si="2"/>
        <v>0</v>
      </c>
      <c r="P40" s="39">
        <f t="shared" si="2"/>
        <v>0</v>
      </c>
      <c r="Q40" s="40">
        <f t="shared" si="2"/>
        <v>52764</v>
      </c>
      <c r="R40" s="40">
        <f t="shared" si="2"/>
        <v>0</v>
      </c>
      <c r="S40" s="40">
        <f t="shared" si="2"/>
        <v>0</v>
      </c>
      <c r="T40" s="39">
        <f t="shared" si="2"/>
        <v>47581</v>
      </c>
      <c r="U40" s="40">
        <f t="shared" si="2"/>
        <v>0</v>
      </c>
      <c r="V40" s="39">
        <f t="shared" si="2"/>
        <v>6796</v>
      </c>
      <c r="W40" s="39">
        <f t="shared" si="2"/>
        <v>0</v>
      </c>
      <c r="X40" s="39">
        <f t="shared" si="2"/>
        <v>10499</v>
      </c>
      <c r="Y40" s="39">
        <f t="shared" si="2"/>
        <v>0</v>
      </c>
      <c r="Z40" s="41">
        <f t="shared" si="2"/>
        <v>176996</v>
      </c>
      <c r="AA40" s="40">
        <f t="shared" si="2"/>
        <v>0</v>
      </c>
      <c r="AB40" s="39">
        <f t="shared" si="2"/>
        <v>0</v>
      </c>
      <c r="AC40" s="40">
        <f t="shared" si="2"/>
        <v>0</v>
      </c>
      <c r="AD40" s="40">
        <f t="shared" si="2"/>
        <v>0</v>
      </c>
      <c r="AE40" s="39">
        <f t="shared" si="2"/>
        <v>0</v>
      </c>
      <c r="AF40" s="40">
        <f t="shared" si="2"/>
        <v>5437</v>
      </c>
      <c r="AG40" s="41">
        <f t="shared" si="2"/>
        <v>175963</v>
      </c>
      <c r="AH40" s="39">
        <f t="shared" si="2"/>
        <v>23796</v>
      </c>
      <c r="AI40" s="39">
        <f t="shared" si="2"/>
        <v>18738</v>
      </c>
      <c r="AJ40" s="39">
        <f t="shared" si="2"/>
        <v>0</v>
      </c>
      <c r="AK40" s="39">
        <f t="shared" si="2"/>
        <v>0</v>
      </c>
      <c r="AL40" s="39">
        <f t="shared" si="2"/>
        <v>11544</v>
      </c>
      <c r="AM40" s="39">
        <f t="shared" si="2"/>
        <v>17514</v>
      </c>
      <c r="AN40" s="39">
        <f t="shared" si="2"/>
        <v>0</v>
      </c>
      <c r="AO40" s="39">
        <f t="shared" si="2"/>
        <v>1690</v>
      </c>
      <c r="AP40" s="39">
        <f t="shared" si="2"/>
        <v>33847</v>
      </c>
      <c r="AQ40" s="39">
        <f t="shared" si="2"/>
        <v>0</v>
      </c>
      <c r="AR40" s="39">
        <f t="shared" si="2"/>
        <v>51175</v>
      </c>
      <c r="AS40" s="39">
        <f t="shared" si="2"/>
        <v>9612</v>
      </c>
      <c r="AT40" s="39">
        <f t="shared" si="2"/>
        <v>7203</v>
      </c>
      <c r="AU40" s="40">
        <f t="shared" si="2"/>
        <v>14739</v>
      </c>
      <c r="AV40" s="39">
        <f t="shared" si="2"/>
        <v>3822</v>
      </c>
    </row>
    <row r="41" spans="1:48" s="13" customFormat="1" ht="15.75" x14ac:dyDescent="0.25">
      <c r="A41" s="5"/>
      <c r="B41" s="6"/>
      <c r="C41" s="6"/>
      <c r="D41" s="6"/>
      <c r="E41" s="6"/>
      <c r="F41" s="6"/>
      <c r="G41" s="45"/>
      <c r="H41" s="45"/>
      <c r="I41" s="45"/>
      <c r="J41" s="45"/>
      <c r="K41" s="46"/>
      <c r="L41" s="45"/>
      <c r="M41" s="45"/>
      <c r="N41" s="46"/>
      <c r="O41" s="46"/>
      <c r="P41" s="45"/>
      <c r="Q41" s="46"/>
      <c r="R41" s="46"/>
      <c r="S41" s="46"/>
      <c r="T41" s="45"/>
      <c r="U41" s="46"/>
      <c r="V41" s="45"/>
      <c r="W41" s="45"/>
      <c r="X41" s="45"/>
      <c r="Y41" s="45"/>
      <c r="Z41" s="47"/>
      <c r="AA41" s="46"/>
      <c r="AB41" s="45"/>
      <c r="AC41" s="46"/>
      <c r="AD41" s="46"/>
      <c r="AE41" s="45"/>
      <c r="AF41" s="46"/>
      <c r="AG41" s="47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6"/>
      <c r="AV41" s="45"/>
    </row>
    <row r="42" spans="1:48" s="13" customFormat="1" ht="15.75" x14ac:dyDescent="0.25">
      <c r="A42" s="5"/>
      <c r="B42" s="6"/>
      <c r="C42" s="6"/>
      <c r="D42" s="6"/>
      <c r="E42" s="6"/>
      <c r="F42" s="6"/>
      <c r="G42" s="33"/>
      <c r="H42" s="33"/>
      <c r="I42" s="33"/>
      <c r="J42" s="33"/>
      <c r="K42" s="34"/>
      <c r="L42" s="33"/>
      <c r="M42" s="33"/>
      <c r="N42" s="34"/>
      <c r="O42" s="34"/>
      <c r="P42" s="33"/>
      <c r="Q42" s="34"/>
      <c r="R42" s="34"/>
      <c r="S42" s="34"/>
      <c r="T42" s="33"/>
      <c r="U42" s="34"/>
      <c r="V42" s="33"/>
      <c r="W42" s="33"/>
      <c r="X42" s="33"/>
      <c r="Y42" s="33"/>
      <c r="Z42" s="35"/>
      <c r="AA42" s="34"/>
      <c r="AB42" s="33"/>
      <c r="AC42" s="34"/>
      <c r="AD42" s="34"/>
      <c r="AE42" s="33"/>
      <c r="AF42" s="34"/>
      <c r="AG42" s="35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4"/>
      <c r="AV42" s="33"/>
    </row>
    <row r="43" spans="1:48" s="13" customFormat="1" ht="16.5" hidden="1" thickBot="1" x14ac:dyDescent="0.3">
      <c r="A43" s="5"/>
      <c r="B43" s="6"/>
      <c r="C43" s="6"/>
      <c r="D43" s="6" t="s">
        <v>69</v>
      </c>
      <c r="E43" s="6"/>
      <c r="F43" s="6"/>
      <c r="G43" s="48">
        <f t="shared" ref="G43:T43" si="3">G9-G25-G40</f>
        <v>-7380</v>
      </c>
      <c r="H43" s="48">
        <f t="shared" si="3"/>
        <v>-21250</v>
      </c>
      <c r="I43" s="48">
        <f t="shared" si="3"/>
        <v>-38562</v>
      </c>
      <c r="J43" s="48">
        <f t="shared" si="3"/>
        <v>-17939</v>
      </c>
      <c r="K43" s="49">
        <f t="shared" si="3"/>
        <v>-22577</v>
      </c>
      <c r="L43" s="48">
        <f t="shared" si="3"/>
        <v>0</v>
      </c>
      <c r="M43" s="48">
        <f t="shared" si="3"/>
        <v>-7661</v>
      </c>
      <c r="N43" s="49">
        <f t="shared" si="3"/>
        <v>-29280</v>
      </c>
      <c r="O43" s="49">
        <f t="shared" si="3"/>
        <v>-88507</v>
      </c>
      <c r="P43" s="48">
        <f t="shared" si="3"/>
        <v>-17035</v>
      </c>
      <c r="Q43" s="49">
        <f t="shared" si="3"/>
        <v>-70243</v>
      </c>
      <c r="R43" s="49">
        <f t="shared" si="3"/>
        <v>-23094</v>
      </c>
      <c r="S43" s="49">
        <f t="shared" si="3"/>
        <v>-70057</v>
      </c>
      <c r="T43" s="48">
        <f t="shared" si="3"/>
        <v>-55545</v>
      </c>
      <c r="U43" s="49">
        <f>U9-U25-U40</f>
        <v>-25390</v>
      </c>
      <c r="V43" s="48">
        <f>V9-V25-V40</f>
        <v>-45402</v>
      </c>
      <c r="W43" s="48"/>
      <c r="X43" s="48"/>
      <c r="Y43" s="48"/>
      <c r="Z43" s="50"/>
      <c r="AA43" s="49"/>
      <c r="AB43" s="48"/>
      <c r="AC43" s="49"/>
      <c r="AD43" s="49"/>
      <c r="AE43" s="48"/>
      <c r="AF43" s="49"/>
      <c r="AG43" s="50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9"/>
      <c r="AV43" s="48"/>
    </row>
    <row r="44" spans="1:48" s="13" customFormat="1" ht="15.75" x14ac:dyDescent="0.25">
      <c r="A44" s="5"/>
      <c r="B44" s="6"/>
      <c r="C44" s="6"/>
      <c r="D44" s="6"/>
      <c r="E44" s="6"/>
      <c r="F44" s="6"/>
      <c r="G44" s="51"/>
      <c r="H44" s="51"/>
      <c r="I44" s="51"/>
      <c r="J44" s="51"/>
      <c r="K44" s="52"/>
      <c r="L44" s="51"/>
      <c r="M44" s="51"/>
      <c r="N44" s="52"/>
      <c r="O44" s="52"/>
      <c r="P44" s="51"/>
      <c r="Q44" s="52"/>
      <c r="R44" s="52"/>
      <c r="S44" s="52"/>
      <c r="T44" s="51"/>
      <c r="U44" s="52"/>
      <c r="V44" s="51"/>
      <c r="W44" s="51"/>
      <c r="X44" s="51"/>
      <c r="Y44" s="51"/>
      <c r="Z44" s="53"/>
      <c r="AA44" s="52"/>
      <c r="AB44" s="51"/>
      <c r="AC44" s="52"/>
      <c r="AD44" s="52"/>
      <c r="AE44" s="51"/>
      <c r="AF44" s="52"/>
      <c r="AG44" s="53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2"/>
      <c r="AV44" s="51"/>
    </row>
    <row r="45" spans="1:48" s="13" customFormat="1" ht="15.75" x14ac:dyDescent="0.25">
      <c r="A45" s="5"/>
      <c r="B45" s="6"/>
      <c r="C45" s="6"/>
      <c r="D45" s="6"/>
      <c r="E45" s="6"/>
      <c r="F45" s="6"/>
      <c r="G45" s="6"/>
      <c r="H45" s="6"/>
      <c r="I45" s="6"/>
      <c r="J45" s="6"/>
      <c r="K45" s="10"/>
      <c r="L45" s="6"/>
      <c r="M45" s="6"/>
      <c r="N45" s="10"/>
      <c r="O45" s="10"/>
      <c r="P45" s="6"/>
      <c r="Q45" s="10"/>
      <c r="R45" s="10"/>
      <c r="S45" s="10"/>
      <c r="T45" s="6"/>
      <c r="U45" s="10"/>
      <c r="V45" s="6"/>
      <c r="W45" s="6"/>
      <c r="X45" s="6"/>
      <c r="Y45" s="6"/>
      <c r="Z45" s="22"/>
      <c r="AA45" s="10"/>
      <c r="AB45" s="6"/>
      <c r="AC45" s="10"/>
      <c r="AD45" s="10"/>
      <c r="AE45" s="6"/>
      <c r="AF45" s="10"/>
      <c r="AG45" s="22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10"/>
      <c r="AV45" s="6"/>
    </row>
    <row r="46" spans="1:48" s="13" customFormat="1" ht="18" x14ac:dyDescent="0.4">
      <c r="A46" s="20" t="s">
        <v>70</v>
      </c>
      <c r="B46" s="33"/>
      <c r="C46" s="54" t="s">
        <v>71</v>
      </c>
      <c r="D46" s="6"/>
      <c r="E46" s="6"/>
      <c r="F46" s="6"/>
      <c r="G46" s="6"/>
      <c r="H46" s="6"/>
      <c r="I46" s="6"/>
      <c r="J46" s="6"/>
      <c r="K46" s="10"/>
      <c r="L46" s="6"/>
      <c r="M46" s="6"/>
      <c r="N46" s="10"/>
      <c r="O46" s="10"/>
      <c r="P46" s="6"/>
      <c r="Q46" s="10"/>
      <c r="R46" s="10"/>
      <c r="S46" s="10"/>
      <c r="T46" s="6"/>
      <c r="U46" s="10"/>
      <c r="V46" s="6"/>
      <c r="W46" s="6"/>
      <c r="X46" s="6"/>
      <c r="Y46" s="6"/>
      <c r="Z46" s="22"/>
      <c r="AA46" s="10"/>
      <c r="AB46" s="6"/>
      <c r="AC46" s="10"/>
      <c r="AD46" s="10"/>
      <c r="AE46" s="6"/>
      <c r="AF46" s="10"/>
      <c r="AG46" s="22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10"/>
      <c r="AV46" s="6"/>
    </row>
    <row r="47" spans="1:48" s="13" customFormat="1" ht="15.75" x14ac:dyDescent="0.25">
      <c r="A47" s="5"/>
      <c r="B47" s="6"/>
      <c r="C47" s="6"/>
      <c r="D47" s="6"/>
      <c r="E47" s="6"/>
      <c r="F47" s="6"/>
      <c r="G47" s="6"/>
      <c r="H47" s="6"/>
      <c r="I47" s="6"/>
      <c r="J47" s="6"/>
      <c r="K47" s="10"/>
      <c r="L47" s="6"/>
      <c r="M47" s="6"/>
      <c r="N47" s="10"/>
      <c r="O47" s="10"/>
      <c r="P47" s="6"/>
      <c r="Q47" s="10"/>
      <c r="R47" s="10"/>
      <c r="S47" s="10"/>
      <c r="T47" s="6"/>
      <c r="U47" s="10"/>
      <c r="V47" s="6"/>
      <c r="W47" s="6"/>
      <c r="X47" s="6"/>
      <c r="Y47" s="6"/>
      <c r="Z47" s="22"/>
      <c r="AA47" s="10"/>
      <c r="AB47" s="6"/>
      <c r="AC47" s="10"/>
      <c r="AD47" s="10"/>
      <c r="AE47" s="6"/>
      <c r="AF47" s="10"/>
      <c r="AG47" s="22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10"/>
      <c r="AV47" s="6"/>
    </row>
    <row r="48" spans="1:48" s="13" customFormat="1" ht="15.75" hidden="1" x14ac:dyDescent="0.25">
      <c r="A48" s="5"/>
      <c r="B48" s="6"/>
      <c r="C48" s="16" t="s">
        <v>72</v>
      </c>
      <c r="D48" s="6"/>
      <c r="E48" s="6"/>
      <c r="F48" s="6"/>
      <c r="G48" s="155" t="s">
        <v>73</v>
      </c>
      <c r="H48" s="155"/>
      <c r="I48" s="155"/>
      <c r="J48" s="42"/>
      <c r="K48" s="55"/>
      <c r="N48" s="55"/>
      <c r="O48" s="55"/>
      <c r="Q48" s="55"/>
      <c r="R48" s="55"/>
      <c r="S48" s="55"/>
      <c r="U48" s="55"/>
      <c r="Z48" s="56"/>
      <c r="AA48" s="55"/>
      <c r="AC48" s="55"/>
      <c r="AD48" s="55"/>
      <c r="AF48" s="55"/>
      <c r="AG48" s="56"/>
      <c r="AU48" s="55"/>
    </row>
    <row r="49" spans="1:48" s="13" customFormat="1" ht="16.5" hidden="1" thickBot="1" x14ac:dyDescent="0.3">
      <c r="A49" s="5"/>
      <c r="B49" s="6"/>
      <c r="C49" s="32" t="s">
        <v>74</v>
      </c>
      <c r="D49" s="16" t="s">
        <v>45</v>
      </c>
      <c r="E49" s="6"/>
      <c r="F49" s="6"/>
      <c r="G49" s="17">
        <v>2010</v>
      </c>
      <c r="H49" s="17">
        <v>0</v>
      </c>
      <c r="I49" s="17">
        <v>0</v>
      </c>
      <c r="J49" s="17">
        <v>0</v>
      </c>
      <c r="K49" s="18">
        <v>0</v>
      </c>
      <c r="L49" s="17">
        <v>0</v>
      </c>
      <c r="M49" s="17">
        <v>0</v>
      </c>
      <c r="N49" s="18">
        <v>0</v>
      </c>
      <c r="O49" s="18">
        <v>0</v>
      </c>
      <c r="P49" s="17">
        <v>0</v>
      </c>
      <c r="Q49" s="18">
        <v>0</v>
      </c>
      <c r="R49" s="18">
        <v>0</v>
      </c>
      <c r="S49" s="18">
        <v>0</v>
      </c>
      <c r="T49" s="17">
        <v>0</v>
      </c>
      <c r="U49" s="18">
        <v>0</v>
      </c>
      <c r="V49" s="17"/>
      <c r="W49" s="17"/>
      <c r="X49" s="17"/>
      <c r="Y49" s="17"/>
      <c r="Z49" s="19"/>
      <c r="AA49" s="18"/>
      <c r="AB49" s="17"/>
      <c r="AC49" s="18"/>
      <c r="AD49" s="18"/>
      <c r="AE49" s="17"/>
      <c r="AF49" s="18"/>
      <c r="AG49" s="19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8"/>
      <c r="AV49" s="17"/>
    </row>
    <row r="50" spans="1:48" s="13" customFormat="1" ht="15.75" hidden="1" x14ac:dyDescent="0.25">
      <c r="A50" s="5"/>
      <c r="B50" s="6"/>
      <c r="C50" s="6"/>
      <c r="D50" s="6" t="s">
        <v>75</v>
      </c>
      <c r="E50" s="6"/>
      <c r="F50" s="6"/>
      <c r="G50" s="23"/>
      <c r="H50" s="23"/>
      <c r="I50" s="23"/>
      <c r="J50" s="23"/>
      <c r="K50" s="24"/>
      <c r="L50" s="23"/>
      <c r="M50" s="23"/>
      <c r="N50" s="24"/>
      <c r="O50" s="24"/>
      <c r="P50" s="23"/>
      <c r="Q50" s="24"/>
      <c r="R50" s="24"/>
      <c r="S50" s="24"/>
      <c r="T50" s="23"/>
      <c r="U50" s="24"/>
      <c r="V50" s="23"/>
      <c r="W50" s="23"/>
      <c r="X50" s="23"/>
      <c r="Y50" s="23"/>
      <c r="Z50" s="25"/>
      <c r="AA50" s="24"/>
      <c r="AB50" s="23"/>
      <c r="AC50" s="24"/>
      <c r="AD50" s="24"/>
      <c r="AE50" s="23"/>
      <c r="AF50" s="24"/>
      <c r="AG50" s="25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4"/>
      <c r="AV50" s="23"/>
    </row>
    <row r="51" spans="1:48" s="13" customFormat="1" ht="15.75" hidden="1" x14ac:dyDescent="0.25">
      <c r="A51" s="5"/>
      <c r="B51" s="6"/>
      <c r="C51" s="6"/>
      <c r="D51" s="6" t="s">
        <v>76</v>
      </c>
      <c r="E51" s="6"/>
      <c r="F51" s="6"/>
      <c r="G51" s="23"/>
      <c r="H51" s="23"/>
      <c r="I51" s="23"/>
      <c r="J51" s="23"/>
      <c r="K51" s="24"/>
      <c r="L51" s="23"/>
      <c r="M51" s="23"/>
      <c r="N51" s="24"/>
      <c r="O51" s="24"/>
      <c r="P51" s="23"/>
      <c r="Q51" s="24"/>
      <c r="R51" s="24"/>
      <c r="S51" s="24"/>
      <c r="T51" s="23"/>
      <c r="U51" s="24"/>
      <c r="V51" s="23"/>
      <c r="W51" s="23"/>
      <c r="X51" s="23"/>
      <c r="Y51" s="23"/>
      <c r="Z51" s="25"/>
      <c r="AA51" s="24"/>
      <c r="AB51" s="23"/>
      <c r="AC51" s="24"/>
      <c r="AD51" s="24"/>
      <c r="AE51" s="23"/>
      <c r="AF51" s="24"/>
      <c r="AG51" s="25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4"/>
      <c r="AV51" s="23"/>
    </row>
    <row r="52" spans="1:48" s="13" customFormat="1" ht="15.75" hidden="1" x14ac:dyDescent="0.25">
      <c r="A52" s="5"/>
      <c r="B52" s="6"/>
      <c r="C52" s="6"/>
      <c r="D52" s="6" t="s">
        <v>77</v>
      </c>
      <c r="E52" s="6"/>
      <c r="F52" s="6"/>
      <c r="G52" s="26"/>
      <c r="H52" s="26"/>
      <c r="I52" s="26"/>
      <c r="J52" s="26"/>
      <c r="K52" s="27"/>
      <c r="L52" s="26"/>
      <c r="M52" s="26"/>
      <c r="N52" s="27"/>
      <c r="O52" s="27"/>
      <c r="P52" s="26"/>
      <c r="Q52" s="27"/>
      <c r="R52" s="27"/>
      <c r="S52" s="27"/>
      <c r="T52" s="26"/>
      <c r="U52" s="27"/>
      <c r="V52" s="26"/>
      <c r="W52" s="26"/>
      <c r="X52" s="26"/>
      <c r="Y52" s="26"/>
      <c r="Z52" s="28"/>
      <c r="AA52" s="27"/>
      <c r="AB52" s="26"/>
      <c r="AC52" s="27"/>
      <c r="AD52" s="27"/>
      <c r="AE52" s="26"/>
      <c r="AF52" s="27"/>
      <c r="AG52" s="28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7"/>
      <c r="AV52" s="26"/>
    </row>
    <row r="53" spans="1:48" s="13" customFormat="1" ht="15.75" hidden="1" x14ac:dyDescent="0.25">
      <c r="A53" s="5"/>
      <c r="B53" s="6"/>
      <c r="C53" s="6"/>
      <c r="D53" s="6"/>
      <c r="E53" s="6"/>
      <c r="F53" s="6"/>
      <c r="G53" s="29">
        <f>SUM(G50:G52)</f>
        <v>0</v>
      </c>
      <c r="H53" s="29">
        <f t="shared" ref="H53:U53" si="4">SUM(H50:H52)</f>
        <v>0</v>
      </c>
      <c r="I53" s="29">
        <f t="shared" si="4"/>
        <v>0</v>
      </c>
      <c r="J53" s="29">
        <f t="shared" si="4"/>
        <v>0</v>
      </c>
      <c r="K53" s="30">
        <f t="shared" si="4"/>
        <v>0</v>
      </c>
      <c r="L53" s="29">
        <f t="shared" si="4"/>
        <v>0</v>
      </c>
      <c r="M53" s="29">
        <f t="shared" si="4"/>
        <v>0</v>
      </c>
      <c r="N53" s="30">
        <f t="shared" si="4"/>
        <v>0</v>
      </c>
      <c r="O53" s="30">
        <f t="shared" si="4"/>
        <v>0</v>
      </c>
      <c r="P53" s="29">
        <f t="shared" si="4"/>
        <v>0</v>
      </c>
      <c r="Q53" s="30">
        <f t="shared" si="4"/>
        <v>0</v>
      </c>
      <c r="R53" s="30">
        <f t="shared" si="4"/>
        <v>0</v>
      </c>
      <c r="S53" s="30">
        <f t="shared" si="4"/>
        <v>0</v>
      </c>
      <c r="T53" s="29">
        <f t="shared" si="4"/>
        <v>0</v>
      </c>
      <c r="U53" s="30">
        <f t="shared" si="4"/>
        <v>0</v>
      </c>
      <c r="V53" s="29"/>
      <c r="W53" s="29"/>
      <c r="X53" s="29"/>
      <c r="Y53" s="29"/>
      <c r="Z53" s="31"/>
      <c r="AA53" s="30"/>
      <c r="AB53" s="29"/>
      <c r="AC53" s="30"/>
      <c r="AD53" s="30"/>
      <c r="AE53" s="29"/>
      <c r="AF53" s="30"/>
      <c r="AG53" s="31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30"/>
      <c r="AV53" s="29"/>
    </row>
    <row r="54" spans="1:48" s="13" customFormat="1" ht="15.75" x14ac:dyDescent="0.25">
      <c r="A54" s="5"/>
      <c r="B54" s="6"/>
      <c r="C54" s="32" t="s">
        <v>78</v>
      </c>
      <c r="D54" s="16" t="s">
        <v>79</v>
      </c>
      <c r="E54" s="6"/>
      <c r="F54" s="6"/>
      <c r="G54" s="33"/>
      <c r="H54" s="33"/>
      <c r="I54" s="33"/>
      <c r="J54" s="33"/>
      <c r="K54" s="34"/>
      <c r="L54" s="33"/>
      <c r="M54" s="33"/>
      <c r="N54" s="34"/>
      <c r="O54" s="34"/>
      <c r="P54" s="33"/>
      <c r="Q54" s="34"/>
      <c r="R54" s="34"/>
      <c r="S54" s="34"/>
      <c r="T54" s="33"/>
      <c r="U54" s="34"/>
      <c r="V54" s="33"/>
      <c r="W54" s="33"/>
      <c r="X54" s="33"/>
      <c r="Y54" s="33"/>
      <c r="Z54" s="35"/>
      <c r="AA54" s="34"/>
      <c r="AB54" s="33"/>
      <c r="AC54" s="34"/>
      <c r="AD54" s="34"/>
      <c r="AE54" s="33"/>
      <c r="AF54" s="34"/>
      <c r="AG54" s="35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4"/>
      <c r="AV54" s="33"/>
    </row>
    <row r="55" spans="1:48" s="13" customFormat="1" ht="15.75" x14ac:dyDescent="0.25">
      <c r="A55" s="5"/>
      <c r="B55" s="6"/>
      <c r="C55" s="32"/>
      <c r="D55" s="16" t="s">
        <v>169</v>
      </c>
      <c r="E55" s="6"/>
      <c r="F55" s="6"/>
      <c r="G55" s="33"/>
      <c r="H55" s="33"/>
      <c r="I55" s="33"/>
      <c r="J55" s="33"/>
      <c r="K55" s="34"/>
      <c r="L55" s="33"/>
      <c r="M55" s="33"/>
      <c r="N55" s="34"/>
      <c r="O55" s="34"/>
      <c r="P55" s="33"/>
      <c r="Q55" s="34"/>
      <c r="R55" s="34"/>
      <c r="S55" s="34"/>
      <c r="T55" s="33"/>
      <c r="U55" s="34"/>
      <c r="V55" s="33"/>
      <c r="W55" s="33"/>
      <c r="X55" s="33"/>
      <c r="Y55" s="33"/>
      <c r="Z55" s="35"/>
      <c r="AA55" s="34"/>
      <c r="AB55" s="33"/>
      <c r="AC55" s="34"/>
      <c r="AD55" s="34"/>
      <c r="AE55" s="33"/>
      <c r="AF55" s="34"/>
      <c r="AG55" s="35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4"/>
      <c r="AV55" s="33"/>
    </row>
    <row r="56" spans="1:48" s="13" customFormat="1" ht="15.75" x14ac:dyDescent="0.25">
      <c r="A56" s="5"/>
      <c r="B56" s="6"/>
      <c r="C56" s="6"/>
      <c r="D56" s="6" t="s">
        <v>51</v>
      </c>
      <c r="E56" s="6"/>
      <c r="F56" s="6"/>
      <c r="G56" s="23">
        <v>554</v>
      </c>
      <c r="H56" s="23"/>
      <c r="I56" s="23"/>
      <c r="J56" s="23">
        <v>422</v>
      </c>
      <c r="K56" s="24">
        <v>246</v>
      </c>
      <c r="L56" s="23"/>
      <c r="M56" s="23">
        <v>27</v>
      </c>
      <c r="N56" s="24"/>
      <c r="O56" s="24">
        <v>1114</v>
      </c>
      <c r="P56" s="23">
        <v>354</v>
      </c>
      <c r="Q56" s="24">
        <v>2540</v>
      </c>
      <c r="R56" s="24">
        <v>282</v>
      </c>
      <c r="S56" s="24">
        <v>386</v>
      </c>
      <c r="T56" s="23">
        <v>576</v>
      </c>
      <c r="U56" s="24">
        <v>280</v>
      </c>
      <c r="V56" s="23">
        <v>3907</v>
      </c>
      <c r="W56" s="23">
        <v>3893</v>
      </c>
      <c r="X56" s="23">
        <v>162</v>
      </c>
      <c r="Y56" s="23"/>
      <c r="Z56" s="25">
        <v>16471</v>
      </c>
      <c r="AA56" s="24">
        <v>4358</v>
      </c>
      <c r="AB56" s="23">
        <v>72</v>
      </c>
      <c r="AC56" s="24"/>
      <c r="AD56" s="24"/>
      <c r="AE56" s="23">
        <v>376</v>
      </c>
      <c r="AF56" s="24">
        <v>66</v>
      </c>
      <c r="AG56" s="25">
        <v>8557</v>
      </c>
      <c r="AH56" s="23"/>
      <c r="AI56" s="23">
        <v>611</v>
      </c>
      <c r="AJ56" s="23"/>
      <c r="AK56" s="23"/>
      <c r="AL56" s="23">
        <v>142</v>
      </c>
      <c r="AM56" s="23">
        <v>1184</v>
      </c>
      <c r="AN56" s="23">
        <v>302</v>
      </c>
      <c r="AO56" s="23">
        <v>243</v>
      </c>
      <c r="AP56" s="23">
        <v>1340</v>
      </c>
      <c r="AQ56" s="23">
        <v>126</v>
      </c>
      <c r="AR56" s="23">
        <v>2268</v>
      </c>
      <c r="AS56" s="23">
        <v>1021</v>
      </c>
      <c r="AT56" s="23">
        <v>817</v>
      </c>
      <c r="AU56" s="24">
        <v>1748</v>
      </c>
      <c r="AV56" s="23">
        <v>620</v>
      </c>
    </row>
    <row r="57" spans="1:48" s="13" customFormat="1" ht="15.75" x14ac:dyDescent="0.25">
      <c r="A57" s="5"/>
      <c r="B57" s="6"/>
      <c r="C57" s="6"/>
      <c r="D57" s="6" t="s">
        <v>80</v>
      </c>
      <c r="E57" s="14"/>
      <c r="F57" s="14"/>
      <c r="G57" s="23">
        <v>153</v>
      </c>
      <c r="H57" s="23"/>
      <c r="I57" s="23"/>
      <c r="J57" s="23">
        <v>170</v>
      </c>
      <c r="K57" s="24">
        <v>213</v>
      </c>
      <c r="L57" s="23"/>
      <c r="M57" s="23"/>
      <c r="N57" s="24"/>
      <c r="O57" s="24">
        <v>860</v>
      </c>
      <c r="P57" s="23">
        <v>131</v>
      </c>
      <c r="Q57" s="24">
        <v>739</v>
      </c>
      <c r="R57" s="24">
        <v>511</v>
      </c>
      <c r="S57" s="24">
        <v>85</v>
      </c>
      <c r="T57" s="23">
        <v>868</v>
      </c>
      <c r="U57" s="24">
        <v>143</v>
      </c>
      <c r="V57" s="23">
        <v>1799</v>
      </c>
      <c r="W57" s="23">
        <v>324</v>
      </c>
      <c r="X57" s="23">
        <v>286</v>
      </c>
      <c r="Y57" s="23">
        <v>169</v>
      </c>
      <c r="Z57" s="25">
        <v>137</v>
      </c>
      <c r="AA57" s="24">
        <v>855</v>
      </c>
      <c r="AB57" s="23">
        <v>59</v>
      </c>
      <c r="AC57" s="24"/>
      <c r="AD57" s="24"/>
      <c r="AE57" s="23">
        <v>793</v>
      </c>
      <c r="AF57" s="24"/>
      <c r="AG57" s="25">
        <v>551</v>
      </c>
      <c r="AH57" s="23"/>
      <c r="AI57" s="23">
        <v>228</v>
      </c>
      <c r="AJ57" s="23"/>
      <c r="AK57" s="23">
        <v>286</v>
      </c>
      <c r="AL57" s="23">
        <v>384</v>
      </c>
      <c r="AM57" s="23"/>
      <c r="AN57" s="23">
        <v>220</v>
      </c>
      <c r="AO57" s="23">
        <v>4</v>
      </c>
      <c r="AP57" s="23">
        <v>505</v>
      </c>
      <c r="AQ57" s="23"/>
      <c r="AR57" s="23"/>
      <c r="AS57" s="23"/>
      <c r="AT57" s="23">
        <v>84</v>
      </c>
      <c r="AU57" s="24">
        <v>1836</v>
      </c>
      <c r="AV57" s="23"/>
    </row>
    <row r="58" spans="1:48" s="13" customFormat="1" ht="15.75" x14ac:dyDescent="0.25">
      <c r="A58" s="5"/>
      <c r="B58" s="6"/>
      <c r="C58" s="6"/>
      <c r="D58" s="6" t="s">
        <v>56</v>
      </c>
      <c r="E58" s="14"/>
      <c r="F58" s="14"/>
      <c r="G58" s="23">
        <v>60</v>
      </c>
      <c r="H58" s="23">
        <v>1482</v>
      </c>
      <c r="I58" s="23"/>
      <c r="J58" s="23"/>
      <c r="K58" s="24">
        <v>63</v>
      </c>
      <c r="L58" s="23"/>
      <c r="M58" s="23">
        <v>1339</v>
      </c>
      <c r="N58" s="24"/>
      <c r="O58" s="24">
        <v>3247</v>
      </c>
      <c r="P58" s="23">
        <v>516</v>
      </c>
      <c r="Q58" s="24">
        <v>2307</v>
      </c>
      <c r="R58" s="24">
        <v>2234</v>
      </c>
      <c r="S58" s="24">
        <v>7489</v>
      </c>
      <c r="T58" s="23">
        <v>3863</v>
      </c>
      <c r="U58" s="24">
        <v>777</v>
      </c>
      <c r="V58" s="23"/>
      <c r="W58" s="23"/>
      <c r="X58" s="23">
        <v>473</v>
      </c>
      <c r="Y58" s="23"/>
      <c r="Z58" s="25">
        <v>18890</v>
      </c>
      <c r="AA58" s="24"/>
      <c r="AB58" s="23"/>
      <c r="AC58" s="24"/>
      <c r="AD58" s="24"/>
      <c r="AE58" s="23">
        <v>4244</v>
      </c>
      <c r="AF58" s="24"/>
      <c r="AG58" s="25">
        <v>65497</v>
      </c>
      <c r="AH58" s="23">
        <v>1424</v>
      </c>
      <c r="AI58" s="23">
        <v>3960</v>
      </c>
      <c r="AJ58" s="23">
        <v>1473</v>
      </c>
      <c r="AK58" s="23">
        <v>1402</v>
      </c>
      <c r="AL58" s="23">
        <v>1497</v>
      </c>
      <c r="AM58" s="23">
        <v>878</v>
      </c>
      <c r="AN58" s="23">
        <v>1487</v>
      </c>
      <c r="AO58" s="23">
        <v>62</v>
      </c>
      <c r="AP58" s="23">
        <v>2191</v>
      </c>
      <c r="AQ58" s="23">
        <v>107</v>
      </c>
      <c r="AR58" s="23"/>
      <c r="AS58" s="23">
        <v>992</v>
      </c>
      <c r="AT58" s="23">
        <v>37</v>
      </c>
      <c r="AU58" s="24">
        <v>494</v>
      </c>
      <c r="AV58" s="23">
        <v>2234</v>
      </c>
    </row>
    <row r="59" spans="1:48" s="13" customFormat="1" ht="15.75" x14ac:dyDescent="0.25">
      <c r="A59" s="5"/>
      <c r="B59" s="6"/>
      <c r="C59" s="6"/>
      <c r="D59" s="6" t="s">
        <v>57</v>
      </c>
      <c r="E59" s="14"/>
      <c r="F59" s="14"/>
      <c r="G59" s="23"/>
      <c r="H59" s="23"/>
      <c r="I59" s="23"/>
      <c r="J59" s="23"/>
      <c r="K59" s="24"/>
      <c r="L59" s="23"/>
      <c r="M59" s="23"/>
      <c r="N59" s="24"/>
      <c r="O59" s="24"/>
      <c r="P59" s="23">
        <v>75</v>
      </c>
      <c r="Q59" s="24">
        <v>688</v>
      </c>
      <c r="R59" s="24"/>
      <c r="S59" s="24"/>
      <c r="T59" s="23"/>
      <c r="U59" s="24"/>
      <c r="V59" s="23">
        <v>539</v>
      </c>
      <c r="W59" s="23"/>
      <c r="X59" s="23">
        <v>7</v>
      </c>
      <c r="Y59" s="23"/>
      <c r="Z59" s="25">
        <v>981</v>
      </c>
      <c r="AA59" s="24"/>
      <c r="AB59" s="23"/>
      <c r="AC59" s="24"/>
      <c r="AD59" s="24"/>
      <c r="AE59" s="23"/>
      <c r="AF59" s="24"/>
      <c r="AG59" s="25">
        <v>386</v>
      </c>
      <c r="AH59" s="23"/>
      <c r="AI59" s="23"/>
      <c r="AJ59" s="23"/>
      <c r="AK59" s="23"/>
      <c r="AL59" s="23"/>
      <c r="AM59" s="23">
        <v>138</v>
      </c>
      <c r="AN59" s="23"/>
      <c r="AO59" s="23"/>
      <c r="AP59" s="23">
        <v>8</v>
      </c>
      <c r="AQ59" s="23"/>
      <c r="AR59" s="23"/>
      <c r="AS59" s="23"/>
      <c r="AT59" s="23"/>
      <c r="AU59" s="24">
        <v>874</v>
      </c>
      <c r="AV59" s="23"/>
    </row>
    <row r="60" spans="1:48" s="13" customFormat="1" ht="15.75" x14ac:dyDescent="0.25">
      <c r="A60" s="5"/>
      <c r="B60" s="6"/>
      <c r="C60" s="6"/>
      <c r="D60" s="6" t="s">
        <v>58</v>
      </c>
      <c r="E60" s="14"/>
      <c r="F60" s="14"/>
      <c r="G60" s="23">
        <v>99</v>
      </c>
      <c r="H60" s="23"/>
      <c r="I60" s="23"/>
      <c r="J60" s="23">
        <v>97</v>
      </c>
      <c r="K60" s="24">
        <v>160</v>
      </c>
      <c r="L60" s="23"/>
      <c r="M60" s="23"/>
      <c r="N60" s="24"/>
      <c r="O60" s="24">
        <v>136</v>
      </c>
      <c r="P60" s="23">
        <v>90</v>
      </c>
      <c r="Q60" s="24">
        <v>463</v>
      </c>
      <c r="R60" s="24">
        <v>124</v>
      </c>
      <c r="S60" s="24"/>
      <c r="T60" s="23">
        <v>240</v>
      </c>
      <c r="U60" s="24">
        <v>2475</v>
      </c>
      <c r="V60" s="23">
        <v>2469</v>
      </c>
      <c r="W60" s="23">
        <v>477</v>
      </c>
      <c r="X60" s="23">
        <v>744</v>
      </c>
      <c r="Y60" s="23">
        <v>180</v>
      </c>
      <c r="Z60" s="25">
        <v>336</v>
      </c>
      <c r="AA60" s="24">
        <v>187</v>
      </c>
      <c r="AB60" s="23">
        <v>50</v>
      </c>
      <c r="AC60" s="24"/>
      <c r="AD60" s="24"/>
      <c r="AE60" s="23"/>
      <c r="AF60" s="24"/>
      <c r="AG60" s="25">
        <v>864</v>
      </c>
      <c r="AH60" s="23"/>
      <c r="AI60" s="23"/>
      <c r="AJ60" s="23"/>
      <c r="AK60" s="23">
        <v>99</v>
      </c>
      <c r="AL60" s="23">
        <v>1052</v>
      </c>
      <c r="AM60" s="23"/>
      <c r="AN60" s="23">
        <v>82</v>
      </c>
      <c r="AO60" s="23">
        <v>3</v>
      </c>
      <c r="AP60" s="23">
        <v>436</v>
      </c>
      <c r="AQ60" s="23">
        <v>118</v>
      </c>
      <c r="AR60" s="23"/>
      <c r="AS60" s="23"/>
      <c r="AT60" s="23">
        <v>90</v>
      </c>
      <c r="AU60" s="24">
        <v>441</v>
      </c>
      <c r="AV60" s="23"/>
    </row>
    <row r="61" spans="1:48" s="13" customFormat="1" ht="15.75" x14ac:dyDescent="0.25">
      <c r="A61" s="5"/>
      <c r="B61" s="6"/>
      <c r="C61" s="6"/>
      <c r="D61" s="6" t="s">
        <v>59</v>
      </c>
      <c r="E61" s="14"/>
      <c r="F61" s="14"/>
      <c r="G61" s="23"/>
      <c r="H61" s="23"/>
      <c r="I61" s="23"/>
      <c r="J61" s="23">
        <v>104</v>
      </c>
      <c r="K61" s="24"/>
      <c r="L61" s="23"/>
      <c r="M61" s="23"/>
      <c r="N61" s="24"/>
      <c r="O61" s="24">
        <v>75</v>
      </c>
      <c r="P61" s="23">
        <v>80</v>
      </c>
      <c r="Q61" s="24"/>
      <c r="R61" s="24">
        <v>63</v>
      </c>
      <c r="S61" s="24"/>
      <c r="T61" s="23">
        <v>198</v>
      </c>
      <c r="U61" s="24"/>
      <c r="V61" s="23">
        <v>234</v>
      </c>
      <c r="W61" s="23">
        <v>101</v>
      </c>
      <c r="X61" s="23">
        <v>144</v>
      </c>
      <c r="Y61" s="23"/>
      <c r="Z61" s="25">
        <v>413</v>
      </c>
      <c r="AA61" s="24"/>
      <c r="AB61" s="23">
        <v>25</v>
      </c>
      <c r="AC61" s="24"/>
      <c r="AD61" s="24"/>
      <c r="AE61" s="23"/>
      <c r="AF61" s="24"/>
      <c r="AG61" s="25"/>
      <c r="AH61" s="23"/>
      <c r="AI61" s="23"/>
      <c r="AJ61" s="23"/>
      <c r="AK61" s="23">
        <v>51</v>
      </c>
      <c r="AL61" s="23"/>
      <c r="AM61" s="23"/>
      <c r="AN61" s="23"/>
      <c r="AO61" s="23"/>
      <c r="AP61" s="23"/>
      <c r="AQ61" s="23">
        <v>162</v>
      </c>
      <c r="AR61" s="23">
        <v>137</v>
      </c>
      <c r="AS61" s="23">
        <v>60</v>
      </c>
      <c r="AT61" s="23">
        <v>70</v>
      </c>
      <c r="AU61" s="24"/>
      <c r="AV61" s="23"/>
    </row>
    <row r="62" spans="1:48" s="13" customFormat="1" ht="15.75" x14ac:dyDescent="0.25">
      <c r="A62" s="5"/>
      <c r="B62" s="6"/>
      <c r="C62" s="6"/>
      <c r="D62" s="6" t="s">
        <v>62</v>
      </c>
      <c r="E62" s="14"/>
      <c r="F62" s="14"/>
      <c r="G62" s="23">
        <v>168</v>
      </c>
      <c r="H62" s="23"/>
      <c r="I62" s="23"/>
      <c r="J62" s="23">
        <v>191</v>
      </c>
      <c r="K62" s="24">
        <v>89</v>
      </c>
      <c r="L62" s="23"/>
      <c r="M62" s="23">
        <v>13</v>
      </c>
      <c r="N62" s="24"/>
      <c r="O62" s="24">
        <v>176</v>
      </c>
      <c r="P62" s="23">
        <v>91</v>
      </c>
      <c r="Q62" s="24">
        <v>628</v>
      </c>
      <c r="R62" s="24"/>
      <c r="S62" s="24"/>
      <c r="T62" s="23">
        <v>159</v>
      </c>
      <c r="U62" s="24"/>
      <c r="V62" s="23">
        <v>292</v>
      </c>
      <c r="W62" s="23"/>
      <c r="X62" s="23">
        <v>39</v>
      </c>
      <c r="Y62" s="23"/>
      <c r="Z62" s="25"/>
      <c r="AA62" s="24">
        <v>548</v>
      </c>
      <c r="AB62" s="23">
        <v>20</v>
      </c>
      <c r="AC62" s="24"/>
      <c r="AD62" s="24"/>
      <c r="AE62" s="23"/>
      <c r="AF62" s="24"/>
      <c r="AG62" s="25">
        <v>394</v>
      </c>
      <c r="AH62" s="23"/>
      <c r="AI62" s="23"/>
      <c r="AJ62" s="23"/>
      <c r="AK62" s="23"/>
      <c r="AL62" s="23"/>
      <c r="AM62" s="23">
        <v>140</v>
      </c>
      <c r="AN62" s="23">
        <v>51</v>
      </c>
      <c r="AO62" s="23">
        <v>135</v>
      </c>
      <c r="AP62" s="23">
        <v>33</v>
      </c>
      <c r="AQ62" s="23">
        <v>93</v>
      </c>
      <c r="AR62" s="23">
        <v>249</v>
      </c>
      <c r="AS62" s="23">
        <v>161</v>
      </c>
      <c r="AT62" s="23"/>
      <c r="AU62" s="24">
        <v>293</v>
      </c>
      <c r="AV62" s="23"/>
    </row>
    <row r="63" spans="1:48" s="13" customFormat="1" ht="15.75" x14ac:dyDescent="0.25">
      <c r="A63" s="5"/>
      <c r="B63" s="6"/>
      <c r="C63" s="6"/>
      <c r="D63" s="6" t="s">
        <v>61</v>
      </c>
      <c r="E63" s="14"/>
      <c r="F63" s="14"/>
      <c r="G63" s="23">
        <v>836</v>
      </c>
      <c r="H63" s="23"/>
      <c r="I63" s="23"/>
      <c r="J63" s="23">
        <v>5128</v>
      </c>
      <c r="K63" s="24">
        <v>2773</v>
      </c>
      <c r="L63" s="23"/>
      <c r="M63" s="23">
        <v>310</v>
      </c>
      <c r="N63" s="24"/>
      <c r="O63" s="24">
        <v>7531</v>
      </c>
      <c r="P63" s="23">
        <v>997</v>
      </c>
      <c r="Q63" s="24">
        <v>7266</v>
      </c>
      <c r="R63" s="24">
        <v>1334</v>
      </c>
      <c r="S63" s="24">
        <v>1825</v>
      </c>
      <c r="T63" s="23">
        <v>4363</v>
      </c>
      <c r="U63" s="24">
        <v>6408</v>
      </c>
      <c r="V63" s="23">
        <v>10773</v>
      </c>
      <c r="W63" s="23">
        <v>5255</v>
      </c>
      <c r="X63" s="23">
        <v>2821</v>
      </c>
      <c r="Y63" s="23">
        <v>2123</v>
      </c>
      <c r="Z63" s="25">
        <v>34757</v>
      </c>
      <c r="AA63" s="24">
        <v>10317</v>
      </c>
      <c r="AB63" s="23">
        <v>218</v>
      </c>
      <c r="AC63" s="24"/>
      <c r="AD63" s="24"/>
      <c r="AE63" s="23">
        <v>5509</v>
      </c>
      <c r="AF63" s="24">
        <v>60</v>
      </c>
      <c r="AG63" s="25">
        <v>7542</v>
      </c>
      <c r="AH63" s="23">
        <v>4149</v>
      </c>
      <c r="AI63" s="23">
        <v>1815</v>
      </c>
      <c r="AJ63" s="23">
        <v>3883</v>
      </c>
      <c r="AK63" s="23">
        <v>3857</v>
      </c>
      <c r="AL63" s="23">
        <v>2453</v>
      </c>
      <c r="AM63" s="23">
        <v>4059</v>
      </c>
      <c r="AN63" s="23">
        <v>1656</v>
      </c>
      <c r="AO63" s="23">
        <v>1145</v>
      </c>
      <c r="AP63" s="23">
        <v>1364</v>
      </c>
      <c r="AQ63" s="23">
        <v>5714</v>
      </c>
      <c r="AR63" s="23">
        <v>5077</v>
      </c>
      <c r="AS63" s="23">
        <v>378</v>
      </c>
      <c r="AT63" s="23">
        <v>2742</v>
      </c>
      <c r="AU63" s="24">
        <v>8679</v>
      </c>
      <c r="AV63" s="23">
        <v>1172</v>
      </c>
    </row>
    <row r="64" spans="1:48" s="13" customFormat="1" ht="15.75" x14ac:dyDescent="0.25">
      <c r="A64" s="5"/>
      <c r="B64" s="6"/>
      <c r="C64" s="6"/>
      <c r="D64" s="6" t="s">
        <v>81</v>
      </c>
      <c r="E64" s="14"/>
      <c r="F64" s="14"/>
      <c r="G64" s="23">
        <v>1608</v>
      </c>
      <c r="H64" s="23"/>
      <c r="I64" s="23"/>
      <c r="J64" s="23">
        <v>1269</v>
      </c>
      <c r="K64" s="24">
        <v>1216</v>
      </c>
      <c r="L64" s="23"/>
      <c r="M64" s="23">
        <v>116</v>
      </c>
      <c r="N64" s="24"/>
      <c r="O64" s="24"/>
      <c r="P64" s="23"/>
      <c r="Q64" s="24"/>
      <c r="R64" s="24"/>
      <c r="S64" s="24">
        <v>973</v>
      </c>
      <c r="T64" s="23"/>
      <c r="U64" s="24"/>
      <c r="V64" s="23">
        <v>4051</v>
      </c>
      <c r="W64" s="23">
        <v>2282</v>
      </c>
      <c r="X64" s="23"/>
      <c r="Y64" s="23">
        <v>399</v>
      </c>
      <c r="Z64" s="25"/>
      <c r="AA64" s="24">
        <v>3889</v>
      </c>
      <c r="AB64" s="23">
        <v>89</v>
      </c>
      <c r="AC64" s="24"/>
      <c r="AD64" s="24"/>
      <c r="AE64" s="23">
        <v>8223</v>
      </c>
      <c r="AF64" s="24">
        <v>351</v>
      </c>
      <c r="AG64" s="25">
        <v>5083</v>
      </c>
      <c r="AH64" s="23"/>
      <c r="AI64" s="23">
        <v>2363</v>
      </c>
      <c r="AJ64" s="23">
        <v>1979</v>
      </c>
      <c r="AK64" s="23"/>
      <c r="AL64" s="23">
        <v>144</v>
      </c>
      <c r="AM64" s="23"/>
      <c r="AN64" s="23"/>
      <c r="AO64" s="23"/>
      <c r="AP64" s="23">
        <v>8993</v>
      </c>
      <c r="AQ64" s="23">
        <v>1726</v>
      </c>
      <c r="AR64" s="23">
        <v>4510</v>
      </c>
      <c r="AS64" s="23">
        <v>3925</v>
      </c>
      <c r="AT64" s="23">
        <v>3763</v>
      </c>
      <c r="AU64" s="24">
        <v>547</v>
      </c>
      <c r="AV64" s="23"/>
    </row>
    <row r="65" spans="1:48" s="13" customFormat="1" ht="15.75" x14ac:dyDescent="0.25">
      <c r="A65" s="5"/>
      <c r="B65" s="6"/>
      <c r="C65" s="6"/>
      <c r="D65" s="6" t="s">
        <v>82</v>
      </c>
      <c r="E65" s="14"/>
      <c r="F65" s="14"/>
      <c r="G65" s="23">
        <v>12</v>
      </c>
      <c r="H65" s="23">
        <v>3217</v>
      </c>
      <c r="I65" s="23"/>
      <c r="J65" s="23">
        <v>677</v>
      </c>
      <c r="K65" s="24">
        <v>3860</v>
      </c>
      <c r="L65" s="23"/>
      <c r="M65" s="23">
        <v>535</v>
      </c>
      <c r="N65" s="24"/>
      <c r="O65" s="24">
        <v>19281</v>
      </c>
      <c r="P65" s="23">
        <v>3693</v>
      </c>
      <c r="Q65" s="24">
        <v>14923</v>
      </c>
      <c r="R65" s="24">
        <v>5736</v>
      </c>
      <c r="S65" s="24">
        <v>18574</v>
      </c>
      <c r="T65" s="23"/>
      <c r="U65" s="24">
        <v>3523</v>
      </c>
      <c r="V65" s="23">
        <v>453</v>
      </c>
      <c r="W65" s="23">
        <v>2005</v>
      </c>
      <c r="X65" s="23">
        <v>3965</v>
      </c>
      <c r="Y65" s="23">
        <v>1437</v>
      </c>
      <c r="Z65" s="25">
        <v>31071</v>
      </c>
      <c r="AA65" s="24">
        <v>27568</v>
      </c>
      <c r="AB65" s="23">
        <v>1545</v>
      </c>
      <c r="AC65" s="24"/>
      <c r="AD65" s="24"/>
      <c r="AE65" s="23"/>
      <c r="AF65" s="24">
        <v>4589</v>
      </c>
      <c r="AG65" s="25">
        <v>10593</v>
      </c>
      <c r="AH65" s="23">
        <v>5546</v>
      </c>
      <c r="AI65" s="23"/>
      <c r="AJ65" s="23"/>
      <c r="AK65" s="23"/>
      <c r="AL65" s="23"/>
      <c r="AM65" s="23">
        <v>2741</v>
      </c>
      <c r="AN65" s="23">
        <v>3457</v>
      </c>
      <c r="AO65" s="23"/>
      <c r="AP65" s="23">
        <v>3339</v>
      </c>
      <c r="AQ65" s="23"/>
      <c r="AR65" s="23">
        <v>23106</v>
      </c>
      <c r="AS65" s="23">
        <v>10346</v>
      </c>
      <c r="AT65" s="23">
        <v>1458</v>
      </c>
      <c r="AU65" s="24">
        <v>3714</v>
      </c>
      <c r="AV65" s="23">
        <v>4906</v>
      </c>
    </row>
    <row r="66" spans="1:48" s="13" customFormat="1" ht="15.75" x14ac:dyDescent="0.25">
      <c r="A66" s="5"/>
      <c r="B66" s="6"/>
      <c r="C66" s="6"/>
      <c r="D66" s="57" t="s">
        <v>83</v>
      </c>
      <c r="E66" s="14"/>
      <c r="F66" s="14"/>
      <c r="G66" s="23">
        <v>131</v>
      </c>
      <c r="H66" s="23"/>
      <c r="I66" s="23"/>
      <c r="J66" s="23">
        <v>2336</v>
      </c>
      <c r="K66" s="24">
        <v>62</v>
      </c>
      <c r="L66" s="23"/>
      <c r="M66" s="23"/>
      <c r="N66" s="24"/>
      <c r="O66" s="24">
        <v>272</v>
      </c>
      <c r="P66" s="23"/>
      <c r="Q66" s="24"/>
      <c r="R66" s="24">
        <v>634</v>
      </c>
      <c r="S66" s="24">
        <v>132</v>
      </c>
      <c r="T66" s="23"/>
      <c r="U66" s="24"/>
      <c r="V66" s="23"/>
      <c r="W66" s="23"/>
      <c r="X66" s="23"/>
      <c r="Y66" s="23"/>
      <c r="Z66" s="25"/>
      <c r="AA66" s="24">
        <v>1002</v>
      </c>
      <c r="AB66" s="23"/>
      <c r="AC66" s="24"/>
      <c r="AD66" s="24"/>
      <c r="AE66" s="23"/>
      <c r="AF66" s="24"/>
      <c r="AG66" s="25"/>
      <c r="AH66" s="23"/>
      <c r="AI66" s="23">
        <v>400</v>
      </c>
      <c r="AJ66" s="23"/>
      <c r="AK66" s="23">
        <v>2747</v>
      </c>
      <c r="AL66" s="23">
        <v>397</v>
      </c>
      <c r="AM66" s="23"/>
      <c r="AN66" s="23"/>
      <c r="AO66" s="23">
        <v>788</v>
      </c>
      <c r="AP66" s="23">
        <v>296</v>
      </c>
      <c r="AQ66" s="23"/>
      <c r="AR66" s="23"/>
      <c r="AS66" s="23"/>
      <c r="AT66" s="23"/>
      <c r="AU66" s="24"/>
      <c r="AV66" s="23"/>
    </row>
    <row r="67" spans="1:48" s="13" customFormat="1" ht="15.75" x14ac:dyDescent="0.25">
      <c r="A67" s="5"/>
      <c r="B67" s="6"/>
      <c r="C67" s="6"/>
      <c r="D67" s="57" t="s">
        <v>84</v>
      </c>
      <c r="E67" s="14"/>
      <c r="F67" s="14"/>
      <c r="G67" s="58">
        <v>35</v>
      </c>
      <c r="H67" s="58"/>
      <c r="I67" s="58"/>
      <c r="J67" s="58"/>
      <c r="K67" s="59"/>
      <c r="L67" s="58"/>
      <c r="M67" s="58"/>
      <c r="N67" s="59"/>
      <c r="O67" s="59">
        <v>229</v>
      </c>
      <c r="P67" s="58">
        <v>28</v>
      </c>
      <c r="Q67" s="59"/>
      <c r="R67" s="59">
        <v>91</v>
      </c>
      <c r="S67" s="59">
        <v>144</v>
      </c>
      <c r="T67" s="58">
        <v>55</v>
      </c>
      <c r="U67" s="59">
        <v>75</v>
      </c>
      <c r="V67" s="58"/>
      <c r="W67" s="58">
        <v>97</v>
      </c>
      <c r="X67" s="58">
        <v>153</v>
      </c>
      <c r="Y67" s="58"/>
      <c r="Z67" s="60"/>
      <c r="AA67" s="59">
        <v>62</v>
      </c>
      <c r="AB67" s="58"/>
      <c r="AC67" s="59"/>
      <c r="AD67" s="59"/>
      <c r="AE67" s="58"/>
      <c r="AF67" s="59"/>
      <c r="AG67" s="60">
        <v>1460</v>
      </c>
      <c r="AH67" s="58"/>
      <c r="AI67" s="58"/>
      <c r="AJ67" s="58"/>
      <c r="AK67" s="58"/>
      <c r="AL67" s="58">
        <v>73</v>
      </c>
      <c r="AM67" s="58">
        <v>226</v>
      </c>
      <c r="AN67" s="58">
        <v>12</v>
      </c>
      <c r="AO67" s="58"/>
      <c r="AP67" s="58">
        <v>38</v>
      </c>
      <c r="AQ67" s="58">
        <v>3332</v>
      </c>
      <c r="AR67" s="58">
        <v>239</v>
      </c>
      <c r="AS67" s="58">
        <v>57</v>
      </c>
      <c r="AT67" s="58"/>
      <c r="AU67" s="59">
        <v>231</v>
      </c>
      <c r="AV67" s="58">
        <v>228</v>
      </c>
    </row>
    <row r="68" spans="1:48" s="13" customFormat="1" ht="15.75" x14ac:dyDescent="0.25">
      <c r="A68" s="5"/>
      <c r="B68" s="6"/>
      <c r="C68" s="6"/>
      <c r="D68" s="6"/>
      <c r="E68" s="6"/>
      <c r="F68" s="6"/>
      <c r="G68" s="39">
        <f>SUM(G56:G67)</f>
        <v>3656</v>
      </c>
      <c r="H68" s="39">
        <f t="shared" ref="H68:AV68" si="5">SUM(H56:H67)</f>
        <v>4699</v>
      </c>
      <c r="I68" s="39">
        <f t="shared" si="5"/>
        <v>0</v>
      </c>
      <c r="J68" s="39">
        <f t="shared" si="5"/>
        <v>10394</v>
      </c>
      <c r="K68" s="40">
        <f t="shared" si="5"/>
        <v>8682</v>
      </c>
      <c r="L68" s="39">
        <f t="shared" si="5"/>
        <v>0</v>
      </c>
      <c r="M68" s="39">
        <f t="shared" si="5"/>
        <v>2340</v>
      </c>
      <c r="N68" s="40">
        <f t="shared" si="5"/>
        <v>0</v>
      </c>
      <c r="O68" s="40">
        <f>SUM(O56:O67)</f>
        <v>32921</v>
      </c>
      <c r="P68" s="39">
        <f>SUM(P56:P67)</f>
        <v>6055</v>
      </c>
      <c r="Q68" s="40">
        <f t="shared" si="5"/>
        <v>29554</v>
      </c>
      <c r="R68" s="40">
        <f t="shared" si="5"/>
        <v>11009</v>
      </c>
      <c r="S68" s="40">
        <f t="shared" si="5"/>
        <v>29608</v>
      </c>
      <c r="T68" s="39">
        <f t="shared" si="5"/>
        <v>10322</v>
      </c>
      <c r="U68" s="40">
        <f t="shared" si="5"/>
        <v>13681</v>
      </c>
      <c r="V68" s="39">
        <f t="shared" si="5"/>
        <v>24517</v>
      </c>
      <c r="W68" s="39">
        <f t="shared" si="5"/>
        <v>14434</v>
      </c>
      <c r="X68" s="39">
        <f t="shared" si="5"/>
        <v>8794</v>
      </c>
      <c r="Y68" s="39">
        <f t="shared" si="5"/>
        <v>4308</v>
      </c>
      <c r="Z68" s="41">
        <f t="shared" si="5"/>
        <v>103056</v>
      </c>
      <c r="AA68" s="40">
        <f t="shared" si="5"/>
        <v>48786</v>
      </c>
      <c r="AB68" s="39">
        <f t="shared" si="5"/>
        <v>2078</v>
      </c>
      <c r="AC68" s="40">
        <f t="shared" si="5"/>
        <v>0</v>
      </c>
      <c r="AD68" s="40">
        <f t="shared" si="5"/>
        <v>0</v>
      </c>
      <c r="AE68" s="39">
        <f t="shared" si="5"/>
        <v>19145</v>
      </c>
      <c r="AF68" s="40">
        <f t="shared" si="5"/>
        <v>5066</v>
      </c>
      <c r="AG68" s="41">
        <f t="shared" si="5"/>
        <v>100927</v>
      </c>
      <c r="AH68" s="39">
        <f t="shared" si="5"/>
        <v>11119</v>
      </c>
      <c r="AI68" s="39">
        <f t="shared" si="5"/>
        <v>9377</v>
      </c>
      <c r="AJ68" s="39">
        <f t="shared" si="5"/>
        <v>7335</v>
      </c>
      <c r="AK68" s="39">
        <f t="shared" si="5"/>
        <v>8442</v>
      </c>
      <c r="AL68" s="39">
        <f t="shared" si="5"/>
        <v>6142</v>
      </c>
      <c r="AM68" s="39">
        <f t="shared" si="5"/>
        <v>9366</v>
      </c>
      <c r="AN68" s="39">
        <f t="shared" si="5"/>
        <v>7267</v>
      </c>
      <c r="AO68" s="39">
        <f t="shared" si="5"/>
        <v>2380</v>
      </c>
      <c r="AP68" s="39">
        <f t="shared" si="5"/>
        <v>18543</v>
      </c>
      <c r="AQ68" s="39">
        <f t="shared" si="5"/>
        <v>11378</v>
      </c>
      <c r="AR68" s="39">
        <f t="shared" si="5"/>
        <v>35586</v>
      </c>
      <c r="AS68" s="39">
        <f t="shared" si="5"/>
        <v>16940</v>
      </c>
      <c r="AT68" s="39">
        <f t="shared" si="5"/>
        <v>9061</v>
      </c>
      <c r="AU68" s="40">
        <f t="shared" si="5"/>
        <v>18857</v>
      </c>
      <c r="AV68" s="39">
        <f t="shared" si="5"/>
        <v>9160</v>
      </c>
    </row>
    <row r="69" spans="1:48" s="13" customFormat="1" ht="15.75" hidden="1" x14ac:dyDescent="0.25">
      <c r="A69" s="61" t="s">
        <v>85</v>
      </c>
      <c r="B69" s="6"/>
      <c r="C69" s="32" t="s">
        <v>86</v>
      </c>
      <c r="D69" s="16" t="s">
        <v>87</v>
      </c>
      <c r="E69" s="6"/>
      <c r="F69" s="6"/>
      <c r="G69" s="33"/>
      <c r="H69" s="33"/>
      <c r="I69" s="33"/>
      <c r="J69" s="33"/>
      <c r="K69" s="34"/>
      <c r="L69" s="33"/>
      <c r="M69" s="33"/>
      <c r="N69" s="34"/>
      <c r="O69" s="34"/>
      <c r="P69" s="33"/>
      <c r="Q69" s="34"/>
      <c r="R69" s="34"/>
      <c r="S69" s="34"/>
      <c r="T69" s="33"/>
      <c r="U69" s="34"/>
      <c r="V69" s="33"/>
      <c r="W69" s="33"/>
      <c r="X69" s="33"/>
      <c r="Y69" s="33"/>
      <c r="Z69" s="35"/>
      <c r="AA69" s="34"/>
      <c r="AB69" s="33"/>
      <c r="AC69" s="34"/>
      <c r="AD69" s="34"/>
      <c r="AE69" s="33"/>
      <c r="AF69" s="34"/>
      <c r="AG69" s="35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4"/>
      <c r="AV69" s="33"/>
    </row>
    <row r="70" spans="1:48" s="13" customFormat="1" ht="15.75" hidden="1" x14ac:dyDescent="0.25">
      <c r="A70" s="5"/>
      <c r="B70" s="6"/>
      <c r="C70" s="6"/>
      <c r="D70" s="6" t="s">
        <v>51</v>
      </c>
      <c r="E70" s="6"/>
      <c r="F70" s="14"/>
      <c r="G70" s="23"/>
      <c r="H70" s="23"/>
      <c r="I70" s="23"/>
      <c r="J70" s="23"/>
      <c r="K70" s="24"/>
      <c r="L70" s="23"/>
      <c r="M70" s="23"/>
      <c r="N70" s="24"/>
      <c r="O70" s="24"/>
      <c r="P70" s="23"/>
      <c r="Q70" s="24"/>
      <c r="R70" s="24"/>
      <c r="S70" s="24"/>
      <c r="T70" s="23"/>
      <c r="U70" s="24"/>
      <c r="V70" s="23"/>
      <c r="W70" s="23"/>
      <c r="X70" s="23"/>
      <c r="Y70" s="23"/>
      <c r="Z70" s="25"/>
      <c r="AA70" s="24"/>
      <c r="AB70" s="23"/>
      <c r="AC70" s="24"/>
      <c r="AD70" s="24"/>
      <c r="AE70" s="23"/>
      <c r="AF70" s="24"/>
      <c r="AG70" s="25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4"/>
      <c r="AV70" s="23"/>
    </row>
    <row r="71" spans="1:48" s="13" customFormat="1" ht="15.75" hidden="1" x14ac:dyDescent="0.25">
      <c r="A71" s="5"/>
      <c r="B71" s="6"/>
      <c r="C71" s="6"/>
      <c r="D71" s="6" t="s">
        <v>56</v>
      </c>
      <c r="E71" s="6"/>
      <c r="F71" s="14"/>
      <c r="G71" s="23"/>
      <c r="H71" s="23"/>
      <c r="I71" s="23"/>
      <c r="J71" s="23"/>
      <c r="K71" s="24"/>
      <c r="L71" s="23"/>
      <c r="M71" s="23"/>
      <c r="N71" s="24"/>
      <c r="O71" s="24"/>
      <c r="P71" s="23"/>
      <c r="Q71" s="24"/>
      <c r="R71" s="24"/>
      <c r="S71" s="24"/>
      <c r="T71" s="23"/>
      <c r="U71" s="24"/>
      <c r="V71" s="23"/>
      <c r="W71" s="23"/>
      <c r="X71" s="23"/>
      <c r="Y71" s="23"/>
      <c r="Z71" s="25"/>
      <c r="AA71" s="24"/>
      <c r="AB71" s="23"/>
      <c r="AC71" s="24"/>
      <c r="AD71" s="24"/>
      <c r="AE71" s="23"/>
      <c r="AF71" s="24"/>
      <c r="AG71" s="25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4"/>
      <c r="AV71" s="23"/>
    </row>
    <row r="72" spans="1:48" s="13" customFormat="1" ht="15.75" hidden="1" x14ac:dyDescent="0.25">
      <c r="A72" s="5"/>
      <c r="B72" s="6"/>
      <c r="C72" s="6"/>
      <c r="D72" s="6" t="s">
        <v>55</v>
      </c>
      <c r="E72" s="6"/>
      <c r="F72" s="14"/>
      <c r="G72" s="23"/>
      <c r="H72" s="23"/>
      <c r="I72" s="23"/>
      <c r="J72" s="23"/>
      <c r="K72" s="24"/>
      <c r="L72" s="23"/>
      <c r="M72" s="23"/>
      <c r="N72" s="24"/>
      <c r="O72" s="24"/>
      <c r="P72" s="23"/>
      <c r="Q72" s="24"/>
      <c r="R72" s="24"/>
      <c r="S72" s="24"/>
      <c r="T72" s="23"/>
      <c r="U72" s="24"/>
      <c r="V72" s="23"/>
      <c r="W72" s="23"/>
      <c r="X72" s="23"/>
      <c r="Y72" s="23"/>
      <c r="Z72" s="25"/>
      <c r="AA72" s="24"/>
      <c r="AB72" s="23"/>
      <c r="AC72" s="24"/>
      <c r="AD72" s="24"/>
      <c r="AE72" s="23"/>
      <c r="AF72" s="24"/>
      <c r="AG72" s="25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4"/>
      <c r="AV72" s="23"/>
    </row>
    <row r="73" spans="1:48" s="13" customFormat="1" ht="15.75" hidden="1" x14ac:dyDescent="0.25">
      <c r="A73" s="5"/>
      <c r="B73" s="6"/>
      <c r="C73" s="6"/>
      <c r="D73" s="6" t="s">
        <v>57</v>
      </c>
      <c r="E73" s="6"/>
      <c r="F73" s="14"/>
      <c r="G73" s="23"/>
      <c r="H73" s="23"/>
      <c r="I73" s="23"/>
      <c r="J73" s="23"/>
      <c r="K73" s="24"/>
      <c r="L73" s="23"/>
      <c r="M73" s="23"/>
      <c r="N73" s="24"/>
      <c r="O73" s="24"/>
      <c r="P73" s="23"/>
      <c r="Q73" s="24"/>
      <c r="R73" s="24"/>
      <c r="S73" s="24"/>
      <c r="T73" s="23"/>
      <c r="U73" s="24"/>
      <c r="V73" s="23"/>
      <c r="W73" s="23"/>
      <c r="X73" s="23"/>
      <c r="Y73" s="23"/>
      <c r="Z73" s="25"/>
      <c r="AA73" s="24"/>
      <c r="AB73" s="23"/>
      <c r="AC73" s="24"/>
      <c r="AD73" s="24"/>
      <c r="AE73" s="23"/>
      <c r="AF73" s="24"/>
      <c r="AG73" s="25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4"/>
      <c r="AV73" s="23"/>
    </row>
    <row r="74" spans="1:48" s="13" customFormat="1" ht="15.75" hidden="1" x14ac:dyDescent="0.25">
      <c r="A74" s="5"/>
      <c r="B74" s="6"/>
      <c r="C74" s="6"/>
      <c r="D74" s="6" t="s">
        <v>88</v>
      </c>
      <c r="E74" s="6"/>
      <c r="F74" s="14"/>
      <c r="G74" s="23"/>
      <c r="H74" s="23"/>
      <c r="I74" s="23"/>
      <c r="J74" s="23"/>
      <c r="K74" s="24"/>
      <c r="L74" s="23"/>
      <c r="M74" s="23"/>
      <c r="N74" s="24"/>
      <c r="O74" s="24"/>
      <c r="P74" s="23"/>
      <c r="Q74" s="24"/>
      <c r="R74" s="24"/>
      <c r="S74" s="24"/>
      <c r="T74" s="23"/>
      <c r="U74" s="24"/>
      <c r="V74" s="23"/>
      <c r="W74" s="23"/>
      <c r="X74" s="23"/>
      <c r="Y74" s="23"/>
      <c r="Z74" s="25"/>
      <c r="AA74" s="24"/>
      <c r="AB74" s="23"/>
      <c r="AC74" s="24"/>
      <c r="AD74" s="24"/>
      <c r="AE74" s="23"/>
      <c r="AF74" s="24"/>
      <c r="AG74" s="25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4"/>
      <c r="AV74" s="23"/>
    </row>
    <row r="75" spans="1:48" s="13" customFormat="1" ht="15.75" hidden="1" x14ac:dyDescent="0.25">
      <c r="A75" s="5"/>
      <c r="B75" s="6"/>
      <c r="C75" s="6"/>
      <c r="D75" s="6" t="s">
        <v>59</v>
      </c>
      <c r="E75" s="6"/>
      <c r="F75" s="14"/>
      <c r="G75" s="23"/>
      <c r="H75" s="23"/>
      <c r="I75" s="23"/>
      <c r="J75" s="23"/>
      <c r="K75" s="24"/>
      <c r="L75" s="23"/>
      <c r="M75" s="23"/>
      <c r="N75" s="24"/>
      <c r="O75" s="24"/>
      <c r="P75" s="23"/>
      <c r="Q75" s="24"/>
      <c r="R75" s="24"/>
      <c r="S75" s="24"/>
      <c r="T75" s="23"/>
      <c r="U75" s="24"/>
      <c r="V75" s="23"/>
      <c r="W75" s="23"/>
      <c r="X75" s="23"/>
      <c r="Y75" s="23"/>
      <c r="Z75" s="25"/>
      <c r="AA75" s="24"/>
      <c r="AB75" s="23"/>
      <c r="AC75" s="24"/>
      <c r="AD75" s="24"/>
      <c r="AE75" s="23"/>
      <c r="AF75" s="24"/>
      <c r="AG75" s="25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4"/>
      <c r="AV75" s="23"/>
    </row>
    <row r="76" spans="1:48" s="13" customFormat="1" ht="15.75" hidden="1" x14ac:dyDescent="0.25">
      <c r="A76" s="5"/>
      <c r="B76" s="6"/>
      <c r="C76" s="6"/>
      <c r="D76" s="6" t="s">
        <v>89</v>
      </c>
      <c r="E76" s="6"/>
      <c r="F76" s="14"/>
      <c r="G76" s="23"/>
      <c r="H76" s="23"/>
      <c r="I76" s="23"/>
      <c r="J76" s="23"/>
      <c r="K76" s="24"/>
      <c r="L76" s="23"/>
      <c r="M76" s="23"/>
      <c r="N76" s="24"/>
      <c r="O76" s="24"/>
      <c r="P76" s="23"/>
      <c r="Q76" s="24"/>
      <c r="R76" s="24"/>
      <c r="S76" s="24"/>
      <c r="T76" s="23"/>
      <c r="U76" s="24"/>
      <c r="V76" s="23"/>
      <c r="W76" s="23"/>
      <c r="X76" s="23"/>
      <c r="Y76" s="23"/>
      <c r="Z76" s="25"/>
      <c r="AA76" s="24"/>
      <c r="AB76" s="23"/>
      <c r="AC76" s="24"/>
      <c r="AD76" s="24"/>
      <c r="AE76" s="23"/>
      <c r="AF76" s="24"/>
      <c r="AG76" s="25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4"/>
      <c r="AV76" s="23"/>
    </row>
    <row r="77" spans="1:48" s="13" customFormat="1" ht="15.75" hidden="1" x14ac:dyDescent="0.25">
      <c r="A77" s="5"/>
      <c r="B77" s="6"/>
      <c r="C77" s="6"/>
      <c r="D77" s="6" t="s">
        <v>62</v>
      </c>
      <c r="E77" s="6"/>
      <c r="F77" s="14"/>
      <c r="G77" s="23"/>
      <c r="H77" s="23"/>
      <c r="I77" s="23"/>
      <c r="J77" s="23"/>
      <c r="K77" s="24"/>
      <c r="L77" s="23"/>
      <c r="M77" s="23"/>
      <c r="N77" s="24"/>
      <c r="O77" s="24"/>
      <c r="P77" s="23"/>
      <c r="Q77" s="24"/>
      <c r="R77" s="24"/>
      <c r="S77" s="24"/>
      <c r="T77" s="23"/>
      <c r="U77" s="24"/>
      <c r="V77" s="23"/>
      <c r="W77" s="23"/>
      <c r="X77" s="23"/>
      <c r="Y77" s="23"/>
      <c r="Z77" s="25"/>
      <c r="AA77" s="24"/>
      <c r="AB77" s="23"/>
      <c r="AC77" s="24"/>
      <c r="AD77" s="24"/>
      <c r="AE77" s="23"/>
      <c r="AF77" s="24"/>
      <c r="AG77" s="25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4"/>
      <c r="AV77" s="23"/>
    </row>
    <row r="78" spans="1:48" s="13" customFormat="1" ht="15.75" hidden="1" x14ac:dyDescent="0.25">
      <c r="A78" s="5"/>
      <c r="B78" s="6"/>
      <c r="C78" s="6"/>
      <c r="D78" s="6" t="s">
        <v>61</v>
      </c>
      <c r="E78" s="6"/>
      <c r="F78" s="14"/>
      <c r="G78" s="23"/>
      <c r="H78" s="23"/>
      <c r="I78" s="23"/>
      <c r="J78" s="23"/>
      <c r="K78" s="24"/>
      <c r="L78" s="23"/>
      <c r="M78" s="23"/>
      <c r="N78" s="24"/>
      <c r="O78" s="24"/>
      <c r="P78" s="23"/>
      <c r="Q78" s="24"/>
      <c r="R78" s="24"/>
      <c r="S78" s="24"/>
      <c r="T78" s="23"/>
      <c r="U78" s="24"/>
      <c r="V78" s="23"/>
      <c r="W78" s="23"/>
      <c r="X78" s="23"/>
      <c r="Y78" s="23"/>
      <c r="Z78" s="25"/>
      <c r="AA78" s="24"/>
      <c r="AB78" s="23"/>
      <c r="AC78" s="24"/>
      <c r="AD78" s="24"/>
      <c r="AE78" s="23"/>
      <c r="AF78" s="24"/>
      <c r="AG78" s="25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4"/>
      <c r="AV78" s="23"/>
    </row>
    <row r="79" spans="1:48" s="13" customFormat="1" ht="15.75" hidden="1" x14ac:dyDescent="0.25">
      <c r="A79" s="5"/>
      <c r="B79" s="6"/>
      <c r="C79" s="6"/>
      <c r="D79" s="57" t="s">
        <v>90</v>
      </c>
      <c r="E79" s="6"/>
      <c r="F79" s="14"/>
      <c r="G79" s="23"/>
      <c r="H79" s="23"/>
      <c r="I79" s="23"/>
      <c r="J79" s="23"/>
      <c r="K79" s="24"/>
      <c r="L79" s="23"/>
      <c r="M79" s="23"/>
      <c r="N79" s="24"/>
      <c r="O79" s="24"/>
      <c r="P79" s="23"/>
      <c r="Q79" s="24"/>
      <c r="R79" s="24"/>
      <c r="S79" s="24"/>
      <c r="T79" s="23"/>
      <c r="U79" s="24"/>
      <c r="V79" s="23"/>
      <c r="W79" s="23"/>
      <c r="X79" s="23"/>
      <c r="Y79" s="23"/>
      <c r="Z79" s="25"/>
      <c r="AA79" s="24"/>
      <c r="AB79" s="23"/>
      <c r="AC79" s="24"/>
      <c r="AD79" s="24"/>
      <c r="AE79" s="23"/>
      <c r="AF79" s="24"/>
      <c r="AG79" s="25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4"/>
      <c r="AV79" s="23"/>
    </row>
    <row r="80" spans="1:48" s="13" customFormat="1" ht="15.75" hidden="1" x14ac:dyDescent="0.25">
      <c r="A80" s="5"/>
      <c r="B80" s="6"/>
      <c r="C80" s="6"/>
      <c r="D80" s="57" t="s">
        <v>90</v>
      </c>
      <c r="E80" s="6"/>
      <c r="F80" s="14"/>
      <c r="G80" s="26"/>
      <c r="H80" s="26"/>
      <c r="I80" s="26"/>
      <c r="J80" s="26"/>
      <c r="K80" s="27"/>
      <c r="L80" s="26"/>
      <c r="M80" s="26"/>
      <c r="N80" s="27"/>
      <c r="O80" s="27"/>
      <c r="P80" s="26"/>
      <c r="Q80" s="27"/>
      <c r="R80" s="27"/>
      <c r="S80" s="27"/>
      <c r="T80" s="26"/>
      <c r="U80" s="27"/>
      <c r="V80" s="26"/>
      <c r="W80" s="26"/>
      <c r="X80" s="26"/>
      <c r="Y80" s="26"/>
      <c r="Z80" s="28"/>
      <c r="AA80" s="27"/>
      <c r="AB80" s="26"/>
      <c r="AC80" s="27"/>
      <c r="AD80" s="27"/>
      <c r="AE80" s="26"/>
      <c r="AF80" s="27"/>
      <c r="AG80" s="28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7"/>
      <c r="AV80" s="26"/>
    </row>
    <row r="81" spans="1:48" s="13" customFormat="1" ht="15.75" hidden="1" x14ac:dyDescent="0.25">
      <c r="A81" s="5"/>
      <c r="B81" s="6"/>
      <c r="C81" s="6"/>
      <c r="D81" s="6"/>
      <c r="E81" s="6"/>
      <c r="F81" s="6"/>
      <c r="G81" s="39">
        <f>SUM(G70:G80)</f>
        <v>0</v>
      </c>
      <c r="H81" s="39">
        <f t="shared" ref="H81:U81" si="6">SUM(H70:H80)</f>
        <v>0</v>
      </c>
      <c r="I81" s="39">
        <f t="shared" si="6"/>
        <v>0</v>
      </c>
      <c r="J81" s="39">
        <f t="shared" si="6"/>
        <v>0</v>
      </c>
      <c r="K81" s="40">
        <f t="shared" si="6"/>
        <v>0</v>
      </c>
      <c r="L81" s="39">
        <f t="shared" si="6"/>
        <v>0</v>
      </c>
      <c r="M81" s="39">
        <f t="shared" si="6"/>
        <v>0</v>
      </c>
      <c r="N81" s="40">
        <f t="shared" si="6"/>
        <v>0</v>
      </c>
      <c r="O81" s="40">
        <f t="shared" si="6"/>
        <v>0</v>
      </c>
      <c r="P81" s="39">
        <f t="shared" si="6"/>
        <v>0</v>
      </c>
      <c r="Q81" s="40">
        <f t="shared" si="6"/>
        <v>0</v>
      </c>
      <c r="R81" s="40">
        <f t="shared" si="6"/>
        <v>0</v>
      </c>
      <c r="S81" s="40">
        <f t="shared" si="6"/>
        <v>0</v>
      </c>
      <c r="T81" s="39">
        <f t="shared" si="6"/>
        <v>0</v>
      </c>
      <c r="U81" s="40">
        <f t="shared" si="6"/>
        <v>0</v>
      </c>
      <c r="V81" s="39"/>
      <c r="W81" s="39"/>
      <c r="X81" s="39"/>
      <c r="Y81" s="39"/>
      <c r="Z81" s="41"/>
      <c r="AA81" s="40"/>
      <c r="AB81" s="39"/>
      <c r="AC81" s="40"/>
      <c r="AD81" s="40"/>
      <c r="AE81" s="39"/>
      <c r="AF81" s="40"/>
      <c r="AG81" s="41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40"/>
      <c r="AV81" s="39"/>
    </row>
    <row r="82" spans="1:48" s="13" customFormat="1" ht="15.75" hidden="1" x14ac:dyDescent="0.25">
      <c r="A82" s="5"/>
      <c r="B82" s="6"/>
      <c r="C82" s="6"/>
      <c r="D82" s="6"/>
      <c r="E82" s="6"/>
      <c r="F82" s="6"/>
      <c r="G82" s="42"/>
      <c r="H82" s="42"/>
      <c r="I82" s="42"/>
      <c r="J82" s="42"/>
      <c r="K82" s="43"/>
      <c r="L82" s="42"/>
      <c r="M82" s="42"/>
      <c r="N82" s="43"/>
      <c r="O82" s="43"/>
      <c r="P82" s="42"/>
      <c r="Q82" s="43"/>
      <c r="R82" s="43"/>
      <c r="S82" s="43"/>
      <c r="T82" s="42"/>
      <c r="U82" s="43"/>
      <c r="V82" s="42"/>
      <c r="W82" s="42"/>
      <c r="X82" s="42"/>
      <c r="Y82" s="42"/>
      <c r="Z82" s="44"/>
      <c r="AA82" s="43"/>
      <c r="AB82" s="42"/>
      <c r="AC82" s="43"/>
      <c r="AD82" s="43"/>
      <c r="AE82" s="42"/>
      <c r="AF82" s="43"/>
      <c r="AG82" s="44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3"/>
      <c r="AV82" s="42"/>
    </row>
    <row r="83" spans="1:48" s="13" customFormat="1" ht="15.75" hidden="1" x14ac:dyDescent="0.25">
      <c r="A83" s="5"/>
      <c r="B83" s="6"/>
      <c r="C83" s="6"/>
      <c r="D83" s="6" t="s">
        <v>91</v>
      </c>
      <c r="E83" s="6"/>
      <c r="F83" s="6"/>
      <c r="G83" s="42"/>
      <c r="H83" s="42"/>
      <c r="I83" s="42"/>
      <c r="J83" s="42"/>
      <c r="K83" s="43"/>
      <c r="L83" s="42"/>
      <c r="M83" s="42"/>
      <c r="N83" s="43"/>
      <c r="O83" s="43"/>
      <c r="P83" s="42"/>
      <c r="Q83" s="43"/>
      <c r="R83" s="43"/>
      <c r="S83" s="43"/>
      <c r="T83" s="42"/>
      <c r="U83" s="43"/>
      <c r="V83" s="42"/>
      <c r="W83" s="42"/>
      <c r="X83" s="42"/>
      <c r="Y83" s="42"/>
      <c r="Z83" s="44"/>
      <c r="AA83" s="43"/>
      <c r="AB83" s="42"/>
      <c r="AC83" s="43"/>
      <c r="AD83" s="43"/>
      <c r="AE83" s="42"/>
      <c r="AF83" s="43"/>
      <c r="AG83" s="44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3"/>
      <c r="AV83" s="42"/>
    </row>
    <row r="84" spans="1:48" s="13" customFormat="1" ht="15.75" hidden="1" x14ac:dyDescent="0.25">
      <c r="A84" s="5"/>
      <c r="B84" s="6"/>
      <c r="C84" s="6"/>
      <c r="D84" s="6" t="s">
        <v>92</v>
      </c>
      <c r="E84" s="6"/>
      <c r="F84" s="6"/>
      <c r="G84" s="62"/>
      <c r="H84" s="62"/>
      <c r="I84" s="62"/>
      <c r="J84" s="62"/>
      <c r="K84" s="63"/>
      <c r="L84" s="62"/>
      <c r="M84" s="62"/>
      <c r="N84" s="63"/>
      <c r="O84" s="63"/>
      <c r="P84" s="62"/>
      <c r="Q84" s="63"/>
      <c r="R84" s="63"/>
      <c r="S84" s="63"/>
      <c r="T84" s="62"/>
      <c r="U84" s="63"/>
      <c r="V84" s="62"/>
      <c r="W84" s="62"/>
      <c r="X84" s="62"/>
      <c r="Y84" s="62"/>
      <c r="Z84" s="64"/>
      <c r="AA84" s="63"/>
      <c r="AB84" s="62"/>
      <c r="AC84" s="63"/>
      <c r="AD84" s="63"/>
      <c r="AE84" s="62"/>
      <c r="AF84" s="63"/>
      <c r="AG84" s="64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3"/>
      <c r="AV84" s="62"/>
    </row>
    <row r="85" spans="1:48" s="13" customFormat="1" ht="15.75" hidden="1" x14ac:dyDescent="0.25">
      <c r="A85" s="5"/>
      <c r="B85" s="6"/>
      <c r="C85" s="6"/>
      <c r="D85" s="6"/>
      <c r="E85" s="6"/>
      <c r="F85" s="6"/>
      <c r="G85" s="45"/>
      <c r="H85" s="45"/>
      <c r="I85" s="45"/>
      <c r="J85" s="45"/>
      <c r="K85" s="46"/>
      <c r="L85" s="45"/>
      <c r="M85" s="45"/>
      <c r="N85" s="46"/>
      <c r="O85" s="46"/>
      <c r="P85" s="45"/>
      <c r="Q85" s="46"/>
      <c r="R85" s="46"/>
      <c r="S85" s="46"/>
      <c r="T85" s="45"/>
      <c r="U85" s="46"/>
      <c r="V85" s="45"/>
      <c r="W85" s="45"/>
      <c r="X85" s="45"/>
      <c r="Y85" s="45"/>
      <c r="Z85" s="47"/>
      <c r="AA85" s="46"/>
      <c r="AB85" s="45"/>
      <c r="AC85" s="46"/>
      <c r="AD85" s="46"/>
      <c r="AE85" s="45"/>
      <c r="AF85" s="46"/>
      <c r="AG85" s="47"/>
      <c r="AH85" s="45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5"/>
      <c r="AT85" s="45"/>
      <c r="AU85" s="46"/>
      <c r="AV85" s="45"/>
    </row>
    <row r="86" spans="1:48" s="13" customFormat="1" ht="16.5" hidden="1" thickBot="1" x14ac:dyDescent="0.3">
      <c r="A86" s="5"/>
      <c r="B86" s="6"/>
      <c r="C86" s="6"/>
      <c r="D86" s="6" t="s">
        <v>93</v>
      </c>
      <c r="E86" s="6"/>
      <c r="F86" s="6"/>
      <c r="G86" s="48">
        <f>G53-G68-G81+G84</f>
        <v>-3656</v>
      </c>
      <c r="H86" s="48">
        <f t="shared" ref="H86:U86" si="7">H53-H68-H81+H84</f>
        <v>-4699</v>
      </c>
      <c r="I86" s="48">
        <f t="shared" si="7"/>
        <v>0</v>
      </c>
      <c r="J86" s="48">
        <f t="shared" si="7"/>
        <v>-10394</v>
      </c>
      <c r="K86" s="49">
        <f t="shared" si="7"/>
        <v>-8682</v>
      </c>
      <c r="L86" s="48">
        <f t="shared" si="7"/>
        <v>0</v>
      </c>
      <c r="M86" s="48">
        <f t="shared" si="7"/>
        <v>-2340</v>
      </c>
      <c r="N86" s="49">
        <f t="shared" si="7"/>
        <v>0</v>
      </c>
      <c r="O86" s="49">
        <f>O53-O68-O81+O84</f>
        <v>-32921</v>
      </c>
      <c r="P86" s="48">
        <f>P53-P68-P81+P84</f>
        <v>-6055</v>
      </c>
      <c r="Q86" s="49">
        <f t="shared" si="7"/>
        <v>-29554</v>
      </c>
      <c r="R86" s="49">
        <f t="shared" si="7"/>
        <v>-11009</v>
      </c>
      <c r="S86" s="49">
        <f t="shared" si="7"/>
        <v>-29608</v>
      </c>
      <c r="T86" s="48">
        <f t="shared" si="7"/>
        <v>-10322</v>
      </c>
      <c r="U86" s="49">
        <f t="shared" si="7"/>
        <v>-13681</v>
      </c>
      <c r="V86" s="48"/>
      <c r="W86" s="48"/>
      <c r="X86" s="48"/>
      <c r="Y86" s="48"/>
      <c r="Z86" s="50"/>
      <c r="AA86" s="49"/>
      <c r="AB86" s="48"/>
      <c r="AC86" s="49"/>
      <c r="AD86" s="49"/>
      <c r="AE86" s="48"/>
      <c r="AF86" s="49"/>
      <c r="AG86" s="50"/>
      <c r="AH86" s="48"/>
      <c r="AI86" s="48"/>
      <c r="AJ86" s="48"/>
      <c r="AK86" s="48"/>
      <c r="AL86" s="48"/>
      <c r="AM86" s="48"/>
      <c r="AN86" s="48"/>
      <c r="AO86" s="48"/>
      <c r="AP86" s="48"/>
      <c r="AQ86" s="48"/>
      <c r="AR86" s="48"/>
      <c r="AS86" s="48"/>
      <c r="AT86" s="48"/>
      <c r="AU86" s="49"/>
      <c r="AV86" s="48"/>
    </row>
    <row r="87" spans="1:48" s="13" customFormat="1" ht="15.75" hidden="1" x14ac:dyDescent="0.25">
      <c r="A87" s="5"/>
      <c r="B87" s="6"/>
      <c r="C87" s="6"/>
      <c r="D87" s="6"/>
      <c r="E87" s="6"/>
      <c r="F87" s="6"/>
      <c r="G87" s="6"/>
      <c r="H87" s="6"/>
      <c r="I87" s="6"/>
      <c r="J87" s="6"/>
      <c r="K87" s="10"/>
      <c r="L87" s="6"/>
      <c r="M87" s="6"/>
      <c r="N87" s="10"/>
      <c r="O87" s="10"/>
      <c r="P87" s="6"/>
      <c r="Q87" s="10"/>
      <c r="R87" s="10"/>
      <c r="S87" s="10"/>
      <c r="T87" s="6"/>
      <c r="U87" s="10"/>
      <c r="V87" s="6"/>
      <c r="W87" s="6"/>
      <c r="X87" s="6"/>
      <c r="Y87" s="6"/>
      <c r="Z87" s="22"/>
      <c r="AA87" s="10"/>
      <c r="AB87" s="6"/>
      <c r="AC87" s="10"/>
      <c r="AD87" s="10"/>
      <c r="AE87" s="6"/>
      <c r="AF87" s="10"/>
      <c r="AG87" s="22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10"/>
      <c r="AV87" s="6"/>
    </row>
    <row r="88" spans="1:48" s="13" customFormat="1" ht="15.75" hidden="1" x14ac:dyDescent="0.25">
      <c r="B88" s="6"/>
      <c r="C88" s="61" t="s">
        <v>85</v>
      </c>
      <c r="D88" s="156" t="s">
        <v>94</v>
      </c>
      <c r="E88" s="157"/>
      <c r="F88" s="157"/>
      <c r="G88" s="157"/>
      <c r="H88" s="157"/>
      <c r="I88" s="157"/>
      <c r="J88" s="6"/>
      <c r="K88" s="55"/>
      <c r="N88" s="55"/>
      <c r="O88" s="55"/>
      <c r="Q88" s="55"/>
      <c r="R88" s="55"/>
      <c r="S88" s="55"/>
      <c r="U88" s="55"/>
      <c r="Z88" s="56"/>
      <c r="AA88" s="55"/>
      <c r="AC88" s="55"/>
      <c r="AD88" s="55"/>
      <c r="AF88" s="55"/>
      <c r="AG88" s="56"/>
      <c r="AU88" s="55"/>
    </row>
    <row r="89" spans="1:48" s="13" customFormat="1" ht="15.75" hidden="1" x14ac:dyDescent="0.25">
      <c r="A89" s="61"/>
      <c r="B89" s="6"/>
      <c r="C89" s="6"/>
      <c r="D89" s="157"/>
      <c r="E89" s="157"/>
      <c r="F89" s="157"/>
      <c r="G89" s="157"/>
      <c r="H89" s="157"/>
      <c r="I89" s="157"/>
      <c r="J89" s="6"/>
      <c r="K89" s="55"/>
      <c r="N89" s="55"/>
      <c r="O89" s="55"/>
      <c r="Q89" s="55"/>
      <c r="R89" s="55"/>
      <c r="S89" s="55"/>
      <c r="U89" s="55"/>
      <c r="Z89" s="56"/>
      <c r="AA89" s="55"/>
      <c r="AC89" s="55"/>
      <c r="AD89" s="55"/>
      <c r="AF89" s="55"/>
      <c r="AG89" s="56"/>
      <c r="AU89" s="55"/>
    </row>
    <row r="90" spans="1:48" s="13" customFormat="1" ht="15.75" hidden="1" x14ac:dyDescent="0.25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6"/>
      <c r="L90" s="65"/>
      <c r="M90" s="65"/>
      <c r="N90" s="66"/>
      <c r="O90" s="66"/>
      <c r="P90" s="65"/>
      <c r="Q90" s="66"/>
      <c r="R90" s="66"/>
      <c r="S90" s="66"/>
      <c r="T90" s="65"/>
      <c r="U90" s="66"/>
      <c r="V90" s="65"/>
      <c r="W90" s="65"/>
      <c r="X90" s="65"/>
      <c r="Y90" s="65"/>
      <c r="Z90" s="67"/>
      <c r="AA90" s="66"/>
      <c r="AB90" s="65"/>
      <c r="AC90" s="66"/>
      <c r="AD90" s="66"/>
      <c r="AE90" s="65"/>
      <c r="AF90" s="66"/>
      <c r="AG90" s="67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6"/>
      <c r="AV90" s="65"/>
    </row>
    <row r="91" spans="1:48" s="13" customFormat="1" ht="15.75" hidden="1" x14ac:dyDescent="0.25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6"/>
      <c r="L91" s="65"/>
      <c r="M91" s="65"/>
      <c r="N91" s="66"/>
      <c r="O91" s="66"/>
      <c r="P91" s="65"/>
      <c r="Q91" s="66"/>
      <c r="R91" s="66"/>
      <c r="S91" s="66"/>
      <c r="T91" s="65"/>
      <c r="U91" s="66"/>
      <c r="V91" s="65"/>
      <c r="W91" s="65"/>
      <c r="X91" s="65"/>
      <c r="Y91" s="65"/>
      <c r="Z91" s="67"/>
      <c r="AA91" s="66"/>
      <c r="AB91" s="65"/>
      <c r="AC91" s="66"/>
      <c r="AD91" s="66"/>
      <c r="AE91" s="65"/>
      <c r="AF91" s="66"/>
      <c r="AG91" s="67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6"/>
      <c r="AV91" s="65"/>
    </row>
    <row r="92" spans="1:48" s="13" customFormat="1" ht="15.75" hidden="1" x14ac:dyDescent="0.25">
      <c r="A92" s="68" t="s">
        <v>95</v>
      </c>
      <c r="B92" s="68"/>
      <c r="C92" s="68" t="s">
        <v>96</v>
      </c>
      <c r="D92" s="68"/>
      <c r="E92" s="68"/>
      <c r="F92" s="68"/>
      <c r="G92" s="68"/>
      <c r="H92" s="68"/>
      <c r="I92" s="68"/>
      <c r="J92" s="68"/>
      <c r="K92" s="69"/>
      <c r="L92" s="68"/>
      <c r="M92" s="68"/>
      <c r="N92" s="69"/>
      <c r="O92" s="69"/>
      <c r="P92" s="68"/>
      <c r="Q92" s="69"/>
      <c r="R92" s="69"/>
      <c r="S92" s="69"/>
      <c r="T92" s="68"/>
      <c r="U92" s="69"/>
      <c r="V92" s="68"/>
      <c r="W92" s="68"/>
      <c r="X92" s="68"/>
      <c r="Y92" s="68"/>
      <c r="Z92" s="70"/>
      <c r="AA92" s="69"/>
      <c r="AB92" s="68"/>
      <c r="AC92" s="69"/>
      <c r="AD92" s="69"/>
      <c r="AE92" s="68"/>
      <c r="AF92" s="69"/>
      <c r="AG92" s="70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9"/>
      <c r="AV92" s="68"/>
    </row>
    <row r="93" spans="1:48" s="13" customFormat="1" ht="15.75" hidden="1" x14ac:dyDescent="0.25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6"/>
      <c r="L93" s="65"/>
      <c r="M93" s="65"/>
      <c r="N93" s="66"/>
      <c r="O93" s="66"/>
      <c r="P93" s="65"/>
      <c r="Q93" s="66"/>
      <c r="R93" s="66"/>
      <c r="S93" s="66"/>
      <c r="T93" s="65"/>
      <c r="U93" s="66"/>
      <c r="V93" s="65"/>
      <c r="W93" s="65"/>
      <c r="X93" s="65"/>
      <c r="Y93" s="65"/>
      <c r="Z93" s="67"/>
      <c r="AA93" s="66"/>
      <c r="AB93" s="65"/>
      <c r="AC93" s="66"/>
      <c r="AD93" s="66"/>
      <c r="AE93" s="65"/>
      <c r="AF93" s="66"/>
      <c r="AG93" s="67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6"/>
      <c r="AV93" s="65"/>
    </row>
    <row r="94" spans="1:48" s="13" customFormat="1" ht="15.75" hidden="1" x14ac:dyDescent="0.25">
      <c r="A94" s="65"/>
      <c r="B94" s="65"/>
      <c r="C94" s="65"/>
      <c r="D94" s="65"/>
      <c r="E94" s="65"/>
      <c r="F94" s="65"/>
      <c r="G94" s="155" t="s">
        <v>73</v>
      </c>
      <c r="H94" s="155"/>
      <c r="I94" s="155"/>
      <c r="J94" s="6"/>
      <c r="K94" s="55"/>
      <c r="N94" s="55"/>
      <c r="O94" s="55"/>
      <c r="Q94" s="55"/>
      <c r="R94" s="55"/>
      <c r="S94" s="55"/>
      <c r="U94" s="55"/>
      <c r="Z94" s="56"/>
      <c r="AA94" s="55"/>
      <c r="AC94" s="55"/>
      <c r="AD94" s="55"/>
      <c r="AF94" s="55"/>
      <c r="AG94" s="56"/>
      <c r="AU94" s="55"/>
    </row>
    <row r="95" spans="1:48" s="13" customFormat="1" ht="16.5" hidden="1" thickBot="1" x14ac:dyDescent="0.3">
      <c r="A95" s="65"/>
      <c r="B95" s="65"/>
      <c r="C95" s="65"/>
      <c r="D95" s="65"/>
      <c r="E95" s="65"/>
      <c r="F95" s="65"/>
      <c r="G95" s="17">
        <v>2010</v>
      </c>
      <c r="H95" s="17">
        <v>2010</v>
      </c>
      <c r="I95" s="17">
        <v>2010</v>
      </c>
      <c r="J95" s="17">
        <v>2010</v>
      </c>
      <c r="K95" s="18">
        <v>2010</v>
      </c>
      <c r="L95" s="17">
        <v>2010</v>
      </c>
      <c r="M95" s="17">
        <v>2010</v>
      </c>
      <c r="N95" s="18">
        <v>2010</v>
      </c>
      <c r="O95" s="18">
        <v>2010</v>
      </c>
      <c r="P95" s="17">
        <v>2010</v>
      </c>
      <c r="Q95" s="18">
        <v>2010</v>
      </c>
      <c r="R95" s="18">
        <v>2010</v>
      </c>
      <c r="S95" s="18">
        <v>2010</v>
      </c>
      <c r="T95" s="17">
        <v>2010</v>
      </c>
      <c r="U95" s="18">
        <v>2010</v>
      </c>
      <c r="V95" s="17"/>
      <c r="W95" s="17"/>
      <c r="X95" s="17"/>
      <c r="Y95" s="17"/>
      <c r="Z95" s="19"/>
      <c r="AA95" s="18"/>
      <c r="AB95" s="17"/>
      <c r="AC95" s="18"/>
      <c r="AD95" s="18"/>
      <c r="AE95" s="17"/>
      <c r="AF95" s="18"/>
      <c r="AG95" s="19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8"/>
      <c r="AV95" s="17"/>
    </row>
    <row r="96" spans="1:48" s="13" customFormat="1" ht="15.75" hidden="1" x14ac:dyDescent="0.25">
      <c r="A96" s="65"/>
      <c r="B96" s="65"/>
      <c r="C96" s="65"/>
      <c r="D96" s="65"/>
      <c r="E96" s="65" t="s">
        <v>97</v>
      </c>
      <c r="F96" s="65"/>
      <c r="G96" s="23"/>
      <c r="H96" s="23"/>
      <c r="I96" s="23"/>
      <c r="J96" s="23"/>
      <c r="K96" s="24"/>
      <c r="L96" s="23"/>
      <c r="M96" s="23"/>
      <c r="N96" s="24"/>
      <c r="O96" s="24"/>
      <c r="P96" s="23"/>
      <c r="Q96" s="24"/>
      <c r="R96" s="24"/>
      <c r="S96" s="24"/>
      <c r="T96" s="23"/>
      <c r="U96" s="24"/>
      <c r="V96" s="23"/>
      <c r="W96" s="23"/>
      <c r="X96" s="23"/>
      <c r="Y96" s="23"/>
      <c r="Z96" s="25"/>
      <c r="AA96" s="24"/>
      <c r="AB96" s="23"/>
      <c r="AC96" s="24"/>
      <c r="AD96" s="24"/>
      <c r="AE96" s="23"/>
      <c r="AF96" s="24"/>
      <c r="AG96" s="25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4"/>
      <c r="AV96" s="23"/>
    </row>
    <row r="97" spans="1:48" s="13" customFormat="1" ht="15.75" hidden="1" x14ac:dyDescent="0.25">
      <c r="A97" s="65"/>
      <c r="B97" s="65"/>
      <c r="C97" s="65"/>
      <c r="D97" s="65"/>
      <c r="E97" s="65" t="s">
        <v>98</v>
      </c>
      <c r="F97" s="65"/>
      <c r="G97" s="71"/>
      <c r="H97" s="71"/>
      <c r="I97" s="71"/>
      <c r="J97" s="71"/>
      <c r="K97" s="72"/>
      <c r="L97" s="71"/>
      <c r="M97" s="71"/>
      <c r="N97" s="72"/>
      <c r="O97" s="72"/>
      <c r="P97" s="71"/>
      <c r="Q97" s="72"/>
      <c r="R97" s="72"/>
      <c r="S97" s="72"/>
      <c r="T97" s="71"/>
      <c r="U97" s="72"/>
      <c r="V97" s="71"/>
      <c r="W97" s="71"/>
      <c r="X97" s="71"/>
      <c r="Y97" s="71"/>
      <c r="Z97" s="73"/>
      <c r="AA97" s="72"/>
      <c r="AB97" s="71"/>
      <c r="AC97" s="72"/>
      <c r="AD97" s="72"/>
      <c r="AE97" s="71"/>
      <c r="AF97" s="72"/>
      <c r="AG97" s="73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2"/>
      <c r="AV97" s="71"/>
    </row>
    <row r="98" spans="1:48" s="13" customFormat="1" ht="16.5" hidden="1" thickBot="1" x14ac:dyDescent="0.3">
      <c r="A98" s="65"/>
      <c r="B98" s="65"/>
      <c r="C98" s="65"/>
      <c r="D98" s="65"/>
      <c r="E98" s="65" t="s">
        <v>99</v>
      </c>
      <c r="F98" s="65"/>
      <c r="G98" s="74">
        <f>G96-G97</f>
        <v>0</v>
      </c>
      <c r="H98" s="74">
        <f t="shared" ref="H98:U98" si="8">H96-H97</f>
        <v>0</v>
      </c>
      <c r="I98" s="74">
        <f t="shared" si="8"/>
        <v>0</v>
      </c>
      <c r="J98" s="74">
        <f t="shared" si="8"/>
        <v>0</v>
      </c>
      <c r="K98" s="75">
        <f t="shared" si="8"/>
        <v>0</v>
      </c>
      <c r="L98" s="74">
        <f t="shared" si="8"/>
        <v>0</v>
      </c>
      <c r="M98" s="74">
        <f t="shared" si="8"/>
        <v>0</v>
      </c>
      <c r="N98" s="75">
        <f t="shared" si="8"/>
        <v>0</v>
      </c>
      <c r="O98" s="75">
        <f t="shared" si="8"/>
        <v>0</v>
      </c>
      <c r="P98" s="74">
        <f t="shared" si="8"/>
        <v>0</v>
      </c>
      <c r="Q98" s="75">
        <f t="shared" si="8"/>
        <v>0</v>
      </c>
      <c r="R98" s="75">
        <f t="shared" si="8"/>
        <v>0</v>
      </c>
      <c r="S98" s="75">
        <f t="shared" si="8"/>
        <v>0</v>
      </c>
      <c r="T98" s="74">
        <f t="shared" si="8"/>
        <v>0</v>
      </c>
      <c r="U98" s="75">
        <f t="shared" si="8"/>
        <v>0</v>
      </c>
      <c r="V98" s="74"/>
      <c r="W98" s="74"/>
      <c r="X98" s="74"/>
      <c r="Y98" s="74"/>
      <c r="Z98" s="76"/>
      <c r="AA98" s="75"/>
      <c r="AB98" s="74"/>
      <c r="AC98" s="75"/>
      <c r="AD98" s="75"/>
      <c r="AE98" s="74"/>
      <c r="AF98" s="75"/>
      <c r="AG98" s="76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5"/>
      <c r="AV98" s="74"/>
    </row>
    <row r="99" spans="1:48" s="13" customFormat="1" ht="15.75" hidden="1" x14ac:dyDescent="0.25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6"/>
      <c r="L99" s="65"/>
      <c r="M99" s="65"/>
      <c r="N99" s="66"/>
      <c r="O99" s="66"/>
      <c r="P99" s="65"/>
      <c r="Q99" s="66"/>
      <c r="R99" s="66"/>
      <c r="S99" s="66"/>
      <c r="T99" s="65"/>
      <c r="U99" s="66"/>
      <c r="V99" s="65"/>
      <c r="W99" s="65"/>
      <c r="X99" s="65"/>
      <c r="Y99" s="65"/>
      <c r="Z99" s="67"/>
      <c r="AA99" s="66"/>
      <c r="AB99" s="65"/>
      <c r="AC99" s="66"/>
      <c r="AD99" s="66"/>
      <c r="AE99" s="65"/>
      <c r="AF99" s="66"/>
      <c r="AG99" s="67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6"/>
      <c r="AV99" s="65"/>
    </row>
    <row r="100" spans="1:48" s="13" customFormat="1" ht="15.75" hidden="1" x14ac:dyDescent="0.25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6"/>
      <c r="L100" s="65"/>
      <c r="M100" s="65"/>
      <c r="N100" s="66"/>
      <c r="O100" s="66"/>
      <c r="P100" s="65"/>
      <c r="Q100" s="66"/>
      <c r="R100" s="66"/>
      <c r="S100" s="66"/>
      <c r="T100" s="65"/>
      <c r="U100" s="66"/>
      <c r="V100" s="65"/>
      <c r="W100" s="65"/>
      <c r="X100" s="65"/>
      <c r="Y100" s="65"/>
      <c r="Z100" s="67"/>
      <c r="AA100" s="66"/>
      <c r="AB100" s="65"/>
      <c r="AC100" s="66"/>
      <c r="AD100" s="66"/>
      <c r="AE100" s="65"/>
      <c r="AF100" s="66"/>
      <c r="AG100" s="67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6"/>
      <c r="AV100" s="65"/>
    </row>
    <row r="101" spans="1:48" s="13" customFormat="1" ht="15.75" hidden="1" x14ac:dyDescent="0.25">
      <c r="A101" s="68" t="s">
        <v>100</v>
      </c>
      <c r="B101" s="65"/>
      <c r="C101" s="68" t="s">
        <v>101</v>
      </c>
      <c r="D101" s="68"/>
      <c r="E101" s="68"/>
      <c r="F101" s="65"/>
      <c r="G101" s="155" t="s">
        <v>73</v>
      </c>
      <c r="H101" s="155"/>
      <c r="I101" s="155"/>
      <c r="J101" s="6"/>
      <c r="K101" s="55"/>
      <c r="N101" s="55"/>
      <c r="O101" s="55"/>
      <c r="Q101" s="55"/>
      <c r="R101" s="55"/>
      <c r="S101" s="55"/>
      <c r="U101" s="55"/>
      <c r="Z101" s="56"/>
      <c r="AA101" s="55"/>
      <c r="AC101" s="55"/>
      <c r="AD101" s="55"/>
      <c r="AF101" s="55"/>
      <c r="AG101" s="56"/>
      <c r="AU101" s="55"/>
    </row>
    <row r="102" spans="1:48" s="13" customFormat="1" ht="16.5" hidden="1" thickBot="1" x14ac:dyDescent="0.3">
      <c r="A102" s="65"/>
      <c r="B102" s="65"/>
      <c r="C102" s="65"/>
      <c r="D102" s="65" t="s">
        <v>102</v>
      </c>
      <c r="E102" s="65" t="s">
        <v>103</v>
      </c>
      <c r="F102" s="65"/>
      <c r="G102" s="17">
        <v>2010</v>
      </c>
      <c r="H102" s="17">
        <v>2010</v>
      </c>
      <c r="I102" s="17">
        <v>2010</v>
      </c>
      <c r="J102" s="17">
        <v>2010</v>
      </c>
      <c r="K102" s="18">
        <v>2010</v>
      </c>
      <c r="L102" s="17">
        <v>2010</v>
      </c>
      <c r="M102" s="17">
        <v>2010</v>
      </c>
      <c r="N102" s="18">
        <v>2010</v>
      </c>
      <c r="O102" s="18">
        <v>2010</v>
      </c>
      <c r="P102" s="17">
        <v>2010</v>
      </c>
      <c r="Q102" s="18">
        <v>2010</v>
      </c>
      <c r="R102" s="18">
        <v>2010</v>
      </c>
      <c r="S102" s="18">
        <v>2010</v>
      </c>
      <c r="T102" s="17">
        <v>2010</v>
      </c>
      <c r="U102" s="18">
        <v>2010</v>
      </c>
      <c r="V102" s="17"/>
      <c r="W102" s="17"/>
      <c r="X102" s="17"/>
      <c r="Y102" s="17"/>
      <c r="Z102" s="19"/>
      <c r="AA102" s="18"/>
      <c r="AB102" s="17"/>
      <c r="AC102" s="18"/>
      <c r="AD102" s="18"/>
      <c r="AE102" s="17"/>
      <c r="AF102" s="18"/>
      <c r="AG102" s="19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8"/>
      <c r="AV102" s="17"/>
    </row>
    <row r="103" spans="1:48" s="13" customFormat="1" ht="15.75" hidden="1" x14ac:dyDescent="0.25">
      <c r="A103" s="65"/>
      <c r="B103" s="65"/>
      <c r="C103" s="65"/>
      <c r="D103" s="65"/>
      <c r="E103" s="65" t="s">
        <v>104</v>
      </c>
      <c r="F103" s="65"/>
      <c r="G103" s="23"/>
      <c r="H103" s="23"/>
      <c r="I103" s="23"/>
      <c r="J103" s="23"/>
      <c r="K103" s="24"/>
      <c r="L103" s="23"/>
      <c r="M103" s="23"/>
      <c r="N103" s="24"/>
      <c r="O103" s="24"/>
      <c r="P103" s="23"/>
      <c r="Q103" s="24"/>
      <c r="R103" s="24"/>
      <c r="S103" s="24"/>
      <c r="T103" s="23"/>
      <c r="U103" s="24"/>
      <c r="V103" s="23"/>
      <c r="W103" s="23"/>
      <c r="X103" s="23"/>
      <c r="Y103" s="23"/>
      <c r="Z103" s="25"/>
      <c r="AA103" s="24"/>
      <c r="AB103" s="23"/>
      <c r="AC103" s="24"/>
      <c r="AD103" s="24"/>
      <c r="AE103" s="23"/>
      <c r="AF103" s="24"/>
      <c r="AG103" s="25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4"/>
      <c r="AV103" s="23"/>
    </row>
    <row r="104" spans="1:48" s="13" customFormat="1" ht="15.75" hidden="1" x14ac:dyDescent="0.25">
      <c r="A104" s="65"/>
      <c r="B104" s="65"/>
      <c r="C104" s="65"/>
      <c r="D104" s="65"/>
      <c r="E104" s="65" t="s">
        <v>105</v>
      </c>
      <c r="F104" s="65"/>
      <c r="G104" s="23"/>
      <c r="H104" s="23"/>
      <c r="I104" s="23"/>
      <c r="J104" s="23"/>
      <c r="K104" s="24"/>
      <c r="L104" s="23"/>
      <c r="M104" s="23"/>
      <c r="N104" s="24"/>
      <c r="O104" s="24"/>
      <c r="P104" s="23"/>
      <c r="Q104" s="24"/>
      <c r="R104" s="24"/>
      <c r="S104" s="24"/>
      <c r="T104" s="23"/>
      <c r="U104" s="24"/>
      <c r="V104" s="23"/>
      <c r="W104" s="23"/>
      <c r="X104" s="23"/>
      <c r="Y104" s="23"/>
      <c r="Z104" s="25"/>
      <c r="AA104" s="24"/>
      <c r="AB104" s="23"/>
      <c r="AC104" s="24"/>
      <c r="AD104" s="24"/>
      <c r="AE104" s="23"/>
      <c r="AF104" s="24"/>
      <c r="AG104" s="25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4"/>
      <c r="AV104" s="23"/>
    </row>
    <row r="105" spans="1:48" s="13" customFormat="1" ht="15.75" hidden="1" x14ac:dyDescent="0.25">
      <c r="A105" s="65"/>
      <c r="B105" s="65"/>
      <c r="C105" s="65"/>
      <c r="D105" s="65"/>
      <c r="E105" s="65" t="s">
        <v>106</v>
      </c>
      <c r="F105" s="65"/>
      <c r="G105" s="23"/>
      <c r="H105" s="23"/>
      <c r="I105" s="23"/>
      <c r="J105" s="23"/>
      <c r="K105" s="24"/>
      <c r="L105" s="23"/>
      <c r="M105" s="23"/>
      <c r="N105" s="24"/>
      <c r="O105" s="24"/>
      <c r="P105" s="23"/>
      <c r="Q105" s="24"/>
      <c r="R105" s="24"/>
      <c r="S105" s="24"/>
      <c r="T105" s="23"/>
      <c r="U105" s="24"/>
      <c r="V105" s="23"/>
      <c r="W105" s="23"/>
      <c r="X105" s="23"/>
      <c r="Y105" s="23"/>
      <c r="Z105" s="25"/>
      <c r="AA105" s="24"/>
      <c r="AB105" s="23"/>
      <c r="AC105" s="24"/>
      <c r="AD105" s="24"/>
      <c r="AE105" s="23"/>
      <c r="AF105" s="24"/>
      <c r="AG105" s="25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4"/>
      <c r="AV105" s="23"/>
    </row>
    <row r="106" spans="1:48" s="13" customFormat="1" ht="15.75" hidden="1" x14ac:dyDescent="0.25">
      <c r="A106" s="65"/>
      <c r="B106" s="65"/>
      <c r="C106" s="65"/>
      <c r="D106" s="65"/>
      <c r="E106" s="57" t="s">
        <v>90</v>
      </c>
      <c r="F106" s="65"/>
      <c r="G106" s="71"/>
      <c r="H106" s="71"/>
      <c r="I106" s="71"/>
      <c r="J106" s="71"/>
      <c r="K106" s="72"/>
      <c r="L106" s="71"/>
      <c r="M106" s="71"/>
      <c r="N106" s="72"/>
      <c r="O106" s="72"/>
      <c r="P106" s="71"/>
      <c r="Q106" s="72"/>
      <c r="R106" s="72"/>
      <c r="S106" s="72"/>
      <c r="T106" s="71"/>
      <c r="U106" s="72"/>
      <c r="V106" s="71"/>
      <c r="W106" s="71"/>
      <c r="X106" s="71"/>
      <c r="Y106" s="71"/>
      <c r="Z106" s="73"/>
      <c r="AA106" s="72"/>
      <c r="AB106" s="71"/>
      <c r="AC106" s="72"/>
      <c r="AD106" s="72"/>
      <c r="AE106" s="71"/>
      <c r="AF106" s="72"/>
      <c r="AG106" s="73"/>
      <c r="AH106" s="71"/>
      <c r="AI106" s="71"/>
      <c r="AJ106" s="71"/>
      <c r="AK106" s="71"/>
      <c r="AL106" s="71"/>
      <c r="AM106" s="71"/>
      <c r="AN106" s="71"/>
      <c r="AO106" s="71"/>
      <c r="AP106" s="71"/>
      <c r="AQ106" s="71"/>
      <c r="AR106" s="71"/>
      <c r="AS106" s="71"/>
      <c r="AT106" s="71"/>
      <c r="AU106" s="72"/>
      <c r="AV106" s="71"/>
    </row>
    <row r="107" spans="1:48" s="13" customFormat="1" ht="16.5" hidden="1" thickBot="1" x14ac:dyDescent="0.3">
      <c r="A107" s="65"/>
      <c r="B107" s="65"/>
      <c r="E107" s="65" t="s">
        <v>99</v>
      </c>
      <c r="G107" s="74">
        <f>SUM(G103:G106)</f>
        <v>0</v>
      </c>
      <c r="H107" s="74">
        <f t="shared" ref="H107:U107" si="9">SUM(H103:H106)</f>
        <v>0</v>
      </c>
      <c r="I107" s="74">
        <f t="shared" si="9"/>
        <v>0</v>
      </c>
      <c r="J107" s="74">
        <f t="shared" si="9"/>
        <v>0</v>
      </c>
      <c r="K107" s="75">
        <f t="shared" si="9"/>
        <v>0</v>
      </c>
      <c r="L107" s="74">
        <f t="shared" si="9"/>
        <v>0</v>
      </c>
      <c r="M107" s="74">
        <f t="shared" si="9"/>
        <v>0</v>
      </c>
      <c r="N107" s="75">
        <f t="shared" si="9"/>
        <v>0</v>
      </c>
      <c r="O107" s="75">
        <f t="shared" si="9"/>
        <v>0</v>
      </c>
      <c r="P107" s="74">
        <f t="shared" si="9"/>
        <v>0</v>
      </c>
      <c r="Q107" s="75">
        <f t="shared" si="9"/>
        <v>0</v>
      </c>
      <c r="R107" s="75">
        <f t="shared" si="9"/>
        <v>0</v>
      </c>
      <c r="S107" s="75">
        <f t="shared" si="9"/>
        <v>0</v>
      </c>
      <c r="T107" s="74">
        <f t="shared" si="9"/>
        <v>0</v>
      </c>
      <c r="U107" s="75">
        <f t="shared" si="9"/>
        <v>0</v>
      </c>
      <c r="V107" s="74"/>
      <c r="W107" s="74"/>
      <c r="X107" s="74"/>
      <c r="Y107" s="74"/>
      <c r="Z107" s="76"/>
      <c r="AA107" s="75"/>
      <c r="AB107" s="74"/>
      <c r="AC107" s="75"/>
      <c r="AD107" s="75"/>
      <c r="AE107" s="74"/>
      <c r="AF107" s="75"/>
      <c r="AG107" s="76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5"/>
      <c r="AV107" s="74"/>
    </row>
    <row r="108" spans="1:48" s="13" customFormat="1" ht="15.75" hidden="1" x14ac:dyDescent="0.25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6"/>
      <c r="L108" s="65"/>
      <c r="M108" s="65"/>
      <c r="N108" s="66"/>
      <c r="O108" s="66"/>
      <c r="P108" s="65"/>
      <c r="Q108" s="66"/>
      <c r="R108" s="66"/>
      <c r="S108" s="66"/>
      <c r="T108" s="65"/>
      <c r="U108" s="66"/>
      <c r="V108" s="65"/>
      <c r="W108" s="65"/>
      <c r="X108" s="65"/>
      <c r="Y108" s="65"/>
      <c r="Z108" s="67"/>
      <c r="AA108" s="66"/>
      <c r="AB108" s="65"/>
      <c r="AC108" s="66"/>
      <c r="AD108" s="66"/>
      <c r="AE108" s="65"/>
      <c r="AF108" s="66"/>
      <c r="AG108" s="67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6"/>
      <c r="AV108" s="65"/>
    </row>
    <row r="109" spans="1:48" s="13" customFormat="1" ht="15.75" hidden="1" x14ac:dyDescent="0.25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6"/>
      <c r="L109" s="65"/>
      <c r="M109" s="65"/>
      <c r="N109" s="66"/>
      <c r="O109" s="66"/>
      <c r="P109" s="65"/>
      <c r="Q109" s="66"/>
      <c r="R109" s="66"/>
      <c r="S109" s="66"/>
      <c r="T109" s="65"/>
      <c r="U109" s="66"/>
      <c r="V109" s="65"/>
      <c r="W109" s="65"/>
      <c r="X109" s="65"/>
      <c r="Y109" s="65"/>
      <c r="Z109" s="67"/>
      <c r="AA109" s="66"/>
      <c r="AB109" s="65"/>
      <c r="AC109" s="66"/>
      <c r="AD109" s="66"/>
      <c r="AE109" s="65"/>
      <c r="AF109" s="66"/>
      <c r="AG109" s="67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6"/>
      <c r="AV109" s="65"/>
    </row>
    <row r="110" spans="1:48" s="13" customFormat="1" ht="15.75" x14ac:dyDescent="0.25">
      <c r="A110" s="77" t="s">
        <v>107</v>
      </c>
      <c r="B110" s="16"/>
      <c r="C110" s="16"/>
      <c r="D110" s="16"/>
      <c r="E110" s="16"/>
      <c r="F110" s="16"/>
      <c r="G110" s="6"/>
      <c r="H110" s="6"/>
      <c r="I110" s="6"/>
      <c r="J110" s="6"/>
      <c r="K110" s="10"/>
      <c r="L110" s="6"/>
      <c r="M110" s="6"/>
      <c r="N110" s="10"/>
      <c r="O110" s="10"/>
      <c r="P110" s="6"/>
      <c r="Q110" s="10"/>
      <c r="R110" s="10"/>
      <c r="S110" s="10"/>
      <c r="T110" s="6"/>
      <c r="U110" s="10"/>
      <c r="V110" s="6"/>
      <c r="W110" s="6"/>
      <c r="X110" s="6"/>
      <c r="Y110" s="6"/>
      <c r="Z110" s="22"/>
      <c r="AA110" s="10"/>
      <c r="AB110" s="6"/>
      <c r="AC110" s="10"/>
      <c r="AD110" s="10"/>
      <c r="AE110" s="6"/>
      <c r="AF110" s="10"/>
      <c r="AG110" s="22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10"/>
      <c r="AV110" s="6"/>
    </row>
    <row r="111" spans="1:48" s="13" customFormat="1" ht="15.75" x14ac:dyDescent="0.25">
      <c r="A111" s="5"/>
      <c r="B111" s="6"/>
      <c r="C111" s="6"/>
      <c r="D111" s="6" t="s">
        <v>108</v>
      </c>
      <c r="E111" s="6"/>
      <c r="F111" s="78"/>
      <c r="G111" s="23"/>
      <c r="H111" s="23"/>
      <c r="I111" s="23"/>
      <c r="J111" s="23"/>
      <c r="K111" s="24"/>
      <c r="L111" s="23"/>
      <c r="M111" s="23"/>
      <c r="N111" s="24"/>
      <c r="O111" s="24"/>
      <c r="P111" s="23"/>
      <c r="Q111" s="24"/>
      <c r="R111" s="24"/>
      <c r="S111" s="24"/>
      <c r="T111" s="23"/>
      <c r="U111" s="24"/>
      <c r="V111" s="23"/>
      <c r="W111" s="23"/>
      <c r="X111" s="23"/>
      <c r="Y111" s="23"/>
      <c r="Z111" s="25"/>
      <c r="AA111" s="24"/>
      <c r="AB111" s="23"/>
      <c r="AC111" s="24"/>
      <c r="AD111" s="24"/>
      <c r="AE111" s="23"/>
      <c r="AF111" s="24"/>
      <c r="AG111" s="25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4"/>
      <c r="AV111" s="23"/>
    </row>
    <row r="112" spans="1:48" s="13" customFormat="1" ht="15.75" x14ac:dyDescent="0.25">
      <c r="A112" s="5"/>
      <c r="B112" s="6"/>
      <c r="C112" s="6"/>
      <c r="D112" s="6" t="s">
        <v>109</v>
      </c>
      <c r="E112" s="6"/>
      <c r="F112" s="78"/>
      <c r="G112" s="23"/>
      <c r="H112" s="23">
        <v>5760</v>
      </c>
      <c r="I112" s="23">
        <v>783</v>
      </c>
      <c r="J112" s="23">
        <v>1837</v>
      </c>
      <c r="K112" s="24"/>
      <c r="L112" s="23"/>
      <c r="M112" s="23">
        <v>645</v>
      </c>
      <c r="N112" s="24">
        <v>2162</v>
      </c>
      <c r="O112" s="24">
        <v>9722</v>
      </c>
      <c r="P112" s="23">
        <v>893</v>
      </c>
      <c r="Q112" s="24">
        <v>640</v>
      </c>
      <c r="R112" s="24">
        <v>3568</v>
      </c>
      <c r="S112" s="24"/>
      <c r="T112" s="23">
        <v>2110</v>
      </c>
      <c r="U112" s="24">
        <v>803</v>
      </c>
      <c r="V112" s="23">
        <v>2606</v>
      </c>
      <c r="W112" s="23">
        <v>1842</v>
      </c>
      <c r="X112" s="23">
        <v>3316</v>
      </c>
      <c r="Y112" s="23">
        <v>4533</v>
      </c>
      <c r="Z112" s="25">
        <v>10398</v>
      </c>
      <c r="AA112" s="24">
        <v>8964</v>
      </c>
      <c r="AB112" s="23">
        <v>976</v>
      </c>
      <c r="AC112" s="24"/>
      <c r="AD112" s="24"/>
      <c r="AE112" s="23"/>
      <c r="AF112" s="24">
        <v>835</v>
      </c>
      <c r="AG112" s="25">
        <v>37591</v>
      </c>
      <c r="AH112" s="23">
        <v>5394</v>
      </c>
      <c r="AI112" s="23">
        <v>1128</v>
      </c>
      <c r="AJ112" s="23">
        <v>1236</v>
      </c>
      <c r="AK112" s="23">
        <v>-74</v>
      </c>
      <c r="AL112" s="23">
        <v>2122</v>
      </c>
      <c r="AM112" s="23">
        <v>3263</v>
      </c>
      <c r="AN112" s="23">
        <v>559</v>
      </c>
      <c r="AO112" s="23">
        <v>87</v>
      </c>
      <c r="AP112" s="23">
        <v>2329</v>
      </c>
      <c r="AQ112" s="23">
        <v>678</v>
      </c>
      <c r="AR112" s="23">
        <v>5450</v>
      </c>
      <c r="AS112" s="23">
        <v>5464</v>
      </c>
      <c r="AT112" s="23">
        <v>2455</v>
      </c>
      <c r="AU112" s="24">
        <v>2324</v>
      </c>
      <c r="AV112" s="23">
        <v>-202</v>
      </c>
    </row>
    <row r="113" spans="1:48" s="13" customFormat="1" ht="15.75" x14ac:dyDescent="0.25">
      <c r="A113" s="5"/>
      <c r="B113" s="6"/>
      <c r="C113" s="6"/>
      <c r="D113" s="6" t="s">
        <v>110</v>
      </c>
      <c r="E113" s="6"/>
      <c r="F113" s="78"/>
      <c r="G113" s="23">
        <v>162</v>
      </c>
      <c r="H113" s="23"/>
      <c r="I113" s="23"/>
      <c r="J113" s="23"/>
      <c r="K113" s="24">
        <v>1043</v>
      </c>
      <c r="L113" s="23"/>
      <c r="M113" s="23">
        <v>154</v>
      </c>
      <c r="N113" s="24"/>
      <c r="O113" s="24">
        <v>3410</v>
      </c>
      <c r="P113" s="23">
        <v>9</v>
      </c>
      <c r="Q113" s="24">
        <v>1817</v>
      </c>
      <c r="R113" s="24">
        <v>172</v>
      </c>
      <c r="S113" s="24"/>
      <c r="T113" s="23"/>
      <c r="U113" s="24">
        <v>538</v>
      </c>
      <c r="V113" s="23"/>
      <c r="W113" s="23">
        <v>122</v>
      </c>
      <c r="X113" s="23"/>
      <c r="Y113" s="23"/>
      <c r="Z113" s="25">
        <v>6945</v>
      </c>
      <c r="AA113" s="24"/>
      <c r="AB113" s="23"/>
      <c r="AC113" s="24"/>
      <c r="AD113" s="24"/>
      <c r="AE113" s="23"/>
      <c r="AF113" s="24"/>
      <c r="AG113" s="25">
        <v>337</v>
      </c>
      <c r="AH113" s="23">
        <v>53</v>
      </c>
      <c r="AI113" s="23"/>
      <c r="AJ113" s="23"/>
      <c r="AK113" s="23">
        <v>612</v>
      </c>
      <c r="AL113" s="23"/>
      <c r="AM113" s="23"/>
      <c r="AN113" s="23"/>
      <c r="AO113" s="23"/>
      <c r="AP113" s="23">
        <v>114</v>
      </c>
      <c r="AQ113" s="23"/>
      <c r="AR113" s="23">
        <v>1627</v>
      </c>
      <c r="AS113" s="23"/>
      <c r="AT113" s="23"/>
      <c r="AU113" s="24">
        <v>1105</v>
      </c>
      <c r="AV113" s="23"/>
    </row>
    <row r="114" spans="1:48" s="13" customFormat="1" ht="15.75" x14ac:dyDescent="0.25">
      <c r="A114" s="5"/>
      <c r="B114" s="6"/>
      <c r="C114" s="6"/>
      <c r="D114" s="79" t="s">
        <v>108</v>
      </c>
      <c r="E114" s="38"/>
      <c r="F114" s="80"/>
      <c r="G114" s="26">
        <v>354</v>
      </c>
      <c r="H114" s="26">
        <v>1307</v>
      </c>
      <c r="I114" s="26">
        <v>2551</v>
      </c>
      <c r="J114" s="26">
        <v>993</v>
      </c>
      <c r="K114" s="27"/>
      <c r="L114" s="26"/>
      <c r="M114" s="26">
        <v>401</v>
      </c>
      <c r="N114" s="27">
        <v>1602</v>
      </c>
      <c r="O114" s="27"/>
      <c r="P114" s="26">
        <v>1499</v>
      </c>
      <c r="Q114" s="27">
        <v>631</v>
      </c>
      <c r="R114" s="27">
        <v>2279</v>
      </c>
      <c r="S114" s="27">
        <v>5905</v>
      </c>
      <c r="T114" s="26">
        <v>4002</v>
      </c>
      <c r="U114" s="27">
        <v>394</v>
      </c>
      <c r="V114" s="26">
        <v>3906</v>
      </c>
      <c r="W114" s="26">
        <v>1542</v>
      </c>
      <c r="X114" s="26">
        <v>1087</v>
      </c>
      <c r="Y114" s="26">
        <v>291</v>
      </c>
      <c r="Z114" s="28">
        <v>13279</v>
      </c>
      <c r="AA114" s="27">
        <v>5515</v>
      </c>
      <c r="AB114" s="26">
        <v>250</v>
      </c>
      <c r="AC114" s="27"/>
      <c r="AD114" s="27"/>
      <c r="AE114" s="26">
        <v>3036</v>
      </c>
      <c r="AF114" s="27">
        <v>536</v>
      </c>
      <c r="AG114" s="28">
        <v>26913</v>
      </c>
      <c r="AH114" s="26">
        <v>286</v>
      </c>
      <c r="AI114" s="26">
        <v>1288</v>
      </c>
      <c r="AJ114" s="26">
        <v>174</v>
      </c>
      <c r="AK114" s="26">
        <v>1112</v>
      </c>
      <c r="AL114" s="26">
        <v>925</v>
      </c>
      <c r="AM114" s="26">
        <v>989</v>
      </c>
      <c r="AN114" s="26">
        <v>1140</v>
      </c>
      <c r="AO114" s="26">
        <v>765</v>
      </c>
      <c r="AP114" s="26">
        <v>6193</v>
      </c>
      <c r="AQ114" s="26">
        <v>1292</v>
      </c>
      <c r="AR114" s="26">
        <v>5234</v>
      </c>
      <c r="AS114" s="26">
        <v>4401</v>
      </c>
      <c r="AT114" s="26">
        <v>617</v>
      </c>
      <c r="AU114" s="27">
        <v>2285</v>
      </c>
      <c r="AV114" s="26">
        <v>2448</v>
      </c>
    </row>
    <row r="115" spans="1:48" s="13" customFormat="1" ht="15.75" x14ac:dyDescent="0.25">
      <c r="A115" s="5"/>
      <c r="B115" s="6"/>
      <c r="C115" s="6"/>
      <c r="D115" s="6" t="s">
        <v>111</v>
      </c>
      <c r="E115" s="6"/>
      <c r="F115" s="81"/>
      <c r="G115" s="23">
        <v>45</v>
      </c>
      <c r="H115" s="23"/>
      <c r="I115" s="23"/>
      <c r="J115" s="23">
        <v>143</v>
      </c>
      <c r="K115" s="24">
        <v>248</v>
      </c>
      <c r="L115" s="23"/>
      <c r="M115" s="23"/>
      <c r="N115" s="24">
        <v>171</v>
      </c>
      <c r="O115" s="24">
        <v>590</v>
      </c>
      <c r="P115" s="23"/>
      <c r="Q115" s="24">
        <v>587</v>
      </c>
      <c r="R115" s="24">
        <v>93</v>
      </c>
      <c r="S115" s="24">
        <v>355</v>
      </c>
      <c r="T115" s="23"/>
      <c r="U115" s="24">
        <v>157</v>
      </c>
      <c r="V115" s="23">
        <v>208</v>
      </c>
      <c r="W115" s="23"/>
      <c r="X115" s="23"/>
      <c r="Y115" s="23">
        <v>1</v>
      </c>
      <c r="Z115" s="25">
        <v>1400</v>
      </c>
      <c r="AA115" s="27"/>
      <c r="AB115" s="23">
        <v>6</v>
      </c>
      <c r="AC115" s="24"/>
      <c r="AD115" s="24"/>
      <c r="AE115" s="23">
        <v>63</v>
      </c>
      <c r="AF115" s="24">
        <v>73</v>
      </c>
      <c r="AG115" s="25">
        <v>611</v>
      </c>
      <c r="AH115" s="23"/>
      <c r="AI115" s="23"/>
      <c r="AJ115" s="23">
        <v>139</v>
      </c>
      <c r="AK115" s="23">
        <v>16</v>
      </c>
      <c r="AL115" s="23"/>
      <c r="AM115" s="23"/>
      <c r="AN115" s="23">
        <v>93</v>
      </c>
      <c r="AO115" s="23">
        <v>60</v>
      </c>
      <c r="AP115" s="23">
        <v>152</v>
      </c>
      <c r="AQ115" s="23">
        <v>60</v>
      </c>
      <c r="AR115" s="23">
        <v>489</v>
      </c>
      <c r="AS115" s="23">
        <v>292</v>
      </c>
      <c r="AT115" s="23">
        <v>20</v>
      </c>
      <c r="AU115" s="24">
        <v>171</v>
      </c>
      <c r="AV115" s="23">
        <v>54</v>
      </c>
    </row>
    <row r="116" spans="1:48" s="13" customFormat="1" ht="15.75" x14ac:dyDescent="0.25">
      <c r="A116" s="5"/>
      <c r="B116" s="6"/>
      <c r="C116" s="6"/>
      <c r="D116" s="6" t="s">
        <v>112</v>
      </c>
      <c r="E116" s="6"/>
      <c r="F116" s="81"/>
      <c r="G116" s="23">
        <v>34</v>
      </c>
      <c r="H116" s="23"/>
      <c r="I116" s="23"/>
      <c r="J116" s="23">
        <v>62</v>
      </c>
      <c r="K116" s="24">
        <v>60</v>
      </c>
      <c r="L116" s="23"/>
      <c r="M116" s="23"/>
      <c r="N116" s="24">
        <v>224</v>
      </c>
      <c r="O116" s="24">
        <v>689</v>
      </c>
      <c r="P116" s="23">
        <v>186</v>
      </c>
      <c r="Q116" s="24">
        <v>497</v>
      </c>
      <c r="R116" s="24">
        <v>282</v>
      </c>
      <c r="S116" s="24">
        <v>644</v>
      </c>
      <c r="T116" s="23"/>
      <c r="U116" s="24">
        <v>54</v>
      </c>
      <c r="V116" s="23">
        <v>290</v>
      </c>
      <c r="W116" s="23"/>
      <c r="X116" s="23"/>
      <c r="Y116" s="23">
        <v>55</v>
      </c>
      <c r="Z116" s="25"/>
      <c r="AA116" s="24"/>
      <c r="AB116" s="23">
        <v>30</v>
      </c>
      <c r="AC116" s="24"/>
      <c r="AD116" s="24"/>
      <c r="AE116" s="23"/>
      <c r="AF116" s="24">
        <v>74</v>
      </c>
      <c r="AG116" s="25"/>
      <c r="AH116" s="23">
        <v>168</v>
      </c>
      <c r="AI116" s="23"/>
      <c r="AJ116" s="23"/>
      <c r="AK116" s="23"/>
      <c r="AL116" s="23"/>
      <c r="AM116" s="23"/>
      <c r="AN116" s="23">
        <v>80</v>
      </c>
      <c r="AO116" s="23"/>
      <c r="AP116" s="23">
        <v>501</v>
      </c>
      <c r="AQ116" s="23"/>
      <c r="AR116" s="23">
        <v>582</v>
      </c>
      <c r="AS116" s="23">
        <v>285</v>
      </c>
      <c r="AT116" s="23">
        <v>124</v>
      </c>
      <c r="AU116" s="24">
        <v>101</v>
      </c>
      <c r="AV116" s="23">
        <v>208</v>
      </c>
    </row>
    <row r="117" spans="1:48" s="13" customFormat="1" ht="15.75" x14ac:dyDescent="0.25">
      <c r="A117" s="5"/>
      <c r="B117" s="6"/>
      <c r="C117" s="6"/>
      <c r="D117" s="6" t="s">
        <v>113</v>
      </c>
      <c r="E117" s="6"/>
      <c r="F117" s="81"/>
      <c r="G117" s="23">
        <v>46</v>
      </c>
      <c r="H117" s="23"/>
      <c r="I117" s="23"/>
      <c r="J117" s="23">
        <v>45</v>
      </c>
      <c r="K117" s="24">
        <v>263</v>
      </c>
      <c r="L117" s="23"/>
      <c r="M117" s="23">
        <v>112</v>
      </c>
      <c r="N117" s="24"/>
      <c r="O117" s="24"/>
      <c r="P117" s="23">
        <v>6</v>
      </c>
      <c r="Q117" s="24">
        <v>637</v>
      </c>
      <c r="R117" s="24"/>
      <c r="S117" s="24">
        <v>261</v>
      </c>
      <c r="T117" s="23"/>
      <c r="U117" s="24">
        <v>51</v>
      </c>
      <c r="V117" s="23">
        <v>135</v>
      </c>
      <c r="W117" s="23"/>
      <c r="X117" s="23"/>
      <c r="Y117" s="23">
        <v>18</v>
      </c>
      <c r="Z117" s="25">
        <v>891</v>
      </c>
      <c r="AA117" s="24"/>
      <c r="AB117" s="23">
        <v>12</v>
      </c>
      <c r="AC117" s="24"/>
      <c r="AD117" s="24"/>
      <c r="AE117" s="23"/>
      <c r="AF117" s="24">
        <v>43</v>
      </c>
      <c r="AG117" s="25">
        <v>259</v>
      </c>
      <c r="AH117" s="23">
        <v>79</v>
      </c>
      <c r="AI117" s="23"/>
      <c r="AJ117" s="23"/>
      <c r="AK117" s="23">
        <v>253</v>
      </c>
      <c r="AL117" s="23">
        <v>3</v>
      </c>
      <c r="AM117" s="23">
        <v>149</v>
      </c>
      <c r="AN117" s="23"/>
      <c r="AO117" s="23">
        <v>34</v>
      </c>
      <c r="AP117" s="23"/>
      <c r="AQ117" s="23"/>
      <c r="AR117" s="23">
        <v>420</v>
      </c>
      <c r="AS117" s="23">
        <v>44</v>
      </c>
      <c r="AT117" s="23">
        <v>29</v>
      </c>
      <c r="AU117" s="24">
        <v>66</v>
      </c>
      <c r="AV117" s="23"/>
    </row>
    <row r="118" spans="1:48" s="13" customFormat="1" ht="15.75" x14ac:dyDescent="0.25">
      <c r="A118" s="5"/>
      <c r="B118" s="6"/>
      <c r="C118" s="6"/>
      <c r="D118" s="6" t="s">
        <v>164</v>
      </c>
      <c r="E118" s="6"/>
      <c r="F118" s="81"/>
      <c r="G118" s="26"/>
      <c r="H118" s="26"/>
      <c r="I118" s="26"/>
      <c r="J118" s="26"/>
      <c r="K118" s="27"/>
      <c r="L118" s="26"/>
      <c r="M118" s="26"/>
      <c r="N118" s="27"/>
      <c r="O118" s="27">
        <v>510</v>
      </c>
      <c r="P118" s="26"/>
      <c r="Q118" s="27">
        <v>400</v>
      </c>
      <c r="R118" s="27"/>
      <c r="S118" s="27">
        <v>361</v>
      </c>
      <c r="T118" s="26"/>
      <c r="U118" s="27">
        <v>53</v>
      </c>
      <c r="V118" s="26">
        <v>148</v>
      </c>
      <c r="W118" s="26"/>
      <c r="X118" s="26"/>
      <c r="Y118" s="26"/>
      <c r="Z118" s="28"/>
      <c r="AA118" s="27"/>
      <c r="AB118" s="26"/>
      <c r="AC118" s="27"/>
      <c r="AD118" s="27"/>
      <c r="AE118" s="26"/>
      <c r="AF118" s="27">
        <v>51</v>
      </c>
      <c r="AG118" s="28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>
        <v>242</v>
      </c>
      <c r="AT118" s="26"/>
      <c r="AU118" s="27">
        <v>220</v>
      </c>
      <c r="AV118" s="26"/>
    </row>
    <row r="119" spans="1:48" s="13" customFormat="1" ht="15.75" x14ac:dyDescent="0.25">
      <c r="A119" s="5"/>
      <c r="B119" s="6"/>
      <c r="C119" s="6"/>
      <c r="D119" s="6" t="s">
        <v>114</v>
      </c>
      <c r="E119" s="6"/>
      <c r="F119" s="6"/>
      <c r="G119" s="26"/>
      <c r="H119" s="26"/>
      <c r="I119" s="26"/>
      <c r="J119" s="26"/>
      <c r="K119" s="27">
        <v>125</v>
      </c>
      <c r="L119" s="26"/>
      <c r="M119" s="26">
        <v>21</v>
      </c>
      <c r="N119" s="27"/>
      <c r="O119" s="27">
        <v>246</v>
      </c>
      <c r="P119" s="26">
        <v>41</v>
      </c>
      <c r="Q119" s="27">
        <v>368</v>
      </c>
      <c r="R119" s="27">
        <v>368</v>
      </c>
      <c r="S119" s="27"/>
      <c r="T119" s="26"/>
      <c r="U119" s="27">
        <v>120</v>
      </c>
      <c r="V119" s="26"/>
      <c r="W119" s="26"/>
      <c r="X119" s="26"/>
      <c r="Y119" s="26"/>
      <c r="Z119" s="28">
        <v>2165</v>
      </c>
      <c r="AA119" s="27"/>
      <c r="AB119" s="26"/>
      <c r="AC119" s="27"/>
      <c r="AD119" s="27"/>
      <c r="AE119" s="26"/>
      <c r="AF119" s="27">
        <v>41</v>
      </c>
      <c r="AG119" s="28"/>
      <c r="AH119" s="26"/>
      <c r="AI119" s="26"/>
      <c r="AJ119" s="26"/>
      <c r="AK119" s="26"/>
      <c r="AL119" s="26"/>
      <c r="AM119" s="26"/>
      <c r="AN119" s="26"/>
      <c r="AO119" s="26">
        <v>237</v>
      </c>
      <c r="AP119" s="26">
        <v>2</v>
      </c>
      <c r="AQ119" s="26"/>
      <c r="AR119" s="26">
        <v>934</v>
      </c>
      <c r="AS119" s="26">
        <v>263</v>
      </c>
      <c r="AT119" s="26">
        <v>408</v>
      </c>
      <c r="AU119" s="27">
        <v>40</v>
      </c>
      <c r="AV119" s="26">
        <v>440</v>
      </c>
    </row>
    <row r="120" spans="1:48" s="13" customFormat="1" ht="15.75" x14ac:dyDescent="0.25">
      <c r="A120" s="5"/>
      <c r="B120" s="6"/>
      <c r="C120" s="6"/>
      <c r="D120" s="6" t="s">
        <v>115</v>
      </c>
      <c r="E120" s="6"/>
      <c r="F120" s="6"/>
      <c r="G120" s="26">
        <v>110</v>
      </c>
      <c r="H120" s="26"/>
      <c r="I120" s="26"/>
      <c r="J120" s="26">
        <v>303</v>
      </c>
      <c r="K120" s="27">
        <v>519</v>
      </c>
      <c r="L120" s="26"/>
      <c r="M120" s="26"/>
      <c r="N120" s="27">
        <v>365</v>
      </c>
      <c r="O120" s="27">
        <v>797</v>
      </c>
      <c r="P120" s="26"/>
      <c r="Q120" s="27"/>
      <c r="R120" s="27">
        <v>187</v>
      </c>
      <c r="S120" s="27">
        <v>753</v>
      </c>
      <c r="T120" s="26"/>
      <c r="U120" s="27">
        <v>117</v>
      </c>
      <c r="V120" s="26">
        <v>358</v>
      </c>
      <c r="W120" s="26"/>
      <c r="X120" s="26"/>
      <c r="Y120" s="26">
        <v>61</v>
      </c>
      <c r="Z120" s="28"/>
      <c r="AA120" s="27">
        <v>1791</v>
      </c>
      <c r="AB120" s="26">
        <v>60</v>
      </c>
      <c r="AC120" s="27"/>
      <c r="AD120" s="27"/>
      <c r="AE120" s="26"/>
      <c r="AF120" s="27">
        <v>85</v>
      </c>
      <c r="AG120" s="28"/>
      <c r="AH120" s="26"/>
      <c r="AI120" s="26"/>
      <c r="AJ120" s="26"/>
      <c r="AK120" s="26"/>
      <c r="AL120" s="26"/>
      <c r="AM120" s="26"/>
      <c r="AN120" s="26">
        <v>231</v>
      </c>
      <c r="AO120" s="26"/>
      <c r="AP120" s="26"/>
      <c r="AQ120" s="26">
        <v>126</v>
      </c>
      <c r="AR120" s="26"/>
      <c r="AS120" s="26">
        <v>569</v>
      </c>
      <c r="AT120" s="26"/>
      <c r="AU120" s="27">
        <v>539</v>
      </c>
      <c r="AV120" s="26"/>
    </row>
    <row r="121" spans="1:48" s="13" customFormat="1" ht="15.75" x14ac:dyDescent="0.25">
      <c r="A121" s="5"/>
      <c r="B121" s="6"/>
      <c r="C121" s="6"/>
      <c r="D121" s="6" t="s">
        <v>165</v>
      </c>
      <c r="E121" s="6"/>
      <c r="F121" s="6"/>
      <c r="G121" s="26"/>
      <c r="H121" s="26">
        <v>70</v>
      </c>
      <c r="I121" s="26"/>
      <c r="J121" s="26"/>
      <c r="K121" s="27"/>
      <c r="L121" s="26"/>
      <c r="M121" s="26">
        <v>87</v>
      </c>
      <c r="N121" s="27"/>
      <c r="O121" s="27">
        <v>387</v>
      </c>
      <c r="P121" s="26"/>
      <c r="Q121" s="27">
        <v>391</v>
      </c>
      <c r="R121" s="27"/>
      <c r="S121" s="27"/>
      <c r="T121" s="26"/>
      <c r="U121" s="27"/>
      <c r="V121" s="26"/>
      <c r="W121" s="26"/>
      <c r="X121" s="26"/>
      <c r="Y121" s="26"/>
      <c r="Z121" s="28"/>
      <c r="AA121" s="27"/>
      <c r="AB121" s="26"/>
      <c r="AC121" s="27"/>
      <c r="AD121" s="27"/>
      <c r="AE121" s="26"/>
      <c r="AF121" s="27"/>
      <c r="AG121" s="28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7"/>
      <c r="AV121" s="26"/>
    </row>
    <row r="122" spans="1:48" s="13" customFormat="1" ht="15.75" x14ac:dyDescent="0.25">
      <c r="A122" s="5"/>
      <c r="B122" s="6"/>
      <c r="C122" s="6"/>
      <c r="D122" s="6" t="s">
        <v>116</v>
      </c>
      <c r="E122" s="6"/>
      <c r="F122" s="6"/>
      <c r="G122" s="26"/>
      <c r="H122" s="26"/>
      <c r="I122" s="26"/>
      <c r="J122" s="26">
        <v>122</v>
      </c>
      <c r="K122" s="27">
        <v>136</v>
      </c>
      <c r="L122" s="26"/>
      <c r="M122" s="26"/>
      <c r="N122" s="27"/>
      <c r="O122" s="27">
        <v>720</v>
      </c>
      <c r="P122" s="26"/>
      <c r="Q122" s="27">
        <v>1388</v>
      </c>
      <c r="R122" s="27"/>
      <c r="S122" s="27"/>
      <c r="T122" s="26"/>
      <c r="U122" s="27"/>
      <c r="V122" s="26">
        <v>220</v>
      </c>
      <c r="W122" s="26"/>
      <c r="X122" s="26"/>
      <c r="Y122" s="26">
        <v>16</v>
      </c>
      <c r="Z122" s="28"/>
      <c r="AA122" s="27">
        <v>2400</v>
      </c>
      <c r="AB122" s="26">
        <v>44</v>
      </c>
      <c r="AC122" s="27"/>
      <c r="AD122" s="27"/>
      <c r="AE122" s="26"/>
      <c r="AF122" s="27">
        <v>138</v>
      </c>
      <c r="AG122" s="28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>
        <v>349</v>
      </c>
      <c r="AT122" s="26"/>
      <c r="AU122" s="27">
        <v>355</v>
      </c>
      <c r="AV122" s="26"/>
    </row>
    <row r="123" spans="1:48" s="13" customFormat="1" ht="16.5" thickBot="1" x14ac:dyDescent="0.3">
      <c r="A123" s="5"/>
      <c r="B123" s="6"/>
      <c r="C123" s="6"/>
      <c r="D123" s="6"/>
      <c r="E123" s="6"/>
      <c r="F123" s="6"/>
      <c r="G123" s="82">
        <f>SUM(G111:G122)</f>
        <v>751</v>
      </c>
      <c r="H123" s="82">
        <f t="shared" ref="H123:AV123" si="10">SUM(H111:H122)</f>
        <v>7137</v>
      </c>
      <c r="I123" s="82">
        <f t="shared" si="10"/>
        <v>3334</v>
      </c>
      <c r="J123" s="82">
        <f t="shared" si="10"/>
        <v>3505</v>
      </c>
      <c r="K123" s="82">
        <f t="shared" si="10"/>
        <v>2394</v>
      </c>
      <c r="L123" s="82">
        <f t="shared" si="10"/>
        <v>0</v>
      </c>
      <c r="M123" s="82">
        <f t="shared" si="10"/>
        <v>1420</v>
      </c>
      <c r="N123" s="82">
        <f t="shared" si="10"/>
        <v>4524</v>
      </c>
      <c r="O123" s="82">
        <f t="shared" si="10"/>
        <v>17071</v>
      </c>
      <c r="P123" s="82">
        <f t="shared" si="10"/>
        <v>2634</v>
      </c>
      <c r="Q123" s="82">
        <f t="shared" si="10"/>
        <v>7356</v>
      </c>
      <c r="R123" s="82">
        <f t="shared" si="10"/>
        <v>6949</v>
      </c>
      <c r="S123" s="82">
        <f t="shared" si="10"/>
        <v>8279</v>
      </c>
      <c r="T123" s="82">
        <f t="shared" si="10"/>
        <v>6112</v>
      </c>
      <c r="U123" s="82">
        <f t="shared" si="10"/>
        <v>2287</v>
      </c>
      <c r="V123" s="82">
        <f t="shared" si="10"/>
        <v>7871</v>
      </c>
      <c r="W123" s="82">
        <f t="shared" si="10"/>
        <v>3506</v>
      </c>
      <c r="X123" s="82">
        <f t="shared" si="10"/>
        <v>4403</v>
      </c>
      <c r="Y123" s="82">
        <f t="shared" si="10"/>
        <v>4975</v>
      </c>
      <c r="Z123" s="83">
        <f t="shared" si="10"/>
        <v>35078</v>
      </c>
      <c r="AA123" s="82">
        <f t="shared" si="10"/>
        <v>18670</v>
      </c>
      <c r="AB123" s="82">
        <f t="shared" si="10"/>
        <v>1378</v>
      </c>
      <c r="AC123" s="82">
        <f t="shared" si="10"/>
        <v>0</v>
      </c>
      <c r="AD123" s="82">
        <f t="shared" si="10"/>
        <v>0</v>
      </c>
      <c r="AE123" s="82">
        <f t="shared" si="10"/>
        <v>3099</v>
      </c>
      <c r="AF123" s="82">
        <f t="shared" si="10"/>
        <v>1876</v>
      </c>
      <c r="AG123" s="83">
        <f t="shared" si="10"/>
        <v>65711</v>
      </c>
      <c r="AH123" s="82">
        <f t="shared" si="10"/>
        <v>5980</v>
      </c>
      <c r="AI123" s="82">
        <f t="shared" si="10"/>
        <v>2416</v>
      </c>
      <c r="AJ123" s="82">
        <f t="shared" si="10"/>
        <v>1549</v>
      </c>
      <c r="AK123" s="82">
        <f t="shared" si="10"/>
        <v>1919</v>
      </c>
      <c r="AL123" s="82">
        <f t="shared" si="10"/>
        <v>3050</v>
      </c>
      <c r="AM123" s="82">
        <f t="shared" si="10"/>
        <v>4401</v>
      </c>
      <c r="AN123" s="82">
        <f t="shared" si="10"/>
        <v>2103</v>
      </c>
      <c r="AO123" s="82">
        <f t="shared" si="10"/>
        <v>1183</v>
      </c>
      <c r="AP123" s="82">
        <f t="shared" si="10"/>
        <v>9291</v>
      </c>
      <c r="AQ123" s="82">
        <f t="shared" si="10"/>
        <v>2156</v>
      </c>
      <c r="AR123" s="82">
        <f t="shared" si="10"/>
        <v>14736</v>
      </c>
      <c r="AS123" s="82">
        <f t="shared" si="10"/>
        <v>11909</v>
      </c>
      <c r="AT123" s="82">
        <f t="shared" si="10"/>
        <v>3653</v>
      </c>
      <c r="AU123" s="82">
        <f t="shared" si="10"/>
        <v>7206</v>
      </c>
      <c r="AV123" s="82">
        <f t="shared" si="10"/>
        <v>2948</v>
      </c>
    </row>
    <row r="124" spans="1:48" s="13" customFormat="1" ht="16.5" hidden="1" thickTop="1" x14ac:dyDescent="0.25">
      <c r="A124" s="5"/>
      <c r="B124" s="6"/>
      <c r="C124" s="6"/>
      <c r="D124" s="6"/>
      <c r="E124" s="6"/>
      <c r="F124" s="6"/>
      <c r="G124" s="6"/>
      <c r="H124" s="6"/>
      <c r="I124" s="6"/>
      <c r="J124" s="6"/>
      <c r="K124" s="10"/>
      <c r="L124" s="6"/>
      <c r="M124" s="6"/>
      <c r="N124" s="10"/>
      <c r="O124" s="10"/>
      <c r="P124" s="6"/>
      <c r="Q124" s="10"/>
      <c r="R124" s="10"/>
      <c r="S124" s="10"/>
      <c r="T124" s="6"/>
      <c r="U124" s="10"/>
      <c r="V124" s="6"/>
      <c r="W124" s="6"/>
      <c r="X124" s="6"/>
      <c r="Y124" s="6"/>
      <c r="Z124" s="22"/>
      <c r="AA124" s="10"/>
      <c r="AB124" s="6"/>
      <c r="AC124" s="10"/>
      <c r="AD124" s="10"/>
      <c r="AE124" s="6"/>
      <c r="AF124" s="10"/>
      <c r="AG124" s="22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10"/>
      <c r="AV124" s="6"/>
    </row>
    <row r="125" spans="1:48" s="13" customFormat="1" ht="16.5" hidden="1" thickTop="1" x14ac:dyDescent="0.25">
      <c r="A125" s="5"/>
      <c r="B125" s="6"/>
      <c r="C125" s="6"/>
      <c r="D125" s="6"/>
      <c r="E125" s="6"/>
      <c r="F125" s="6"/>
      <c r="G125" s="6"/>
      <c r="H125" s="6"/>
      <c r="I125" s="6"/>
      <c r="J125" s="6"/>
      <c r="K125" s="10"/>
      <c r="L125" s="6"/>
      <c r="M125" s="6"/>
      <c r="N125" s="10"/>
      <c r="O125" s="10"/>
      <c r="P125" s="6"/>
      <c r="Q125" s="10"/>
      <c r="R125" s="10"/>
      <c r="S125" s="10"/>
      <c r="T125" s="6"/>
      <c r="U125" s="10"/>
      <c r="V125" s="6"/>
      <c r="W125" s="6"/>
      <c r="X125" s="6"/>
      <c r="Y125" s="6"/>
      <c r="Z125" s="22"/>
      <c r="AA125" s="10"/>
      <c r="AB125" s="6"/>
      <c r="AC125" s="10"/>
      <c r="AD125" s="10"/>
      <c r="AE125" s="6"/>
      <c r="AF125" s="10"/>
      <c r="AG125" s="22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10"/>
      <c r="AV125" s="6"/>
    </row>
    <row r="126" spans="1:48" s="13" customFormat="1" ht="16.5" thickTop="1" x14ac:dyDescent="0.25">
      <c r="A126" s="5"/>
      <c r="B126" s="6"/>
      <c r="C126" s="6"/>
      <c r="D126" s="6"/>
      <c r="E126" s="6"/>
      <c r="F126" s="6"/>
      <c r="G126" s="6"/>
      <c r="H126" s="6"/>
      <c r="I126" s="6"/>
      <c r="J126" s="6"/>
      <c r="K126" s="10"/>
      <c r="L126" s="6"/>
      <c r="M126" s="6"/>
      <c r="N126" s="10"/>
      <c r="O126" s="10"/>
      <c r="P126" s="6"/>
      <c r="Q126" s="10"/>
      <c r="R126" s="10"/>
      <c r="S126" s="10"/>
      <c r="T126" s="6"/>
      <c r="U126" s="10"/>
      <c r="V126" s="6"/>
      <c r="W126" s="6"/>
      <c r="X126" s="6"/>
      <c r="Y126" s="6"/>
      <c r="Z126" s="22"/>
      <c r="AA126" s="10"/>
      <c r="AB126" s="6"/>
      <c r="AC126" s="10"/>
      <c r="AD126" s="10"/>
      <c r="AE126" s="6"/>
      <c r="AF126" s="10"/>
      <c r="AG126" s="22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10"/>
      <c r="AV126" s="6"/>
    </row>
    <row r="127" spans="1:48" s="13" customFormat="1" ht="18" x14ac:dyDescent="0.4">
      <c r="A127" s="20" t="s">
        <v>117</v>
      </c>
      <c r="B127" s="33" t="s">
        <v>118</v>
      </c>
      <c r="C127" s="84" t="s">
        <v>119</v>
      </c>
      <c r="D127" s="6"/>
      <c r="E127" s="6"/>
      <c r="F127" s="6"/>
      <c r="G127" s="155"/>
      <c r="H127" s="155"/>
      <c r="I127" s="155"/>
      <c r="J127" s="42"/>
      <c r="K127" s="55"/>
      <c r="N127" s="55"/>
      <c r="O127" s="55"/>
      <c r="Q127" s="55"/>
      <c r="R127" s="55"/>
      <c r="S127" s="55"/>
      <c r="U127" s="55"/>
      <c r="Z127" s="56"/>
      <c r="AA127" s="55"/>
      <c r="AC127" s="55"/>
      <c r="AD127" s="55"/>
      <c r="AF127" s="55"/>
      <c r="AG127" s="56"/>
      <c r="AU127" s="55"/>
    </row>
    <row r="128" spans="1:48" s="13" customFormat="1" ht="16.5" hidden="1" thickBot="1" x14ac:dyDescent="0.3">
      <c r="A128" s="5"/>
      <c r="B128" s="6"/>
      <c r="C128" s="6"/>
      <c r="D128" s="6"/>
      <c r="E128" s="6"/>
      <c r="F128" s="6"/>
      <c r="G128" s="17">
        <v>2010</v>
      </c>
      <c r="H128" s="17">
        <v>0</v>
      </c>
      <c r="I128" s="17">
        <v>0</v>
      </c>
      <c r="J128" s="17">
        <v>0</v>
      </c>
      <c r="K128" s="18">
        <v>0</v>
      </c>
      <c r="L128" s="17">
        <v>0</v>
      </c>
      <c r="M128" s="17">
        <v>0</v>
      </c>
      <c r="N128" s="18">
        <v>0</v>
      </c>
      <c r="O128" s="18">
        <v>0</v>
      </c>
      <c r="P128" s="17">
        <v>0</v>
      </c>
      <c r="Q128" s="18">
        <v>0</v>
      </c>
      <c r="R128" s="18">
        <v>0</v>
      </c>
      <c r="S128" s="18">
        <v>0</v>
      </c>
      <c r="T128" s="17">
        <v>0</v>
      </c>
      <c r="U128" s="18">
        <v>0</v>
      </c>
      <c r="V128" s="17"/>
      <c r="W128" s="17"/>
      <c r="X128" s="17"/>
      <c r="Y128" s="17"/>
      <c r="Z128" s="19"/>
      <c r="AA128" s="18"/>
      <c r="AB128" s="17"/>
      <c r="AC128" s="18"/>
      <c r="AD128" s="18"/>
      <c r="AE128" s="17"/>
      <c r="AF128" s="18"/>
      <c r="AG128" s="19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8"/>
      <c r="AV128" s="17"/>
    </row>
    <row r="129" spans="1:48" s="13" customFormat="1" ht="15.75" x14ac:dyDescent="0.25">
      <c r="A129" s="5"/>
      <c r="B129" s="6"/>
      <c r="C129" s="6"/>
      <c r="D129" s="6" t="s">
        <v>120</v>
      </c>
      <c r="E129" s="6"/>
      <c r="F129" s="6"/>
      <c r="G129" s="23">
        <v>1204</v>
      </c>
      <c r="H129" s="23">
        <v>1683</v>
      </c>
      <c r="I129" s="23">
        <v>1454</v>
      </c>
      <c r="J129" s="23">
        <v>509</v>
      </c>
      <c r="K129" s="24">
        <v>1398</v>
      </c>
      <c r="L129" s="23"/>
      <c r="M129" s="23">
        <v>297</v>
      </c>
      <c r="N129" s="24">
        <v>1331</v>
      </c>
      <c r="O129" s="24">
        <v>1961</v>
      </c>
      <c r="P129" s="23">
        <v>1181</v>
      </c>
      <c r="Q129" s="24">
        <v>4147</v>
      </c>
      <c r="R129" s="24">
        <v>1616</v>
      </c>
      <c r="S129" s="24">
        <v>1451</v>
      </c>
      <c r="T129" s="23">
        <v>1504</v>
      </c>
      <c r="U129" s="24">
        <v>1136</v>
      </c>
      <c r="V129" s="23">
        <v>1308</v>
      </c>
      <c r="W129" s="23">
        <v>945</v>
      </c>
      <c r="X129" s="23">
        <v>989</v>
      </c>
      <c r="Y129" s="23">
        <v>136</v>
      </c>
      <c r="Z129" s="25">
        <v>15620</v>
      </c>
      <c r="AA129" s="24">
        <v>3776</v>
      </c>
      <c r="AB129" s="23">
        <v>130</v>
      </c>
      <c r="AC129" s="24"/>
      <c r="AD129" s="24"/>
      <c r="AE129" s="23">
        <v>1358</v>
      </c>
      <c r="AF129" s="24">
        <v>239</v>
      </c>
      <c r="AG129" s="25">
        <v>4697</v>
      </c>
      <c r="AH129" s="23">
        <v>555</v>
      </c>
      <c r="AI129" s="23">
        <v>524</v>
      </c>
      <c r="AJ129" s="23">
        <v>1480</v>
      </c>
      <c r="AK129" s="23">
        <v>1719</v>
      </c>
      <c r="AL129" s="23">
        <v>722</v>
      </c>
      <c r="AM129" s="23">
        <v>165</v>
      </c>
      <c r="AN129" s="23">
        <v>755</v>
      </c>
      <c r="AO129" s="23">
        <v>612</v>
      </c>
      <c r="AP129" s="23">
        <v>1324</v>
      </c>
      <c r="AQ129" s="23">
        <v>949</v>
      </c>
      <c r="AR129" s="23">
        <v>9883</v>
      </c>
      <c r="AS129" s="23">
        <v>1275</v>
      </c>
      <c r="AT129" s="23">
        <v>204</v>
      </c>
      <c r="AU129" s="24">
        <v>1624</v>
      </c>
      <c r="AV129" s="23">
        <v>963</v>
      </c>
    </row>
    <row r="130" spans="1:48" s="13" customFormat="1" ht="15.75" x14ac:dyDescent="0.25">
      <c r="A130" s="5"/>
      <c r="B130" s="6"/>
      <c r="C130" s="6"/>
      <c r="D130" s="6" t="s">
        <v>121</v>
      </c>
      <c r="E130" s="14"/>
      <c r="F130" s="6"/>
      <c r="G130" s="23"/>
      <c r="H130" s="23">
        <v>283</v>
      </c>
      <c r="I130" s="23">
        <v>330</v>
      </c>
      <c r="J130" s="23">
        <v>333</v>
      </c>
      <c r="K130" s="24"/>
      <c r="L130" s="23"/>
      <c r="M130" s="23"/>
      <c r="N130" s="24"/>
      <c r="O130" s="24"/>
      <c r="P130" s="23">
        <v>82</v>
      </c>
      <c r="Q130" s="24"/>
      <c r="R130" s="24"/>
      <c r="S130" s="24"/>
      <c r="T130" s="23"/>
      <c r="U130" s="24"/>
      <c r="V130" s="23">
        <v>57</v>
      </c>
      <c r="W130" s="23"/>
      <c r="X130" s="23"/>
      <c r="Y130" s="23">
        <v>447</v>
      </c>
      <c r="Z130" s="25">
        <v>2114</v>
      </c>
      <c r="AA130" s="24"/>
      <c r="AB130" s="23"/>
      <c r="AC130" s="24"/>
      <c r="AD130" s="24"/>
      <c r="AE130" s="23"/>
      <c r="AF130" s="24">
        <v>122</v>
      </c>
      <c r="AG130" s="25"/>
      <c r="AH130" s="23">
        <v>123</v>
      </c>
      <c r="AI130" s="23"/>
      <c r="AJ130" s="23"/>
      <c r="AK130" s="23">
        <v>388</v>
      </c>
      <c r="AL130" s="23"/>
      <c r="AM130" s="23"/>
      <c r="AN130" s="23"/>
      <c r="AO130" s="23"/>
      <c r="AP130" s="23">
        <v>164</v>
      </c>
      <c r="AQ130" s="23"/>
      <c r="AR130" s="23">
        <v>696</v>
      </c>
      <c r="AS130" s="23"/>
      <c r="AT130" s="23">
        <v>159</v>
      </c>
      <c r="AU130" s="24"/>
      <c r="AV130" s="23"/>
    </row>
    <row r="131" spans="1:48" s="13" customFormat="1" ht="15.75" x14ac:dyDescent="0.25">
      <c r="A131" s="5"/>
      <c r="B131" s="6"/>
      <c r="C131" s="6"/>
      <c r="D131" s="6" t="s">
        <v>122</v>
      </c>
      <c r="E131" s="14"/>
      <c r="F131" s="6"/>
      <c r="G131" s="23">
        <v>130</v>
      </c>
      <c r="H131" s="23">
        <v>154</v>
      </c>
      <c r="I131" s="23">
        <v>161</v>
      </c>
      <c r="J131" s="23">
        <v>107</v>
      </c>
      <c r="K131" s="24">
        <v>131</v>
      </c>
      <c r="L131" s="23"/>
      <c r="M131" s="23">
        <v>175</v>
      </c>
      <c r="N131" s="24">
        <v>115</v>
      </c>
      <c r="O131" s="24">
        <v>159</v>
      </c>
      <c r="P131" s="23">
        <v>135</v>
      </c>
      <c r="Q131" s="24"/>
      <c r="R131" s="24">
        <v>116</v>
      </c>
      <c r="S131" s="24">
        <v>132</v>
      </c>
      <c r="T131" s="23">
        <v>375</v>
      </c>
      <c r="U131" s="24">
        <v>114</v>
      </c>
      <c r="V131" s="23">
        <v>46</v>
      </c>
      <c r="W131" s="23">
        <v>189</v>
      </c>
      <c r="X131" s="23">
        <v>201</v>
      </c>
      <c r="Y131" s="23">
        <v>25</v>
      </c>
      <c r="Z131" s="25">
        <v>630</v>
      </c>
      <c r="AA131" s="24">
        <v>237</v>
      </c>
      <c r="AB131" s="23">
        <v>10</v>
      </c>
      <c r="AC131" s="24"/>
      <c r="AD131" s="24"/>
      <c r="AE131" s="23">
        <v>428</v>
      </c>
      <c r="AF131" s="24">
        <v>60</v>
      </c>
      <c r="AG131" s="25">
        <v>141</v>
      </c>
      <c r="AH131" s="23">
        <v>56</v>
      </c>
      <c r="AI131" s="23">
        <v>448</v>
      </c>
      <c r="AJ131" s="23">
        <v>92</v>
      </c>
      <c r="AK131" s="23">
        <v>61</v>
      </c>
      <c r="AL131" s="23">
        <v>60</v>
      </c>
      <c r="AM131" s="23">
        <v>247</v>
      </c>
      <c r="AN131" s="23">
        <v>45</v>
      </c>
      <c r="AO131" s="23">
        <v>202</v>
      </c>
      <c r="AP131" s="23">
        <v>35</v>
      </c>
      <c r="AQ131" s="23">
        <v>48</v>
      </c>
      <c r="AR131" s="23">
        <v>296</v>
      </c>
      <c r="AS131" s="23">
        <v>148</v>
      </c>
      <c r="AT131" s="23">
        <v>71</v>
      </c>
      <c r="AU131" s="24">
        <v>171</v>
      </c>
      <c r="AV131" s="23">
        <v>64</v>
      </c>
    </row>
    <row r="132" spans="1:48" s="13" customFormat="1" ht="15.75" x14ac:dyDescent="0.25">
      <c r="A132" s="5"/>
      <c r="B132" s="6"/>
      <c r="C132" s="6"/>
      <c r="D132" s="6" t="s">
        <v>123</v>
      </c>
      <c r="E132" s="14"/>
      <c r="F132" s="6"/>
      <c r="G132" s="23">
        <v>60</v>
      </c>
      <c r="H132" s="23"/>
      <c r="I132" s="23"/>
      <c r="J132" s="23">
        <v>122</v>
      </c>
      <c r="K132" s="24">
        <v>226</v>
      </c>
      <c r="L132" s="23"/>
      <c r="M132" s="23">
        <v>56</v>
      </c>
      <c r="N132" s="24">
        <v>312</v>
      </c>
      <c r="O132" s="24"/>
      <c r="P132" s="23">
        <v>287</v>
      </c>
      <c r="Q132" s="24">
        <v>1471</v>
      </c>
      <c r="R132" s="24">
        <v>111</v>
      </c>
      <c r="S132" s="24">
        <v>186</v>
      </c>
      <c r="T132" s="23">
        <v>164</v>
      </c>
      <c r="U132" s="24">
        <v>271</v>
      </c>
      <c r="V132" s="23">
        <v>572</v>
      </c>
      <c r="W132" s="23">
        <v>183</v>
      </c>
      <c r="X132" s="23">
        <v>83</v>
      </c>
      <c r="Y132" s="23">
        <v>135</v>
      </c>
      <c r="Z132" s="25">
        <v>1022</v>
      </c>
      <c r="AA132" s="24">
        <v>428</v>
      </c>
      <c r="AB132" s="23">
        <v>73</v>
      </c>
      <c r="AC132" s="24"/>
      <c r="AD132" s="24"/>
      <c r="AE132" s="23">
        <v>123</v>
      </c>
      <c r="AF132" s="24">
        <v>122</v>
      </c>
      <c r="AG132" s="25">
        <v>270</v>
      </c>
      <c r="AH132" s="23">
        <v>94</v>
      </c>
      <c r="AI132" s="23">
        <v>147</v>
      </c>
      <c r="AJ132" s="23">
        <v>166</v>
      </c>
      <c r="AK132" s="23">
        <v>64</v>
      </c>
      <c r="AL132" s="23">
        <v>202</v>
      </c>
      <c r="AM132" s="23">
        <v>24</v>
      </c>
      <c r="AN132" s="23">
        <v>157</v>
      </c>
      <c r="AO132" s="23">
        <v>81</v>
      </c>
      <c r="AP132" s="23">
        <v>81</v>
      </c>
      <c r="AQ132" s="23">
        <v>169</v>
      </c>
      <c r="AR132" s="23">
        <v>760</v>
      </c>
      <c r="AS132" s="23">
        <v>2178</v>
      </c>
      <c r="AT132" s="23">
        <v>92</v>
      </c>
      <c r="AU132" s="24">
        <v>469</v>
      </c>
      <c r="AV132" s="23"/>
    </row>
    <row r="133" spans="1:48" s="13" customFormat="1" ht="15.75" x14ac:dyDescent="0.25">
      <c r="A133" s="5"/>
      <c r="B133" s="6"/>
      <c r="C133" s="6"/>
      <c r="D133" s="6" t="s">
        <v>59</v>
      </c>
      <c r="E133" s="14"/>
      <c r="F133" s="6"/>
      <c r="G133" s="23">
        <v>178</v>
      </c>
      <c r="H133" s="23">
        <v>5</v>
      </c>
      <c r="I133" s="23">
        <v>237</v>
      </c>
      <c r="J133" s="23">
        <v>36</v>
      </c>
      <c r="K133" s="24">
        <v>50</v>
      </c>
      <c r="L133" s="23"/>
      <c r="M133" s="23">
        <v>19</v>
      </c>
      <c r="N133" s="24"/>
      <c r="O133" s="24">
        <v>51</v>
      </c>
      <c r="P133" s="23">
        <v>22</v>
      </c>
      <c r="Q133" s="24">
        <v>1189</v>
      </c>
      <c r="R133" s="24"/>
      <c r="S133" s="24">
        <v>217</v>
      </c>
      <c r="T133" s="23"/>
      <c r="U133" s="24">
        <v>35</v>
      </c>
      <c r="V133" s="23">
        <v>52</v>
      </c>
      <c r="W133" s="23">
        <v>54</v>
      </c>
      <c r="X133" s="23">
        <v>54</v>
      </c>
      <c r="Y133" s="23">
        <v>9</v>
      </c>
      <c r="Z133" s="25">
        <v>1419</v>
      </c>
      <c r="AA133" s="24">
        <v>661</v>
      </c>
      <c r="AB133" s="23">
        <v>8</v>
      </c>
      <c r="AC133" s="24"/>
      <c r="AD133" s="24"/>
      <c r="AE133" s="23">
        <v>160</v>
      </c>
      <c r="AF133" s="24">
        <v>21</v>
      </c>
      <c r="AG133" s="25">
        <v>326</v>
      </c>
      <c r="AH133" s="23"/>
      <c r="AI133" s="23">
        <v>16</v>
      </c>
      <c r="AJ133" s="23"/>
      <c r="AK133" s="23">
        <v>36</v>
      </c>
      <c r="AL133" s="23">
        <v>86</v>
      </c>
      <c r="AM133" s="23">
        <v>10</v>
      </c>
      <c r="AN133" s="23"/>
      <c r="AO133" s="23">
        <v>84</v>
      </c>
      <c r="AP133" s="23">
        <v>35</v>
      </c>
      <c r="AQ133" s="23"/>
      <c r="AR133" s="23">
        <v>137</v>
      </c>
      <c r="AS133" s="23"/>
      <c r="AT133" s="23">
        <v>20</v>
      </c>
      <c r="AU133" s="24">
        <v>82</v>
      </c>
      <c r="AV133" s="23">
        <v>52</v>
      </c>
    </row>
    <row r="134" spans="1:48" s="13" customFormat="1" ht="15.75" x14ac:dyDescent="0.25">
      <c r="A134" s="5"/>
      <c r="B134" s="6"/>
      <c r="C134" s="6"/>
      <c r="D134" s="6" t="s">
        <v>124</v>
      </c>
      <c r="E134" s="14"/>
      <c r="F134" s="6"/>
      <c r="G134" s="23">
        <v>12</v>
      </c>
      <c r="H134" s="23">
        <v>8</v>
      </c>
      <c r="I134" s="23"/>
      <c r="J134" s="23">
        <v>27</v>
      </c>
      <c r="K134" s="24"/>
      <c r="L134" s="23"/>
      <c r="M134" s="23">
        <v>24</v>
      </c>
      <c r="N134" s="24">
        <v>97</v>
      </c>
      <c r="O134" s="24">
        <v>169</v>
      </c>
      <c r="P134" s="23">
        <v>100</v>
      </c>
      <c r="Q134" s="24">
        <v>426</v>
      </c>
      <c r="R134" s="24">
        <v>60</v>
      </c>
      <c r="S134" s="24">
        <v>112</v>
      </c>
      <c r="T134" s="23">
        <v>89</v>
      </c>
      <c r="U134" s="24">
        <v>106</v>
      </c>
      <c r="V134" s="23">
        <v>116</v>
      </c>
      <c r="W134" s="23">
        <v>18</v>
      </c>
      <c r="X134" s="23">
        <v>38</v>
      </c>
      <c r="Y134" s="23"/>
      <c r="Z134" s="25">
        <v>232</v>
      </c>
      <c r="AA134" s="24">
        <v>123</v>
      </c>
      <c r="AB134" s="23"/>
      <c r="AC134" s="24"/>
      <c r="AD134" s="24"/>
      <c r="AE134" s="23">
        <v>43</v>
      </c>
      <c r="AF134" s="24">
        <v>45</v>
      </c>
      <c r="AG134" s="25">
        <v>92</v>
      </c>
      <c r="AH134" s="23"/>
      <c r="AI134" s="23">
        <v>24</v>
      </c>
      <c r="AJ134" s="23"/>
      <c r="AK134" s="23">
        <v>103</v>
      </c>
      <c r="AL134" s="23">
        <v>25</v>
      </c>
      <c r="AM134" s="23">
        <v>12</v>
      </c>
      <c r="AN134" s="23">
        <v>27</v>
      </c>
      <c r="AO134" s="23">
        <v>22</v>
      </c>
      <c r="AP134" s="23">
        <v>19</v>
      </c>
      <c r="AQ134" s="23">
        <v>74</v>
      </c>
      <c r="AR134" s="23">
        <v>240</v>
      </c>
      <c r="AS134" s="23">
        <v>54</v>
      </c>
      <c r="AT134" s="23"/>
      <c r="AU134" s="24">
        <v>79</v>
      </c>
      <c r="AV134" s="23">
        <v>16</v>
      </c>
    </row>
    <row r="135" spans="1:48" s="13" customFormat="1" ht="15.75" x14ac:dyDescent="0.25">
      <c r="A135" s="5"/>
      <c r="B135" s="6"/>
      <c r="C135" s="6"/>
      <c r="D135" s="6" t="s">
        <v>125</v>
      </c>
      <c r="E135" s="6"/>
      <c r="F135" s="6"/>
      <c r="G135" s="23">
        <v>23</v>
      </c>
      <c r="H135" s="23">
        <v>119</v>
      </c>
      <c r="I135" s="23">
        <v>1073</v>
      </c>
      <c r="J135" s="23">
        <v>181</v>
      </c>
      <c r="K135" s="24">
        <v>60</v>
      </c>
      <c r="L135" s="23"/>
      <c r="M135" s="23">
        <v>31</v>
      </c>
      <c r="N135" s="24">
        <v>349</v>
      </c>
      <c r="O135" s="24">
        <v>233</v>
      </c>
      <c r="P135" s="23">
        <v>78</v>
      </c>
      <c r="Q135" s="24">
        <v>1986</v>
      </c>
      <c r="R135" s="24">
        <v>175</v>
      </c>
      <c r="S135" s="24">
        <v>234</v>
      </c>
      <c r="T135" s="23">
        <v>51</v>
      </c>
      <c r="U135" s="24">
        <v>190</v>
      </c>
      <c r="V135" s="23">
        <v>123</v>
      </c>
      <c r="W135" s="23">
        <v>14</v>
      </c>
      <c r="X135" s="23">
        <v>117</v>
      </c>
      <c r="Y135" s="23">
        <v>11</v>
      </c>
      <c r="Z135" s="25">
        <v>3190</v>
      </c>
      <c r="AA135" s="24">
        <v>201</v>
      </c>
      <c r="AB135" s="23">
        <v>6</v>
      </c>
      <c r="AC135" s="24"/>
      <c r="AD135" s="24"/>
      <c r="AE135" s="23"/>
      <c r="AF135" s="24">
        <v>48</v>
      </c>
      <c r="AG135" s="25">
        <v>95</v>
      </c>
      <c r="AH135" s="23">
        <v>65</v>
      </c>
      <c r="AI135" s="23">
        <v>84</v>
      </c>
      <c r="AJ135" s="23">
        <v>32</v>
      </c>
      <c r="AK135" s="23">
        <v>79</v>
      </c>
      <c r="AL135" s="23">
        <v>295</v>
      </c>
      <c r="AM135" s="23">
        <v>19</v>
      </c>
      <c r="AN135" s="23">
        <v>82</v>
      </c>
      <c r="AO135" s="23">
        <v>56</v>
      </c>
      <c r="AP135" s="23">
        <v>110</v>
      </c>
      <c r="AQ135" s="23">
        <v>131</v>
      </c>
      <c r="AR135" s="23">
        <v>246</v>
      </c>
      <c r="AS135" s="23">
        <v>254</v>
      </c>
      <c r="AT135" s="23">
        <v>46</v>
      </c>
      <c r="AU135" s="24">
        <v>168</v>
      </c>
      <c r="AV135" s="23"/>
    </row>
    <row r="136" spans="1:48" s="13" customFormat="1" ht="15.75" x14ac:dyDescent="0.25">
      <c r="A136" s="5"/>
      <c r="B136" s="6"/>
      <c r="C136" s="6"/>
      <c r="D136" s="6" t="s">
        <v>126</v>
      </c>
      <c r="E136" s="6"/>
      <c r="F136" s="6"/>
      <c r="G136" s="23">
        <v>34</v>
      </c>
      <c r="H136" s="23">
        <v>14</v>
      </c>
      <c r="I136" s="23">
        <v>76</v>
      </c>
      <c r="J136" s="23">
        <v>2</v>
      </c>
      <c r="K136" s="24">
        <v>91</v>
      </c>
      <c r="L136" s="23"/>
      <c r="M136" s="23">
        <v>23</v>
      </c>
      <c r="N136" s="24">
        <v>70</v>
      </c>
      <c r="O136" s="24">
        <v>367</v>
      </c>
      <c r="P136" s="23">
        <v>141</v>
      </c>
      <c r="Q136" s="24">
        <v>582</v>
      </c>
      <c r="R136" s="24">
        <v>78</v>
      </c>
      <c r="S136" s="24">
        <v>275</v>
      </c>
      <c r="T136" s="23">
        <v>101</v>
      </c>
      <c r="U136" s="24">
        <v>152</v>
      </c>
      <c r="V136" s="23">
        <v>92</v>
      </c>
      <c r="W136" s="23">
        <v>12</v>
      </c>
      <c r="X136" s="23">
        <v>62</v>
      </c>
      <c r="Y136" s="23">
        <v>1</v>
      </c>
      <c r="Z136" s="25">
        <v>9015</v>
      </c>
      <c r="AA136" s="24">
        <v>156</v>
      </c>
      <c r="AB136" s="23">
        <v>5</v>
      </c>
      <c r="AC136" s="24"/>
      <c r="AD136" s="24"/>
      <c r="AE136" s="23">
        <v>48</v>
      </c>
      <c r="AF136" s="24">
        <v>29</v>
      </c>
      <c r="AG136" s="25"/>
      <c r="AH136" s="23">
        <v>6</v>
      </c>
      <c r="AI136" s="23">
        <v>83</v>
      </c>
      <c r="AJ136" s="23">
        <v>124</v>
      </c>
      <c r="AK136" s="23">
        <v>116</v>
      </c>
      <c r="AL136" s="23">
        <v>65</v>
      </c>
      <c r="AM136" s="23">
        <v>14</v>
      </c>
      <c r="AN136" s="23">
        <v>40</v>
      </c>
      <c r="AO136" s="23">
        <v>42</v>
      </c>
      <c r="AP136" s="23">
        <v>64</v>
      </c>
      <c r="AQ136" s="23">
        <v>17</v>
      </c>
      <c r="AR136" s="23">
        <v>1513</v>
      </c>
      <c r="AS136" s="23">
        <v>52</v>
      </c>
      <c r="AT136" s="23"/>
      <c r="AU136" s="24">
        <v>83</v>
      </c>
      <c r="AV136" s="23">
        <v>68</v>
      </c>
    </row>
    <row r="137" spans="1:48" s="13" customFormat="1" ht="15.75" x14ac:dyDescent="0.25">
      <c r="A137" s="5"/>
      <c r="B137" s="6"/>
      <c r="C137" s="6"/>
      <c r="D137" s="6" t="s">
        <v>115</v>
      </c>
      <c r="E137" s="6"/>
      <c r="F137" s="6"/>
      <c r="G137" s="23"/>
      <c r="H137" s="23">
        <v>199</v>
      </c>
      <c r="I137" s="23"/>
      <c r="J137" s="23"/>
      <c r="K137" s="24"/>
      <c r="L137" s="23"/>
      <c r="M137" s="23"/>
      <c r="N137" s="24">
        <v>115</v>
      </c>
      <c r="O137" s="24">
        <v>173</v>
      </c>
      <c r="P137" s="23"/>
      <c r="Q137" s="24"/>
      <c r="R137" s="24"/>
      <c r="S137" s="24">
        <v>98</v>
      </c>
      <c r="T137" s="23">
        <v>640</v>
      </c>
      <c r="U137" s="24">
        <v>129</v>
      </c>
      <c r="V137" s="23"/>
      <c r="W137" s="23">
        <v>103</v>
      </c>
      <c r="X137" s="23">
        <v>230</v>
      </c>
      <c r="Y137" s="23"/>
      <c r="Z137" s="25">
        <v>1021</v>
      </c>
      <c r="AA137" s="24">
        <v>272</v>
      </c>
      <c r="AB137" s="23"/>
      <c r="AC137" s="24"/>
      <c r="AD137" s="24"/>
      <c r="AE137" s="23">
        <v>94</v>
      </c>
      <c r="AF137" s="24">
        <v>36</v>
      </c>
      <c r="AG137" s="25">
        <v>2347</v>
      </c>
      <c r="AH137" s="23">
        <v>169</v>
      </c>
      <c r="AI137" s="23"/>
      <c r="AJ137" s="23">
        <v>146</v>
      </c>
      <c r="AK137" s="23"/>
      <c r="AL137" s="23">
        <v>150</v>
      </c>
      <c r="AM137" s="23"/>
      <c r="AN137" s="23"/>
      <c r="AO137" s="23"/>
      <c r="AP137" s="23"/>
      <c r="AQ137" s="23"/>
      <c r="AR137" s="23">
        <v>3968</v>
      </c>
      <c r="AS137" s="23">
        <v>168</v>
      </c>
      <c r="AT137" s="23"/>
      <c r="AU137" s="24">
        <v>351</v>
      </c>
      <c r="AV137" s="23">
        <v>487</v>
      </c>
    </row>
    <row r="138" spans="1:48" s="13" customFormat="1" ht="15.75" x14ac:dyDescent="0.25">
      <c r="A138" s="5"/>
      <c r="B138" s="6"/>
      <c r="C138" s="6"/>
      <c r="D138" s="6" t="s">
        <v>127</v>
      </c>
      <c r="E138" s="6"/>
      <c r="F138" s="6"/>
      <c r="G138" s="23">
        <v>502</v>
      </c>
      <c r="H138" s="23">
        <v>53</v>
      </c>
      <c r="I138" s="23">
        <v>447</v>
      </c>
      <c r="J138" s="23">
        <v>237</v>
      </c>
      <c r="K138" s="24">
        <v>641</v>
      </c>
      <c r="L138" s="23"/>
      <c r="M138" s="23">
        <v>371</v>
      </c>
      <c r="N138" s="24">
        <v>376</v>
      </c>
      <c r="O138" s="24">
        <v>730</v>
      </c>
      <c r="P138" s="23">
        <v>395</v>
      </c>
      <c r="Q138" s="24">
        <v>2400</v>
      </c>
      <c r="R138" s="24">
        <v>395</v>
      </c>
      <c r="S138" s="24">
        <v>575</v>
      </c>
      <c r="T138" s="23">
        <v>1229</v>
      </c>
      <c r="U138" s="24">
        <v>786</v>
      </c>
      <c r="V138" s="23">
        <v>508</v>
      </c>
      <c r="W138" s="23">
        <v>877</v>
      </c>
      <c r="X138" s="23">
        <v>333</v>
      </c>
      <c r="Y138" s="23">
        <v>206</v>
      </c>
      <c r="Z138" s="25">
        <v>3972</v>
      </c>
      <c r="AA138" s="24">
        <v>616</v>
      </c>
      <c r="AB138" s="23">
        <v>120</v>
      </c>
      <c r="AC138" s="24"/>
      <c r="AD138" s="24"/>
      <c r="AE138" s="23">
        <v>503</v>
      </c>
      <c r="AF138" s="24">
        <v>783</v>
      </c>
      <c r="AG138" s="25">
        <v>1676</v>
      </c>
      <c r="AH138" s="23">
        <v>180</v>
      </c>
      <c r="AI138" s="23">
        <v>373</v>
      </c>
      <c r="AJ138" s="23">
        <v>51</v>
      </c>
      <c r="AK138" s="23">
        <v>132</v>
      </c>
      <c r="AL138" s="23">
        <v>591</v>
      </c>
      <c r="AM138" s="23">
        <v>475</v>
      </c>
      <c r="AN138" s="23">
        <v>456</v>
      </c>
      <c r="AO138" s="23">
        <v>339</v>
      </c>
      <c r="AP138" s="23">
        <v>337</v>
      </c>
      <c r="AQ138" s="23">
        <v>685</v>
      </c>
      <c r="AR138" s="23">
        <v>1606</v>
      </c>
      <c r="AS138" s="23">
        <v>1047</v>
      </c>
      <c r="AT138" s="23">
        <v>193</v>
      </c>
      <c r="AU138" s="24">
        <v>308</v>
      </c>
      <c r="AV138" s="23">
        <v>296</v>
      </c>
    </row>
    <row r="139" spans="1:48" s="13" customFormat="1" ht="15.75" x14ac:dyDescent="0.25">
      <c r="A139" s="5"/>
      <c r="B139" s="6"/>
      <c r="C139" s="6"/>
      <c r="D139" s="79" t="s">
        <v>128</v>
      </c>
      <c r="E139" s="38"/>
      <c r="F139" s="6"/>
      <c r="G139" s="23">
        <v>72</v>
      </c>
      <c r="H139" s="23"/>
      <c r="I139" s="23">
        <v>288</v>
      </c>
      <c r="J139" s="23">
        <v>48</v>
      </c>
      <c r="K139" s="24">
        <v>99</v>
      </c>
      <c r="L139" s="23"/>
      <c r="M139" s="23">
        <v>32</v>
      </c>
      <c r="N139" s="24">
        <v>93</v>
      </c>
      <c r="O139" s="24">
        <v>346</v>
      </c>
      <c r="P139" s="23">
        <v>102</v>
      </c>
      <c r="Q139" s="24">
        <v>19</v>
      </c>
      <c r="R139" s="24">
        <v>95</v>
      </c>
      <c r="S139" s="24"/>
      <c r="T139" s="23"/>
      <c r="U139" s="24">
        <v>102</v>
      </c>
      <c r="V139" s="23">
        <v>61</v>
      </c>
      <c r="W139" s="23">
        <v>76</v>
      </c>
      <c r="X139" s="23">
        <v>56</v>
      </c>
      <c r="Y139" s="23"/>
      <c r="Z139" s="25">
        <v>255</v>
      </c>
      <c r="AA139" s="24">
        <v>217</v>
      </c>
      <c r="AB139" s="23"/>
      <c r="AC139" s="24"/>
      <c r="AD139" s="24"/>
      <c r="AE139" s="23">
        <v>73</v>
      </c>
      <c r="AF139" s="24">
        <v>90</v>
      </c>
      <c r="AG139" s="25">
        <v>202</v>
      </c>
      <c r="AH139" s="23"/>
      <c r="AI139" s="23">
        <v>58</v>
      </c>
      <c r="AJ139" s="23">
        <v>17</v>
      </c>
      <c r="AK139" s="23">
        <v>221</v>
      </c>
      <c r="AL139" s="23">
        <v>129</v>
      </c>
      <c r="AM139" s="23">
        <v>27</v>
      </c>
      <c r="AN139" s="23">
        <v>137</v>
      </c>
      <c r="AO139" s="23">
        <v>80</v>
      </c>
      <c r="AP139" s="23">
        <v>46</v>
      </c>
      <c r="AQ139" s="23">
        <v>45</v>
      </c>
      <c r="AR139" s="23">
        <v>864</v>
      </c>
      <c r="AS139" s="23">
        <v>232</v>
      </c>
      <c r="AT139" s="23"/>
      <c r="AU139" s="24">
        <v>136</v>
      </c>
      <c r="AV139" s="23"/>
    </row>
    <row r="140" spans="1:48" s="13" customFormat="1" ht="15.75" x14ac:dyDescent="0.25">
      <c r="A140" s="5"/>
      <c r="B140" s="6"/>
      <c r="C140" s="6"/>
      <c r="D140" s="79" t="s">
        <v>129</v>
      </c>
      <c r="E140" s="38"/>
      <c r="F140" s="6"/>
      <c r="G140" s="26"/>
      <c r="H140" s="26"/>
      <c r="I140" s="26">
        <v>56</v>
      </c>
      <c r="J140" s="26">
        <v>120</v>
      </c>
      <c r="K140" s="27"/>
      <c r="L140" s="26"/>
      <c r="M140" s="26"/>
      <c r="N140" s="27">
        <v>120</v>
      </c>
      <c r="O140" s="27">
        <v>252</v>
      </c>
      <c r="P140" s="26">
        <v>156</v>
      </c>
      <c r="Q140" s="27">
        <v>720</v>
      </c>
      <c r="R140" s="27"/>
      <c r="S140" s="27">
        <v>350</v>
      </c>
      <c r="T140" s="26"/>
      <c r="U140" s="27">
        <v>32</v>
      </c>
      <c r="V140" s="26">
        <v>220</v>
      </c>
      <c r="W140" s="26"/>
      <c r="X140" s="26">
        <v>-42</v>
      </c>
      <c r="Y140" s="26"/>
      <c r="Z140" s="28"/>
      <c r="AA140" s="27">
        <v>300</v>
      </c>
      <c r="AB140" s="26">
        <v>60</v>
      </c>
      <c r="AC140" s="27"/>
      <c r="AD140" s="27"/>
      <c r="AE140" s="26"/>
      <c r="AF140" s="27">
        <v>63</v>
      </c>
      <c r="AG140" s="28"/>
      <c r="AH140" s="26"/>
      <c r="AI140" s="26">
        <v>43</v>
      </c>
      <c r="AJ140" s="26"/>
      <c r="AK140" s="26"/>
      <c r="AL140" s="26"/>
      <c r="AM140" s="26"/>
      <c r="AN140" s="26">
        <v>156</v>
      </c>
      <c r="AO140" s="26"/>
      <c r="AP140" s="26"/>
      <c r="AQ140" s="26"/>
      <c r="AR140" s="26"/>
      <c r="AS140" s="26">
        <v>180</v>
      </c>
      <c r="AT140" s="26"/>
      <c r="AU140" s="27">
        <v>220</v>
      </c>
      <c r="AV140" s="26"/>
    </row>
    <row r="141" spans="1:48" s="13" customFormat="1" ht="15.75" x14ac:dyDescent="0.25">
      <c r="A141" s="5"/>
      <c r="B141" s="6"/>
      <c r="C141" s="6"/>
      <c r="D141" s="79" t="s">
        <v>167</v>
      </c>
      <c r="E141" s="38"/>
      <c r="F141" s="6"/>
      <c r="G141" s="26"/>
      <c r="H141" s="26"/>
      <c r="I141" s="26"/>
      <c r="J141" s="26"/>
      <c r="K141" s="27"/>
      <c r="L141" s="26"/>
      <c r="M141" s="26"/>
      <c r="N141" s="27"/>
      <c r="O141" s="27">
        <v>99</v>
      </c>
      <c r="P141" s="26"/>
      <c r="Q141" s="27">
        <v>839</v>
      </c>
      <c r="R141" s="27"/>
      <c r="S141" s="27">
        <v>80</v>
      </c>
      <c r="T141" s="26"/>
      <c r="U141" s="27"/>
      <c r="V141" s="26"/>
      <c r="W141" s="26"/>
      <c r="X141" s="26"/>
      <c r="Y141" s="26"/>
      <c r="Z141" s="28"/>
      <c r="AA141" s="27"/>
      <c r="AB141" s="26"/>
      <c r="AC141" s="27"/>
      <c r="AD141" s="27"/>
      <c r="AE141" s="26"/>
      <c r="AF141" s="27"/>
      <c r="AG141" s="28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7">
        <v>90</v>
      </c>
      <c r="AV141" s="26"/>
    </row>
    <row r="142" spans="1:48" s="13" customFormat="1" ht="15.75" x14ac:dyDescent="0.25">
      <c r="A142" s="5"/>
      <c r="B142" s="6"/>
      <c r="C142" s="6"/>
      <c r="D142" s="79" t="s">
        <v>166</v>
      </c>
      <c r="E142" s="38"/>
      <c r="F142" s="6"/>
      <c r="G142" s="26">
        <v>32</v>
      </c>
      <c r="H142" s="26">
        <v>39</v>
      </c>
      <c r="I142" s="26">
        <v>22</v>
      </c>
      <c r="J142" s="26">
        <v>191</v>
      </c>
      <c r="K142" s="27">
        <v>163</v>
      </c>
      <c r="L142" s="26"/>
      <c r="M142" s="26"/>
      <c r="N142" s="27">
        <v>123</v>
      </c>
      <c r="O142" s="27">
        <v>137</v>
      </c>
      <c r="P142" s="26"/>
      <c r="Q142" s="27"/>
      <c r="R142" s="27">
        <v>55</v>
      </c>
      <c r="S142" s="27"/>
      <c r="T142" s="26"/>
      <c r="U142" s="27">
        <v>91</v>
      </c>
      <c r="V142" s="26">
        <v>262</v>
      </c>
      <c r="W142" s="26"/>
      <c r="X142" s="26"/>
      <c r="Y142" s="26"/>
      <c r="Z142" s="28"/>
      <c r="AA142" s="27">
        <v>105</v>
      </c>
      <c r="AB142" s="26">
        <v>11</v>
      </c>
      <c r="AC142" s="27"/>
      <c r="AD142" s="27"/>
      <c r="AE142" s="26"/>
      <c r="AF142" s="27">
        <v>77</v>
      </c>
      <c r="AG142" s="28"/>
      <c r="AH142" s="26"/>
      <c r="AI142" s="26"/>
      <c r="AJ142" s="26">
        <v>110</v>
      </c>
      <c r="AK142" s="26">
        <v>111</v>
      </c>
      <c r="AL142" s="26">
        <v>141</v>
      </c>
      <c r="AM142" s="26"/>
      <c r="AN142" s="26">
        <v>70</v>
      </c>
      <c r="AO142" s="26"/>
      <c r="AP142" s="26">
        <v>88</v>
      </c>
      <c r="AQ142" s="26">
        <v>216</v>
      </c>
      <c r="AR142" s="26">
        <v>855</v>
      </c>
      <c r="AS142" s="26"/>
      <c r="AT142" s="26"/>
      <c r="AU142" s="27">
        <v>65</v>
      </c>
      <c r="AV142" s="26"/>
    </row>
    <row r="143" spans="1:48" s="13" customFormat="1" ht="15.75" x14ac:dyDescent="0.25">
      <c r="A143" s="5"/>
      <c r="B143" s="6"/>
      <c r="C143" s="6"/>
      <c r="D143" s="79" t="s">
        <v>168</v>
      </c>
      <c r="E143" s="38"/>
      <c r="F143" s="6"/>
      <c r="G143" s="26">
        <v>14</v>
      </c>
      <c r="H143" s="26">
        <v>22</v>
      </c>
      <c r="I143" s="26"/>
      <c r="J143" s="26">
        <v>5</v>
      </c>
      <c r="K143" s="27"/>
      <c r="L143" s="26"/>
      <c r="M143" s="26"/>
      <c r="N143" s="27">
        <v>61</v>
      </c>
      <c r="O143" s="27">
        <v>77</v>
      </c>
      <c r="P143" s="26"/>
      <c r="Q143" s="27"/>
      <c r="R143" s="27"/>
      <c r="S143" s="27"/>
      <c r="T143" s="26"/>
      <c r="U143" s="27"/>
      <c r="V143" s="26">
        <v>78</v>
      </c>
      <c r="W143" s="26"/>
      <c r="X143" s="26"/>
      <c r="Y143" s="26"/>
      <c r="Z143" s="28"/>
      <c r="AA143" s="27"/>
      <c r="AB143" s="26">
        <v>8</v>
      </c>
      <c r="AC143" s="27"/>
      <c r="AD143" s="27"/>
      <c r="AE143" s="26"/>
      <c r="AF143" s="27">
        <v>19</v>
      </c>
      <c r="AG143" s="28"/>
      <c r="AH143" s="26">
        <v>7</v>
      </c>
      <c r="AI143" s="26"/>
      <c r="AJ143" s="26"/>
      <c r="AK143" s="26">
        <v>20</v>
      </c>
      <c r="AL143" s="26"/>
      <c r="AM143" s="26"/>
      <c r="AN143" s="26"/>
      <c r="AO143" s="26"/>
      <c r="AP143" s="26">
        <v>13</v>
      </c>
      <c r="AQ143" s="26"/>
      <c r="AR143" s="26"/>
      <c r="AS143" s="26"/>
      <c r="AT143" s="26"/>
      <c r="AU143" s="27"/>
      <c r="AV143" s="26"/>
    </row>
    <row r="144" spans="1:48" s="13" customFormat="1" ht="15.75" x14ac:dyDescent="0.25">
      <c r="A144" s="5"/>
      <c r="B144" s="6"/>
      <c r="C144" s="6"/>
      <c r="D144" s="79" t="s">
        <v>130</v>
      </c>
      <c r="E144" s="38"/>
      <c r="F144" s="6"/>
      <c r="G144" s="26"/>
      <c r="H144" s="26">
        <v>39</v>
      </c>
      <c r="I144" s="26"/>
      <c r="J144" s="26"/>
      <c r="K144" s="27"/>
      <c r="L144" s="26"/>
      <c r="M144" s="26"/>
      <c r="N144" s="27"/>
      <c r="O144" s="27">
        <v>205</v>
      </c>
      <c r="P144" s="26"/>
      <c r="Q144" s="27"/>
      <c r="R144" s="27">
        <v>161</v>
      </c>
      <c r="S144" s="27"/>
      <c r="T144" s="26"/>
      <c r="U144" s="27"/>
      <c r="V144" s="26"/>
      <c r="W144" s="26"/>
      <c r="X144" s="26"/>
      <c r="Y144" s="26"/>
      <c r="Z144" s="28"/>
      <c r="AA144" s="27"/>
      <c r="AB144" s="26"/>
      <c r="AC144" s="27"/>
      <c r="AD144" s="27"/>
      <c r="AE144" s="26"/>
      <c r="AF144" s="27"/>
      <c r="AG144" s="28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>
        <v>117</v>
      </c>
      <c r="AT144" s="26"/>
      <c r="AU144" s="27">
        <v>307</v>
      </c>
      <c r="AV144" s="26"/>
    </row>
    <row r="145" spans="1:48" s="13" customFormat="1" ht="15.75" x14ac:dyDescent="0.25">
      <c r="A145" s="5"/>
      <c r="B145" s="6"/>
      <c r="C145" s="6"/>
      <c r="D145" s="79"/>
      <c r="E145" s="38"/>
      <c r="F145" s="6"/>
      <c r="G145" s="26"/>
      <c r="H145" s="26"/>
      <c r="I145" s="26"/>
      <c r="J145" s="26"/>
      <c r="K145" s="27"/>
      <c r="L145" s="26"/>
      <c r="M145" s="26"/>
      <c r="N145" s="27"/>
      <c r="O145" s="27"/>
      <c r="P145" s="26"/>
      <c r="Q145" s="27"/>
      <c r="R145" s="27"/>
      <c r="S145" s="27"/>
      <c r="T145" s="26"/>
      <c r="U145" s="27"/>
      <c r="V145" s="26"/>
      <c r="W145" s="26"/>
      <c r="X145" s="26"/>
      <c r="Y145" s="26"/>
      <c r="Z145" s="28"/>
      <c r="AA145" s="27"/>
      <c r="AB145" s="26"/>
      <c r="AC145" s="27"/>
      <c r="AD145" s="27"/>
      <c r="AE145" s="26"/>
      <c r="AF145" s="27"/>
      <c r="AG145" s="28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7"/>
      <c r="AV145" s="26"/>
    </row>
    <row r="146" spans="1:48" s="13" customFormat="1" ht="15.75" x14ac:dyDescent="0.25">
      <c r="A146" s="5"/>
      <c r="B146" s="6"/>
      <c r="C146" s="6"/>
      <c r="D146" s="79"/>
      <c r="E146" s="38"/>
      <c r="F146" s="6"/>
      <c r="G146" s="26"/>
      <c r="H146" s="26"/>
      <c r="I146" s="26"/>
      <c r="J146" s="26"/>
      <c r="K146" s="27"/>
      <c r="L146" s="26"/>
      <c r="M146" s="26"/>
      <c r="N146" s="27"/>
      <c r="O146" s="27"/>
      <c r="P146" s="26"/>
      <c r="Q146" s="27"/>
      <c r="R146" s="27"/>
      <c r="S146" s="27"/>
      <c r="T146" s="26"/>
      <c r="U146" s="27"/>
      <c r="V146" s="26"/>
      <c r="W146" s="26"/>
      <c r="X146" s="26"/>
      <c r="Y146" s="26"/>
      <c r="Z146" s="28"/>
      <c r="AA146" s="27"/>
      <c r="AB146" s="26"/>
      <c r="AC146" s="27"/>
      <c r="AD146" s="27"/>
      <c r="AE146" s="26"/>
      <c r="AF146" s="27"/>
      <c r="AG146" s="28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7"/>
      <c r="AV146" s="26"/>
    </row>
    <row r="147" spans="1:48" s="13" customFormat="1" ht="15.75" x14ac:dyDescent="0.25">
      <c r="A147" s="5"/>
      <c r="B147" s="6"/>
      <c r="C147" s="6"/>
      <c r="D147" s="79"/>
      <c r="E147" s="38"/>
      <c r="F147" s="6"/>
      <c r="G147" s="26"/>
      <c r="H147" s="26"/>
      <c r="I147" s="26"/>
      <c r="J147" s="26"/>
      <c r="K147" s="27"/>
      <c r="L147" s="26"/>
      <c r="M147" s="26"/>
      <c r="N147" s="27"/>
      <c r="O147" s="27"/>
      <c r="P147" s="26"/>
      <c r="Q147" s="27"/>
      <c r="R147" s="27"/>
      <c r="S147" s="27"/>
      <c r="T147" s="26"/>
      <c r="U147" s="27"/>
      <c r="V147" s="26"/>
      <c r="W147" s="26"/>
      <c r="X147" s="26"/>
      <c r="Y147" s="26"/>
      <c r="Z147" s="28"/>
      <c r="AA147" s="27"/>
      <c r="AB147" s="26"/>
      <c r="AC147" s="27"/>
      <c r="AD147" s="27"/>
      <c r="AE147" s="26"/>
      <c r="AF147" s="27"/>
      <c r="AG147" s="28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7"/>
      <c r="AV147" s="26"/>
    </row>
    <row r="148" spans="1:48" s="13" customFormat="1" ht="16.5" thickBot="1" x14ac:dyDescent="0.3">
      <c r="A148" s="5"/>
      <c r="B148" s="6"/>
      <c r="C148" s="6"/>
      <c r="D148" s="6"/>
      <c r="E148" s="6"/>
      <c r="F148" s="6"/>
      <c r="G148" s="82">
        <f>SUM(G129:G146)</f>
        <v>2261</v>
      </c>
      <c r="H148" s="82">
        <f t="shared" ref="H148:AV148" si="11">SUM(H129:H146)</f>
        <v>2618</v>
      </c>
      <c r="I148" s="82">
        <f t="shared" si="11"/>
        <v>4144</v>
      </c>
      <c r="J148" s="82">
        <f t="shared" si="11"/>
        <v>1918</v>
      </c>
      <c r="K148" s="82">
        <f t="shared" si="11"/>
        <v>2859</v>
      </c>
      <c r="L148" s="82">
        <f t="shared" si="11"/>
        <v>0</v>
      </c>
      <c r="M148" s="82">
        <f t="shared" si="11"/>
        <v>1028</v>
      </c>
      <c r="N148" s="82">
        <f t="shared" si="11"/>
        <v>3162</v>
      </c>
      <c r="O148" s="82">
        <f t="shared" si="11"/>
        <v>4959</v>
      </c>
      <c r="P148" s="82">
        <f t="shared" si="11"/>
        <v>2679</v>
      </c>
      <c r="Q148" s="82">
        <f t="shared" si="11"/>
        <v>13779</v>
      </c>
      <c r="R148" s="82">
        <f t="shared" si="11"/>
        <v>2862</v>
      </c>
      <c r="S148" s="82">
        <f t="shared" si="11"/>
        <v>3710</v>
      </c>
      <c r="T148" s="82">
        <f t="shared" si="11"/>
        <v>4153</v>
      </c>
      <c r="U148" s="82">
        <f t="shared" si="11"/>
        <v>3144</v>
      </c>
      <c r="V148" s="82">
        <f t="shared" si="11"/>
        <v>3495</v>
      </c>
      <c r="W148" s="82">
        <f t="shared" si="11"/>
        <v>2471</v>
      </c>
      <c r="X148" s="82">
        <f t="shared" si="11"/>
        <v>2121</v>
      </c>
      <c r="Y148" s="82">
        <f t="shared" si="11"/>
        <v>970</v>
      </c>
      <c r="Z148" s="82">
        <f t="shared" si="11"/>
        <v>38490</v>
      </c>
      <c r="AA148" s="82">
        <f t="shared" si="11"/>
        <v>7092</v>
      </c>
      <c r="AB148" s="82">
        <f t="shared" si="11"/>
        <v>431</v>
      </c>
      <c r="AC148" s="82">
        <f t="shared" si="11"/>
        <v>0</v>
      </c>
      <c r="AD148" s="82">
        <f t="shared" si="11"/>
        <v>0</v>
      </c>
      <c r="AE148" s="82">
        <f t="shared" si="11"/>
        <v>2830</v>
      </c>
      <c r="AF148" s="82">
        <f t="shared" si="11"/>
        <v>1754</v>
      </c>
      <c r="AG148" s="82">
        <f t="shared" si="11"/>
        <v>9846</v>
      </c>
      <c r="AH148" s="82">
        <f t="shared" si="11"/>
        <v>1255</v>
      </c>
      <c r="AI148" s="82">
        <f t="shared" si="11"/>
        <v>1800</v>
      </c>
      <c r="AJ148" s="82">
        <f t="shared" si="11"/>
        <v>2218</v>
      </c>
      <c r="AK148" s="82">
        <f t="shared" si="11"/>
        <v>3050</v>
      </c>
      <c r="AL148" s="82">
        <f t="shared" si="11"/>
        <v>2466</v>
      </c>
      <c r="AM148" s="82">
        <f t="shared" si="11"/>
        <v>993</v>
      </c>
      <c r="AN148" s="82">
        <f t="shared" si="11"/>
        <v>1925</v>
      </c>
      <c r="AO148" s="82">
        <f t="shared" si="11"/>
        <v>1518</v>
      </c>
      <c r="AP148" s="82">
        <f t="shared" si="11"/>
        <v>2316</v>
      </c>
      <c r="AQ148" s="82">
        <f t="shared" si="11"/>
        <v>2334</v>
      </c>
      <c r="AR148" s="82">
        <f t="shared" si="11"/>
        <v>21064</v>
      </c>
      <c r="AS148" s="82">
        <f t="shared" si="11"/>
        <v>5705</v>
      </c>
      <c r="AT148" s="82">
        <f t="shared" si="11"/>
        <v>785</v>
      </c>
      <c r="AU148" s="82">
        <f t="shared" si="11"/>
        <v>4153</v>
      </c>
      <c r="AV148" s="82">
        <f t="shared" si="11"/>
        <v>1946</v>
      </c>
    </row>
    <row r="149" spans="1:48" s="13" customFormat="1" ht="16.5" thickTop="1" x14ac:dyDescent="0.25">
      <c r="A149" s="5"/>
      <c r="B149" s="6"/>
      <c r="C149" s="6"/>
      <c r="D149" s="6"/>
      <c r="E149" s="6"/>
      <c r="F149" s="6"/>
      <c r="G149" s="42"/>
      <c r="H149" s="42"/>
      <c r="I149" s="42"/>
      <c r="J149" s="42"/>
      <c r="K149" s="43"/>
      <c r="L149" s="42"/>
      <c r="M149" s="42"/>
      <c r="N149" s="43"/>
      <c r="O149" s="43"/>
      <c r="P149" s="42"/>
      <c r="Q149" s="43"/>
      <c r="R149" s="43"/>
      <c r="S149" s="43"/>
      <c r="T149" s="42"/>
      <c r="U149" s="43"/>
      <c r="V149" s="42"/>
      <c r="W149" s="42"/>
      <c r="X149" s="42"/>
      <c r="Y149" s="42"/>
      <c r="Z149" s="44"/>
      <c r="AA149" s="43"/>
      <c r="AB149" s="42"/>
      <c r="AC149" s="43"/>
      <c r="AD149" s="43"/>
      <c r="AE149" s="42"/>
      <c r="AF149" s="43"/>
      <c r="AG149" s="44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3"/>
      <c r="AV149" s="42"/>
    </row>
    <row r="150" spans="1:48" x14ac:dyDescent="0.2">
      <c r="D150" s="1" t="s">
        <v>131</v>
      </c>
      <c r="G150" s="1">
        <f>+(G25-G12-G14-G21)+(G68-G66-G65-G63)+(G123-G112)</f>
        <v>4768</v>
      </c>
      <c r="H150" s="1">
        <f t="shared" ref="H150:AV150" si="12">+(H25-H12-H14-H21)+(H68-H66-H65-H63)+(H123-H112)</f>
        <v>6012</v>
      </c>
      <c r="I150" s="1">
        <f t="shared" si="12"/>
        <v>18589</v>
      </c>
      <c r="J150" s="1">
        <f t="shared" si="12"/>
        <v>7391</v>
      </c>
      <c r="K150" s="2">
        <f t="shared" si="12"/>
        <v>9626</v>
      </c>
      <c r="L150" s="1">
        <f t="shared" si="12"/>
        <v>0</v>
      </c>
      <c r="M150" s="1">
        <f t="shared" si="12"/>
        <v>2802</v>
      </c>
      <c r="N150" s="2">
        <f t="shared" si="12"/>
        <v>5867</v>
      </c>
      <c r="O150" s="2">
        <f t="shared" si="12"/>
        <v>22151</v>
      </c>
      <c r="P150" s="1">
        <f t="shared" si="12"/>
        <v>4989</v>
      </c>
      <c r="Q150" s="2">
        <f t="shared" si="12"/>
        <v>22557</v>
      </c>
      <c r="R150" s="2">
        <f t="shared" si="12"/>
        <v>8700</v>
      </c>
      <c r="S150" s="2">
        <f t="shared" si="12"/>
        <v>25166</v>
      </c>
      <c r="T150" s="1">
        <f t="shared" si="12"/>
        <v>15142</v>
      </c>
      <c r="U150" s="2">
        <f t="shared" si="12"/>
        <v>9538</v>
      </c>
      <c r="V150" s="1">
        <f t="shared" si="12"/>
        <v>22542</v>
      </c>
      <c r="W150" s="1">
        <f t="shared" si="12"/>
        <v>11616</v>
      </c>
      <c r="X150" s="1">
        <f t="shared" si="12"/>
        <v>11708</v>
      </c>
      <c r="Y150" s="1">
        <f t="shared" si="12"/>
        <v>2295</v>
      </c>
      <c r="Z150" s="4">
        <f t="shared" si="12"/>
        <v>109882</v>
      </c>
      <c r="AA150" s="2">
        <f t="shared" si="12"/>
        <v>43618</v>
      </c>
      <c r="AB150" s="1">
        <f t="shared" si="12"/>
        <v>1397</v>
      </c>
      <c r="AC150" s="2">
        <f t="shared" si="12"/>
        <v>0</v>
      </c>
      <c r="AD150" s="2">
        <f t="shared" si="12"/>
        <v>0</v>
      </c>
      <c r="AE150" s="1">
        <f t="shared" si="12"/>
        <v>24694</v>
      </c>
      <c r="AF150" s="2">
        <f t="shared" si="12"/>
        <v>2801</v>
      </c>
      <c r="AG150" s="4">
        <f t="shared" si="12"/>
        <v>144627</v>
      </c>
      <c r="AH150" s="1">
        <f t="shared" si="12"/>
        <v>4121</v>
      </c>
      <c r="AI150" s="1">
        <f t="shared" si="12"/>
        <v>10743</v>
      </c>
      <c r="AJ150" s="1">
        <f t="shared" si="12"/>
        <v>5741</v>
      </c>
      <c r="AK150" s="1">
        <f t="shared" si="12"/>
        <v>7603</v>
      </c>
      <c r="AL150" s="1">
        <f t="shared" si="12"/>
        <v>5144</v>
      </c>
      <c r="AM150" s="1">
        <f t="shared" si="12"/>
        <v>7424</v>
      </c>
      <c r="AN150" s="1">
        <f t="shared" si="12"/>
        <v>6018</v>
      </c>
      <c r="AO150" s="1">
        <f t="shared" si="12"/>
        <v>2982</v>
      </c>
      <c r="AP150" s="1">
        <f t="shared" si="12"/>
        <v>24986</v>
      </c>
      <c r="AQ150" s="1">
        <f t="shared" si="12"/>
        <v>11791</v>
      </c>
      <c r="AR150" s="1">
        <f t="shared" si="12"/>
        <v>25349</v>
      </c>
      <c r="AS150" s="1">
        <f t="shared" si="12"/>
        <v>20909</v>
      </c>
      <c r="AT150" s="1">
        <f t="shared" si="12"/>
        <v>7048</v>
      </c>
      <c r="AU150" s="2">
        <f t="shared" si="12"/>
        <v>14126</v>
      </c>
      <c r="AV150" s="1">
        <f t="shared" si="12"/>
        <v>6267</v>
      </c>
    </row>
    <row r="152" spans="1:48" x14ac:dyDescent="0.2">
      <c r="D152" s="1" t="s">
        <v>132</v>
      </c>
      <c r="G152" s="1">
        <f>+(G25-G12-G14-G21)+(G123-G112)/2</f>
        <v>1715.5</v>
      </c>
      <c r="H152" s="1">
        <f t="shared" ref="H152:AV152" si="13">+(H25-H12-H14-H21)+(H123-H112)/2</f>
        <v>3841.5</v>
      </c>
      <c r="I152" s="1">
        <f t="shared" si="13"/>
        <v>17313.5</v>
      </c>
      <c r="J152" s="1">
        <f t="shared" si="13"/>
        <v>4304</v>
      </c>
      <c r="K152" s="2">
        <f t="shared" si="13"/>
        <v>6442</v>
      </c>
      <c r="L152" s="1">
        <f t="shared" si="13"/>
        <v>0</v>
      </c>
      <c r="M152" s="1">
        <f t="shared" si="13"/>
        <v>919.5</v>
      </c>
      <c r="N152" s="2">
        <f t="shared" si="13"/>
        <v>4686</v>
      </c>
      <c r="O152" s="2">
        <f t="shared" si="13"/>
        <v>12639.5</v>
      </c>
      <c r="P152" s="1">
        <f t="shared" si="13"/>
        <v>2753.5</v>
      </c>
      <c r="Q152" s="2">
        <f t="shared" si="13"/>
        <v>11834</v>
      </c>
      <c r="R152" s="2">
        <f t="shared" si="13"/>
        <v>3704.5</v>
      </c>
      <c r="S152" s="2">
        <f t="shared" si="13"/>
        <v>11949.5</v>
      </c>
      <c r="T152" s="1">
        <f t="shared" si="13"/>
        <v>7182</v>
      </c>
      <c r="U152" s="2">
        <f t="shared" si="13"/>
        <v>5046</v>
      </c>
      <c r="V152" s="1">
        <f t="shared" si="13"/>
        <v>6618.5</v>
      </c>
      <c r="W152" s="1">
        <f t="shared" si="13"/>
        <v>3610</v>
      </c>
      <c r="X152" s="1">
        <f t="shared" si="13"/>
        <v>9156.5</v>
      </c>
      <c r="Y152" s="1">
        <f t="shared" si="13"/>
        <v>1326</v>
      </c>
      <c r="Z152" s="4">
        <f t="shared" si="13"/>
        <v>60314</v>
      </c>
      <c r="AA152" s="2">
        <f t="shared" si="13"/>
        <v>28866</v>
      </c>
      <c r="AB152" s="1">
        <f t="shared" si="13"/>
        <v>881</v>
      </c>
      <c r="AC152" s="2">
        <f t="shared" si="13"/>
        <v>0</v>
      </c>
      <c r="AD152" s="2">
        <f t="shared" si="13"/>
        <v>0</v>
      </c>
      <c r="AE152" s="1">
        <f t="shared" si="13"/>
        <v>9508.5</v>
      </c>
      <c r="AF152" s="2">
        <f t="shared" si="13"/>
        <v>1863.5</v>
      </c>
      <c r="AG152" s="4">
        <f t="shared" si="13"/>
        <v>47775</v>
      </c>
      <c r="AH152" s="1">
        <f t="shared" si="13"/>
        <v>2404</v>
      </c>
      <c r="AI152" s="1">
        <f t="shared" si="13"/>
        <v>2937</v>
      </c>
      <c r="AJ152" s="1">
        <f t="shared" si="13"/>
        <v>2132.5</v>
      </c>
      <c r="AK152" s="1">
        <f t="shared" si="13"/>
        <v>4768.5</v>
      </c>
      <c r="AL152" s="1">
        <f t="shared" si="13"/>
        <v>1388</v>
      </c>
      <c r="AM152" s="1">
        <f t="shared" si="13"/>
        <v>4289</v>
      </c>
      <c r="AN152" s="1">
        <f t="shared" si="13"/>
        <v>3092</v>
      </c>
      <c r="AO152" s="1">
        <f t="shared" si="13"/>
        <v>1987</v>
      </c>
      <c r="AP152" s="1">
        <f t="shared" si="13"/>
        <v>7961</v>
      </c>
      <c r="AQ152" s="1">
        <f t="shared" si="13"/>
        <v>5388</v>
      </c>
      <c r="AR152" s="1">
        <f t="shared" si="13"/>
        <v>13303</v>
      </c>
      <c r="AS152" s="1">
        <f t="shared" si="13"/>
        <v>11470.5</v>
      </c>
      <c r="AT152" s="1">
        <f t="shared" si="13"/>
        <v>1588</v>
      </c>
      <c r="AU152" s="2">
        <f t="shared" si="13"/>
        <v>5221</v>
      </c>
      <c r="AV152" s="1">
        <f t="shared" si="13"/>
        <v>1610</v>
      </c>
    </row>
    <row r="154" spans="1:48" x14ac:dyDescent="0.2">
      <c r="D154" s="1" t="s">
        <v>133</v>
      </c>
      <c r="G154" s="1">
        <f t="shared" ref="G154:AV154" si="14">+(G68-G66-G65-G63)+(G123-G112)/2</f>
        <v>3052.5</v>
      </c>
      <c r="H154" s="1">
        <f t="shared" si="14"/>
        <v>2170.5</v>
      </c>
      <c r="I154" s="1">
        <f t="shared" si="14"/>
        <v>1275.5</v>
      </c>
      <c r="J154" s="1">
        <f t="shared" si="14"/>
        <v>3087</v>
      </c>
      <c r="K154" s="2">
        <f t="shared" si="14"/>
        <v>3184</v>
      </c>
      <c r="L154" s="1">
        <f t="shared" si="14"/>
        <v>0</v>
      </c>
      <c r="M154" s="1">
        <f t="shared" si="14"/>
        <v>1882.5</v>
      </c>
      <c r="N154" s="2">
        <f t="shared" si="14"/>
        <v>1181</v>
      </c>
      <c r="O154" s="2">
        <f t="shared" si="14"/>
        <v>9511.5</v>
      </c>
      <c r="P154" s="1">
        <f t="shared" si="14"/>
        <v>2235.5</v>
      </c>
      <c r="Q154" s="2">
        <f t="shared" si="14"/>
        <v>10723</v>
      </c>
      <c r="R154" s="2">
        <f t="shared" si="14"/>
        <v>4995.5</v>
      </c>
      <c r="S154" s="2">
        <f t="shared" si="14"/>
        <v>13216.5</v>
      </c>
      <c r="T154" s="1">
        <f t="shared" si="14"/>
        <v>7960</v>
      </c>
      <c r="U154" s="2">
        <f t="shared" si="14"/>
        <v>4492</v>
      </c>
      <c r="V154" s="1">
        <f t="shared" si="14"/>
        <v>15923.5</v>
      </c>
      <c r="W154" s="1">
        <f t="shared" si="14"/>
        <v>8006</v>
      </c>
      <c r="X154" s="1">
        <f t="shared" si="14"/>
        <v>2551.5</v>
      </c>
      <c r="Y154" s="1">
        <f t="shared" si="14"/>
        <v>969</v>
      </c>
      <c r="Z154" s="4">
        <f t="shared" si="14"/>
        <v>49568</v>
      </c>
      <c r="AA154" s="2">
        <f t="shared" si="14"/>
        <v>14752</v>
      </c>
      <c r="AB154" s="1">
        <f t="shared" si="14"/>
        <v>516</v>
      </c>
      <c r="AC154" s="2">
        <f t="shared" si="14"/>
        <v>0</v>
      </c>
      <c r="AD154" s="2">
        <f t="shared" si="14"/>
        <v>0</v>
      </c>
      <c r="AE154" s="1">
        <f t="shared" si="14"/>
        <v>15185.5</v>
      </c>
      <c r="AF154" s="2">
        <f t="shared" si="14"/>
        <v>937.5</v>
      </c>
      <c r="AG154" s="4">
        <f t="shared" si="14"/>
        <v>96852</v>
      </c>
      <c r="AH154" s="1">
        <f t="shared" si="14"/>
        <v>1717</v>
      </c>
      <c r="AI154" s="1">
        <f t="shared" si="14"/>
        <v>7806</v>
      </c>
      <c r="AJ154" s="1">
        <f t="shared" si="14"/>
        <v>3608.5</v>
      </c>
      <c r="AK154" s="1">
        <f t="shared" si="14"/>
        <v>2834.5</v>
      </c>
      <c r="AL154" s="1">
        <f t="shared" si="14"/>
        <v>3756</v>
      </c>
      <c r="AM154" s="1">
        <f t="shared" si="14"/>
        <v>3135</v>
      </c>
      <c r="AN154" s="1">
        <f t="shared" si="14"/>
        <v>2926</v>
      </c>
      <c r="AO154" s="1">
        <f t="shared" si="14"/>
        <v>995</v>
      </c>
      <c r="AP154" s="1">
        <f t="shared" si="14"/>
        <v>17025</v>
      </c>
      <c r="AQ154" s="1">
        <f t="shared" si="14"/>
        <v>6403</v>
      </c>
      <c r="AR154" s="1">
        <f t="shared" si="14"/>
        <v>12046</v>
      </c>
      <c r="AS154" s="1">
        <f t="shared" si="14"/>
        <v>9438.5</v>
      </c>
      <c r="AT154" s="1">
        <f t="shared" si="14"/>
        <v>5460</v>
      </c>
      <c r="AU154" s="2">
        <f t="shared" si="14"/>
        <v>8905</v>
      </c>
      <c r="AV154" s="1">
        <f t="shared" si="14"/>
        <v>4657</v>
      </c>
    </row>
    <row r="156" spans="1:48" x14ac:dyDescent="0.2">
      <c r="D156" s="1" t="s">
        <v>134</v>
      </c>
      <c r="G156" s="1">
        <f>+G152/G150*G148</f>
        <v>813.49528104026842</v>
      </c>
      <c r="H156" s="1">
        <f>+H152/H150*H148</f>
        <v>1672.8288423153695</v>
      </c>
      <c r="I156" s="1">
        <f t="shared" ref="I156:AV156" si="15">+I152/I150*I148</f>
        <v>3859.6559255473667</v>
      </c>
      <c r="J156" s="1">
        <f t="shared" si="15"/>
        <v>1116.9086727100528</v>
      </c>
      <c r="K156" s="2">
        <f t="shared" si="15"/>
        <v>1913.3261998753376</v>
      </c>
      <c r="L156" s="1" t="e">
        <f t="shared" si="15"/>
        <v>#DIV/0!</v>
      </c>
      <c r="M156" s="1">
        <f t="shared" si="15"/>
        <v>337.34689507494647</v>
      </c>
      <c r="N156" s="2">
        <f t="shared" si="15"/>
        <v>2525.5040054542355</v>
      </c>
      <c r="O156" s="2">
        <f t="shared" si="15"/>
        <v>2829.6366078280894</v>
      </c>
      <c r="P156" s="1">
        <f t="shared" si="15"/>
        <v>1478.5781719783524</v>
      </c>
      <c r="Q156" s="2">
        <f t="shared" si="15"/>
        <v>7228.8285676286732</v>
      </c>
      <c r="R156" s="2">
        <f t="shared" si="15"/>
        <v>1218.6527586206896</v>
      </c>
      <c r="S156" s="2">
        <f t="shared" si="15"/>
        <v>1761.6087181117382</v>
      </c>
      <c r="T156" s="1">
        <f t="shared" si="15"/>
        <v>1969.8088759741117</v>
      </c>
      <c r="U156" s="2">
        <f t="shared" si="15"/>
        <v>1663.3071922834974</v>
      </c>
      <c r="V156" s="1">
        <f t="shared" si="15"/>
        <v>1026.1581714133617</v>
      </c>
      <c r="W156" s="1">
        <f t="shared" si="15"/>
        <v>767.93302341597791</v>
      </c>
      <c r="X156" s="1">
        <f t="shared" si="15"/>
        <v>1658.7748975059787</v>
      </c>
      <c r="Y156" s="1">
        <f t="shared" si="15"/>
        <v>560.44444444444434</v>
      </c>
      <c r="Z156" s="4">
        <f t="shared" si="15"/>
        <v>21127.080504541238</v>
      </c>
      <c r="AA156" s="2">
        <f t="shared" si="15"/>
        <v>4693.421798340135</v>
      </c>
      <c r="AB156" s="1">
        <f t="shared" si="15"/>
        <v>271.80458124552615</v>
      </c>
      <c r="AC156" s="2" t="e">
        <f t="shared" si="15"/>
        <v>#DIV/0!</v>
      </c>
      <c r="AD156" s="2" t="e">
        <f t="shared" si="15"/>
        <v>#DIV/0!</v>
      </c>
      <c r="AE156" s="1">
        <f t="shared" si="15"/>
        <v>1089.7001295861344</v>
      </c>
      <c r="AF156" s="2">
        <f t="shared" si="15"/>
        <v>1166.9328811138878</v>
      </c>
      <c r="AG156" s="4">
        <f t="shared" si="15"/>
        <v>3252.45389864963</v>
      </c>
      <c r="AH156" s="1">
        <f t="shared" si="15"/>
        <v>732.10871147779665</v>
      </c>
      <c r="AI156" s="1">
        <f t="shared" si="15"/>
        <v>492.09717955878244</v>
      </c>
      <c r="AJ156" s="1">
        <f t="shared" si="15"/>
        <v>823.87824420832601</v>
      </c>
      <c r="AK156" s="1">
        <f t="shared" si="15"/>
        <v>1912.919242404314</v>
      </c>
      <c r="AL156" s="1">
        <f t="shared" si="15"/>
        <v>665.39813374805601</v>
      </c>
      <c r="AM156" s="1">
        <f t="shared" si="15"/>
        <v>573.67685883620686</v>
      </c>
      <c r="AN156" s="1">
        <f t="shared" si="15"/>
        <v>989.04951811232979</v>
      </c>
      <c r="AO156" s="1">
        <f t="shared" si="15"/>
        <v>1011.4909456740444</v>
      </c>
      <c r="AP156" s="1">
        <f t="shared" si="15"/>
        <v>737.92027535419834</v>
      </c>
      <c r="AQ156" s="1">
        <f t="shared" si="15"/>
        <v>1066.5415995250614</v>
      </c>
      <c r="AR156" s="1">
        <f t="shared" si="15"/>
        <v>11054.258235038857</v>
      </c>
      <c r="AS156" s="1">
        <f t="shared" si="15"/>
        <v>3129.7145965852028</v>
      </c>
      <c r="AT156" s="1">
        <f t="shared" si="15"/>
        <v>176.87003405221341</v>
      </c>
      <c r="AU156" s="2">
        <f t="shared" si="15"/>
        <v>1534.9577375053095</v>
      </c>
      <c r="AV156" s="1">
        <f t="shared" si="15"/>
        <v>499.9297909685655</v>
      </c>
    </row>
    <row r="158" spans="1:48" x14ac:dyDescent="0.2">
      <c r="D158" s="1" t="s">
        <v>135</v>
      </c>
      <c r="G158" s="1">
        <f>+G154/G150*G148</f>
        <v>1447.5047189597317</v>
      </c>
      <c r="H158" s="1">
        <f>+H154/H150*H148</f>
        <v>945.17115768463077</v>
      </c>
      <c r="I158" s="1">
        <f t="shared" ref="I158:AV158" si="16">+I154/I150*I148</f>
        <v>284.34407445263327</v>
      </c>
      <c r="J158" s="1">
        <f t="shared" si="16"/>
        <v>801.09132728994723</v>
      </c>
      <c r="K158" s="2">
        <f t="shared" si="16"/>
        <v>945.67380012466242</v>
      </c>
      <c r="L158" s="1" t="e">
        <f t="shared" si="16"/>
        <v>#DIV/0!</v>
      </c>
      <c r="M158" s="1">
        <f t="shared" si="16"/>
        <v>690.65310492505353</v>
      </c>
      <c r="N158" s="2">
        <f t="shared" si="16"/>
        <v>636.49599454576446</v>
      </c>
      <c r="O158" s="2">
        <f t="shared" si="16"/>
        <v>2129.3633921719111</v>
      </c>
      <c r="P158" s="1">
        <f t="shared" si="16"/>
        <v>1200.4218280216476</v>
      </c>
      <c r="Q158" s="2">
        <f t="shared" si="16"/>
        <v>6550.1714323713259</v>
      </c>
      <c r="R158" s="2">
        <f t="shared" si="16"/>
        <v>1643.3472413793104</v>
      </c>
      <c r="S158" s="2">
        <f t="shared" si="16"/>
        <v>1948.391281888262</v>
      </c>
      <c r="T158" s="1">
        <f t="shared" si="16"/>
        <v>2183.1911240258883</v>
      </c>
      <c r="U158" s="2">
        <f t="shared" si="16"/>
        <v>1480.6928077165026</v>
      </c>
      <c r="V158" s="1">
        <f t="shared" si="16"/>
        <v>2468.8418285866383</v>
      </c>
      <c r="W158" s="1">
        <f t="shared" si="16"/>
        <v>1703.0669765840219</v>
      </c>
      <c r="X158" s="1">
        <f t="shared" si="16"/>
        <v>462.2251024940212</v>
      </c>
      <c r="Y158" s="1">
        <f t="shared" si="16"/>
        <v>409.55555555555554</v>
      </c>
      <c r="Z158" s="4">
        <f t="shared" si="16"/>
        <v>17362.919495458766</v>
      </c>
      <c r="AA158" s="2">
        <f t="shared" si="16"/>
        <v>2398.578201659865</v>
      </c>
      <c r="AB158" s="1">
        <f t="shared" si="16"/>
        <v>159.19541875447388</v>
      </c>
      <c r="AC158" s="2" t="e">
        <f t="shared" si="16"/>
        <v>#DIV/0!</v>
      </c>
      <c r="AD158" s="2" t="e">
        <f t="shared" si="16"/>
        <v>#DIV/0!</v>
      </c>
      <c r="AE158" s="1">
        <f t="shared" si="16"/>
        <v>1740.2998704138658</v>
      </c>
      <c r="AF158" s="2">
        <f t="shared" si="16"/>
        <v>587.0671188861121</v>
      </c>
      <c r="AG158" s="4">
        <f t="shared" si="16"/>
        <v>6593.54610135037</v>
      </c>
      <c r="AH158" s="1">
        <f t="shared" si="16"/>
        <v>522.89128852220335</v>
      </c>
      <c r="AI158" s="1">
        <f t="shared" si="16"/>
        <v>1307.9028204412175</v>
      </c>
      <c r="AJ158" s="1">
        <f t="shared" si="16"/>
        <v>1394.1217557916739</v>
      </c>
      <c r="AK158" s="1">
        <f t="shared" si="16"/>
        <v>1137.0807575956858</v>
      </c>
      <c r="AL158" s="1">
        <f t="shared" si="16"/>
        <v>1800.6018662519441</v>
      </c>
      <c r="AM158" s="1">
        <f t="shared" si="16"/>
        <v>419.32314116379308</v>
      </c>
      <c r="AN158" s="1">
        <f t="shared" si="16"/>
        <v>935.95048188767032</v>
      </c>
      <c r="AO158" s="1">
        <f t="shared" si="16"/>
        <v>506.50905432595573</v>
      </c>
      <c r="AP158" s="1">
        <f t="shared" si="16"/>
        <v>1578.0797246458017</v>
      </c>
      <c r="AQ158" s="1">
        <f t="shared" si="16"/>
        <v>1267.4584004749386</v>
      </c>
      <c r="AR158" s="1">
        <f t="shared" si="16"/>
        <v>10009.741764961143</v>
      </c>
      <c r="AS158" s="1">
        <f t="shared" si="16"/>
        <v>2575.2854034147972</v>
      </c>
      <c r="AT158" s="1">
        <f t="shared" si="16"/>
        <v>608.12996594778667</v>
      </c>
      <c r="AU158" s="2">
        <f t="shared" si="16"/>
        <v>2618.0422624946909</v>
      </c>
      <c r="AV158" s="1">
        <f t="shared" si="16"/>
        <v>1446.0702090314346</v>
      </c>
    </row>
    <row r="160" spans="1:48" x14ac:dyDescent="0.2">
      <c r="D160" s="1" t="s">
        <v>136</v>
      </c>
      <c r="G160" s="1">
        <f>+G156+G152</f>
        <v>2528.9952810402683</v>
      </c>
      <c r="H160" s="1">
        <f t="shared" ref="H160:AV160" si="17">+H156+H152</f>
        <v>5514.3288423153699</v>
      </c>
      <c r="I160" s="1">
        <f t="shared" si="17"/>
        <v>21173.155925547366</v>
      </c>
      <c r="J160" s="1">
        <f t="shared" si="17"/>
        <v>5420.908672710053</v>
      </c>
      <c r="K160" s="2">
        <f t="shared" si="17"/>
        <v>8355.3261998753369</v>
      </c>
      <c r="L160" s="1" t="e">
        <f t="shared" si="17"/>
        <v>#DIV/0!</v>
      </c>
      <c r="M160" s="1">
        <f t="shared" si="17"/>
        <v>1256.8468950749466</v>
      </c>
      <c r="N160" s="2">
        <f t="shared" si="17"/>
        <v>7211.5040054542351</v>
      </c>
      <c r="O160" s="2">
        <f t="shared" si="17"/>
        <v>15469.13660782809</v>
      </c>
      <c r="P160" s="1">
        <f t="shared" si="17"/>
        <v>4232.0781719783527</v>
      </c>
      <c r="Q160" s="2">
        <f t="shared" si="17"/>
        <v>19062.828567628672</v>
      </c>
      <c r="R160" s="2">
        <f t="shared" si="17"/>
        <v>4923.1527586206894</v>
      </c>
      <c r="S160" s="2">
        <f t="shared" si="17"/>
        <v>13711.108718111738</v>
      </c>
      <c r="T160" s="1">
        <f t="shared" si="17"/>
        <v>9151.8088759741113</v>
      </c>
      <c r="U160" s="2">
        <f t="shared" si="17"/>
        <v>6709.307192283497</v>
      </c>
      <c r="V160" s="1">
        <f t="shared" si="17"/>
        <v>7644.6581714133617</v>
      </c>
      <c r="W160" s="1">
        <f t="shared" si="17"/>
        <v>4377.9330234159779</v>
      </c>
      <c r="X160" s="1">
        <f t="shared" si="17"/>
        <v>10815.274897505979</v>
      </c>
      <c r="Y160" s="1">
        <f t="shared" si="17"/>
        <v>1886.4444444444443</v>
      </c>
      <c r="Z160" s="4">
        <f t="shared" si="17"/>
        <v>81441.080504541242</v>
      </c>
      <c r="AA160" s="2">
        <f t="shared" si="17"/>
        <v>33559.421798340132</v>
      </c>
      <c r="AB160" s="1">
        <f t="shared" si="17"/>
        <v>1152.8045812455262</v>
      </c>
      <c r="AC160" s="2" t="e">
        <f t="shared" si="17"/>
        <v>#DIV/0!</v>
      </c>
      <c r="AD160" s="2" t="e">
        <f t="shared" si="17"/>
        <v>#DIV/0!</v>
      </c>
      <c r="AE160" s="1">
        <f t="shared" si="17"/>
        <v>10598.200129586134</v>
      </c>
      <c r="AF160" s="2">
        <f t="shared" si="17"/>
        <v>3030.4328811138876</v>
      </c>
      <c r="AG160" s="4">
        <f t="shared" si="17"/>
        <v>51027.453898649634</v>
      </c>
      <c r="AH160" s="1">
        <f t="shared" si="17"/>
        <v>3136.1087114777965</v>
      </c>
      <c r="AI160" s="1">
        <f t="shared" si="17"/>
        <v>3429.0971795587825</v>
      </c>
      <c r="AJ160" s="1">
        <f t="shared" si="17"/>
        <v>2956.3782442083261</v>
      </c>
      <c r="AK160" s="1">
        <f t="shared" si="17"/>
        <v>6681.419242404314</v>
      </c>
      <c r="AL160" s="1">
        <f t="shared" si="17"/>
        <v>2053.3981337480559</v>
      </c>
      <c r="AM160" s="1">
        <f t="shared" si="17"/>
        <v>4862.6768588362065</v>
      </c>
      <c r="AN160" s="1">
        <f t="shared" si="17"/>
        <v>4081.0495181123297</v>
      </c>
      <c r="AO160" s="1">
        <f t="shared" si="17"/>
        <v>2998.4909456740443</v>
      </c>
      <c r="AP160" s="1">
        <f t="shared" si="17"/>
        <v>8698.9202753541977</v>
      </c>
      <c r="AQ160" s="1">
        <f t="shared" si="17"/>
        <v>6454.5415995250614</v>
      </c>
      <c r="AR160" s="1">
        <f t="shared" si="17"/>
        <v>24357.258235038855</v>
      </c>
      <c r="AS160" s="1">
        <f t="shared" si="17"/>
        <v>14600.214596585203</v>
      </c>
      <c r="AT160" s="1">
        <f t="shared" si="17"/>
        <v>1764.8700340522134</v>
      </c>
      <c r="AU160" s="2">
        <f t="shared" si="17"/>
        <v>6755.9577375053095</v>
      </c>
      <c r="AV160" s="1">
        <f t="shared" si="17"/>
        <v>2109.9297909685656</v>
      </c>
    </row>
    <row r="162" spans="4:48" x14ac:dyDescent="0.2">
      <c r="D162" s="1" t="s">
        <v>137</v>
      </c>
      <c r="G162" s="1">
        <f>+G158+G154</f>
        <v>4500.0047189597317</v>
      </c>
      <c r="H162" s="1">
        <f t="shared" ref="H162:AV162" si="18">+H158+H154</f>
        <v>3115.671157684631</v>
      </c>
      <c r="I162" s="1">
        <f t="shared" si="18"/>
        <v>1559.8440744526333</v>
      </c>
      <c r="J162" s="1">
        <f t="shared" si="18"/>
        <v>3888.091327289947</v>
      </c>
      <c r="K162" s="2">
        <f t="shared" si="18"/>
        <v>4129.6738001246622</v>
      </c>
      <c r="L162" s="1" t="e">
        <f t="shared" si="18"/>
        <v>#DIV/0!</v>
      </c>
      <c r="M162" s="1">
        <f t="shared" si="18"/>
        <v>2573.1531049250534</v>
      </c>
      <c r="N162" s="2">
        <f t="shared" si="18"/>
        <v>1817.4959945457645</v>
      </c>
      <c r="O162" s="2">
        <f t="shared" si="18"/>
        <v>11640.863392171912</v>
      </c>
      <c r="P162" s="1">
        <f t="shared" si="18"/>
        <v>3435.9218280216473</v>
      </c>
      <c r="Q162" s="2">
        <f t="shared" si="18"/>
        <v>17273.171432371324</v>
      </c>
      <c r="R162" s="2">
        <f t="shared" si="18"/>
        <v>6638.8472413793106</v>
      </c>
      <c r="S162" s="2">
        <f t="shared" si="18"/>
        <v>15164.891281888262</v>
      </c>
      <c r="T162" s="1">
        <f t="shared" si="18"/>
        <v>10143.191124025889</v>
      </c>
      <c r="U162" s="2">
        <f t="shared" si="18"/>
        <v>5972.692807716503</v>
      </c>
      <c r="V162" s="1">
        <f t="shared" si="18"/>
        <v>18392.341828586639</v>
      </c>
      <c r="W162" s="1">
        <f t="shared" si="18"/>
        <v>9709.0669765840212</v>
      </c>
      <c r="X162" s="1">
        <f t="shared" si="18"/>
        <v>3013.725102494021</v>
      </c>
      <c r="Y162" s="1">
        <f t="shared" si="18"/>
        <v>1378.5555555555557</v>
      </c>
      <c r="Z162" s="4">
        <f t="shared" si="18"/>
        <v>66930.919495458773</v>
      </c>
      <c r="AA162" s="2">
        <f t="shared" si="18"/>
        <v>17150.578201659864</v>
      </c>
      <c r="AB162" s="1">
        <f t="shared" si="18"/>
        <v>675.19541875447385</v>
      </c>
      <c r="AC162" s="2" t="e">
        <f t="shared" si="18"/>
        <v>#DIV/0!</v>
      </c>
      <c r="AD162" s="2" t="e">
        <f t="shared" si="18"/>
        <v>#DIV/0!</v>
      </c>
      <c r="AE162" s="1">
        <f t="shared" si="18"/>
        <v>16925.799870413866</v>
      </c>
      <c r="AF162" s="2">
        <f t="shared" si="18"/>
        <v>1524.567118886112</v>
      </c>
      <c r="AG162" s="4">
        <f t="shared" si="18"/>
        <v>103445.54610135037</v>
      </c>
      <c r="AH162" s="1">
        <f t="shared" si="18"/>
        <v>2239.8912885222035</v>
      </c>
      <c r="AI162" s="1">
        <f t="shared" si="18"/>
        <v>9113.902820441217</v>
      </c>
      <c r="AJ162" s="1">
        <f t="shared" si="18"/>
        <v>5002.6217557916734</v>
      </c>
      <c r="AK162" s="1">
        <f t="shared" si="18"/>
        <v>3971.580757595686</v>
      </c>
      <c r="AL162" s="1">
        <f t="shared" si="18"/>
        <v>5556.6018662519436</v>
      </c>
      <c r="AM162" s="1">
        <f t="shared" si="18"/>
        <v>3554.323141163793</v>
      </c>
      <c r="AN162" s="1">
        <f t="shared" si="18"/>
        <v>3861.9504818876703</v>
      </c>
      <c r="AO162" s="1">
        <f t="shared" si="18"/>
        <v>1501.5090543259557</v>
      </c>
      <c r="AP162" s="1">
        <f t="shared" si="18"/>
        <v>18603.079724645802</v>
      </c>
      <c r="AQ162" s="1">
        <f t="shared" si="18"/>
        <v>7670.4584004749386</v>
      </c>
      <c r="AR162" s="1">
        <f t="shared" si="18"/>
        <v>22055.741764961145</v>
      </c>
      <c r="AS162" s="1">
        <f t="shared" si="18"/>
        <v>12013.785403414797</v>
      </c>
      <c r="AT162" s="1">
        <f t="shared" si="18"/>
        <v>6068.1299659477863</v>
      </c>
      <c r="AU162" s="2">
        <f t="shared" si="18"/>
        <v>11523.042262494691</v>
      </c>
      <c r="AV162" s="1">
        <f t="shared" si="18"/>
        <v>6103.0702090314344</v>
      </c>
    </row>
    <row r="164" spans="4:48" s="85" customFormat="1" ht="15" x14ac:dyDescent="0.25">
      <c r="D164" s="85" t="s">
        <v>138</v>
      </c>
      <c r="G164" s="86">
        <f>+G160/G168</f>
        <v>1.3937390639171736</v>
      </c>
      <c r="H164" s="86">
        <f t="shared" ref="H164:AM164" si="19">+H160/H168</f>
        <v>1.1172066802939999</v>
      </c>
      <c r="I164" s="86">
        <f t="shared" si="19"/>
        <v>4.7073519401753776</v>
      </c>
      <c r="J164" s="86">
        <f t="shared" si="19"/>
        <v>1.3547645160952668</v>
      </c>
      <c r="K164" s="87">
        <f t="shared" si="19"/>
        <v>1.4100802541244015</v>
      </c>
      <c r="L164" s="86" t="e">
        <f t="shared" si="19"/>
        <v>#DIV/0!</v>
      </c>
      <c r="M164" s="86">
        <f t="shared" si="19"/>
        <v>0.49417257298089856</v>
      </c>
      <c r="N164" s="87">
        <f t="shared" si="19"/>
        <v>0.92378588232733649</v>
      </c>
      <c r="O164" s="87">
        <f>+O160/O168</f>
        <v>0.8448884757513081</v>
      </c>
      <c r="P164" s="86">
        <f t="shared" si="19"/>
        <v>1.1650962582375912</v>
      </c>
      <c r="Q164" s="87">
        <f t="shared" si="19"/>
        <v>1.0162932290436044</v>
      </c>
      <c r="R164" s="87">
        <f t="shared" si="19"/>
        <v>0.88517670056724529</v>
      </c>
      <c r="S164" s="87">
        <f t="shared" si="19"/>
        <v>0.91885077469153054</v>
      </c>
      <c r="T164" s="86">
        <f t="shared" si="19"/>
        <v>0.80712301606916637</v>
      </c>
      <c r="U164" s="87">
        <f t="shared" si="19"/>
        <v>1.3305190298311944</v>
      </c>
      <c r="V164" s="86">
        <f t="shared" si="19"/>
        <v>0.73253666813372476</v>
      </c>
      <c r="W164" s="86">
        <f t="shared" si="19"/>
        <v>0.7516268082182288</v>
      </c>
      <c r="X164" s="86">
        <f t="shared" si="19"/>
        <v>2.1388390438467626</v>
      </c>
      <c r="Y164" s="86">
        <f t="shared" si="19"/>
        <v>0.60546466631525608</v>
      </c>
      <c r="Z164" s="88">
        <f t="shared" si="19"/>
        <v>1.4484640003320404</v>
      </c>
      <c r="AA164" s="87">
        <f t="shared" si="19"/>
        <v>1.3957586671032078</v>
      </c>
      <c r="AB164" s="86">
        <f t="shared" si="19"/>
        <v>0.42453975155446416</v>
      </c>
      <c r="AC164" s="87" t="e">
        <f t="shared" si="19"/>
        <v>#DIV/0!</v>
      </c>
      <c r="AD164" s="87" t="e">
        <f t="shared" si="19"/>
        <v>#DIV/0!</v>
      </c>
      <c r="AE164" s="86">
        <f t="shared" si="19"/>
        <v>1.1598102720158028</v>
      </c>
      <c r="AF164" s="87">
        <f t="shared" si="19"/>
        <v>0.8059342544973318</v>
      </c>
      <c r="AG164" s="88">
        <f t="shared" si="19"/>
        <v>1.1307302865331001</v>
      </c>
      <c r="AH164" s="86">
        <f t="shared" si="19"/>
        <v>0.39703026484618859</v>
      </c>
      <c r="AI164" s="86">
        <f t="shared" si="19"/>
        <v>0.81619752219041841</v>
      </c>
      <c r="AJ164" s="86">
        <f t="shared" si="19"/>
        <v>0.49657109862516891</v>
      </c>
      <c r="AK164" s="86">
        <f t="shared" si="19"/>
        <v>1.5813718095628799</v>
      </c>
      <c r="AL164" s="86">
        <f t="shared" si="19"/>
        <v>0.37775196970550362</v>
      </c>
      <c r="AM164" s="86">
        <f t="shared" si="19"/>
        <v>0.64621097709874464</v>
      </c>
      <c r="AN164" s="86">
        <f>+AN160/AN168</f>
        <v>1.0304241650376424</v>
      </c>
      <c r="AO164" s="86">
        <f t="shared" ref="AO164:AP164" si="20">+AO160/AO168</f>
        <v>1.0409887098901498</v>
      </c>
      <c r="AP164" s="86">
        <f t="shared" si="20"/>
        <v>0.77268006660389099</v>
      </c>
      <c r="AQ164" s="86">
        <f>+AQ160/AQ168</f>
        <v>0.83691580774919283</v>
      </c>
      <c r="AR164" s="86">
        <f>+AR160/AR168</f>
        <v>1.3741714824521711</v>
      </c>
      <c r="AS164" s="86">
        <f>+AS160/AS168</f>
        <v>1.4287431293227606</v>
      </c>
      <c r="AT164" s="86">
        <f>+AT160/AT168</f>
        <v>0.46752329087844252</v>
      </c>
      <c r="AU164" s="87">
        <f>+AU160/AU168</f>
        <v>1.0137205348122467</v>
      </c>
      <c r="AV164" s="86">
        <f t="shared" ref="AV164" si="21">+AV160/AV168</f>
        <v>0.27481689434704532</v>
      </c>
    </row>
    <row r="166" spans="4:48" s="85" customFormat="1" ht="15" x14ac:dyDescent="0.25">
      <c r="D166" s="85" t="s">
        <v>139</v>
      </c>
      <c r="G166" s="86">
        <f>+G162/G170</f>
        <v>2.8408564724804828</v>
      </c>
      <c r="H166" s="86">
        <f t="shared" ref="H166:AV166" si="22">+H162/H170</f>
        <v>0.63380097518916489</v>
      </c>
      <c r="I166" s="86">
        <f t="shared" si="22"/>
        <v>0.35852690345735699</v>
      </c>
      <c r="J166" s="86">
        <f t="shared" si="22"/>
        <v>1.0679160901593203</v>
      </c>
      <c r="K166" s="87">
        <f t="shared" si="22"/>
        <v>0.79993758834142437</v>
      </c>
      <c r="L166" s="86" t="e">
        <f t="shared" si="22"/>
        <v>#DIV/0!</v>
      </c>
      <c r="M166" s="86">
        <f t="shared" si="22"/>
        <v>1.0803292708673371</v>
      </c>
      <c r="N166" s="87">
        <f t="shared" si="22"/>
        <v>0.24247873914323428</v>
      </c>
      <c r="O166" s="87">
        <f t="shared" si="22"/>
        <v>0.68684755529446806</v>
      </c>
      <c r="P166" s="86">
        <f t="shared" si="22"/>
        <v>1.01799873014558</v>
      </c>
      <c r="Q166" s="87">
        <f t="shared" si="22"/>
        <v>0.97952201934182781</v>
      </c>
      <c r="R166" s="87">
        <f t="shared" si="22"/>
        <v>1.2320397159394256</v>
      </c>
      <c r="S166" s="87">
        <f t="shared" si="22"/>
        <v>1.0706650555781352</v>
      </c>
      <c r="T166" s="86">
        <f t="shared" si="22"/>
        <v>0.98069187450995465</v>
      </c>
      <c r="U166" s="87">
        <f t="shared" si="22"/>
        <v>1.263555745331342</v>
      </c>
      <c r="V166" s="86">
        <f t="shared" si="22"/>
        <v>1.8629753822372814</v>
      </c>
      <c r="W166" s="86">
        <f t="shared" si="22"/>
        <v>1.815847678677416</v>
      </c>
      <c r="X166" s="86">
        <f t="shared" si="22"/>
        <v>0.61766939550064903</v>
      </c>
      <c r="Y166" s="86">
        <f t="shared" si="22"/>
        <v>0.44390547514666023</v>
      </c>
      <c r="Z166" s="88">
        <f t="shared" si="22"/>
        <v>1.2282074752759209</v>
      </c>
      <c r="AA166" s="87">
        <f t="shared" si="22"/>
        <v>0.73699841972496516</v>
      </c>
      <c r="AB166" s="86">
        <f t="shared" si="22"/>
        <v>0.27808810607389972</v>
      </c>
      <c r="AC166" s="87" t="e">
        <f t="shared" si="22"/>
        <v>#DIV/0!</v>
      </c>
      <c r="AD166" s="87" t="e">
        <f t="shared" si="22"/>
        <v>#DIV/0!</v>
      </c>
      <c r="AE166" s="86">
        <f t="shared" si="22"/>
        <v>1.855026310582802</v>
      </c>
      <c r="AF166" s="87">
        <f t="shared" si="22"/>
        <v>0.42306028500051951</v>
      </c>
      <c r="AG166" s="88">
        <f t="shared" si="22"/>
        <v>2.4563454218517484</v>
      </c>
      <c r="AH166" s="86">
        <f t="shared" si="22"/>
        <v>0.28496304123783311</v>
      </c>
      <c r="AI166" s="86">
        <f t="shared" si="22"/>
        <v>2.3514512304591824</v>
      </c>
      <c r="AJ166" s="86">
        <f t="shared" si="22"/>
        <v>0.93363387228809269</v>
      </c>
      <c r="AK166" s="86">
        <f t="shared" si="22"/>
        <v>0.94888540965635471</v>
      </c>
      <c r="AL166" s="86">
        <f t="shared" si="22"/>
        <v>1.0732116990295484</v>
      </c>
      <c r="AM166" s="86">
        <f t="shared" si="22"/>
        <v>0.53281852330401291</v>
      </c>
      <c r="AN166" s="86">
        <f t="shared" si="22"/>
        <v>1.0356414547992945</v>
      </c>
      <c r="AO166" s="86">
        <f t="shared" si="22"/>
        <v>0.57135634739244112</v>
      </c>
      <c r="AP166" s="86">
        <f t="shared" si="22"/>
        <v>1.7547034277782052</v>
      </c>
      <c r="AQ166" s="86">
        <f t="shared" si="22"/>
        <v>1.1050837080380438</v>
      </c>
      <c r="AR166" s="86">
        <f t="shared" si="22"/>
        <v>1.2939607280996899</v>
      </c>
      <c r="AS166" s="86">
        <f t="shared" si="22"/>
        <v>1.1898580962816614</v>
      </c>
      <c r="AT166" s="86">
        <f t="shared" si="22"/>
        <v>1.7384840691882895</v>
      </c>
      <c r="AU166" s="87">
        <f t="shared" si="22"/>
        <v>1.9008873517624576</v>
      </c>
      <c r="AV166" s="86">
        <f t="shared" si="22"/>
        <v>0.8151183970268</v>
      </c>
    </row>
    <row r="168" spans="4:48" x14ac:dyDescent="0.2">
      <c r="D168" s="1" t="s">
        <v>140</v>
      </c>
      <c r="G168" s="1">
        <f>+HLOOKUP(G2,'[1]נתוני תאגידים'!$1:$97,97,0)</f>
        <v>1814.54</v>
      </c>
      <c r="H168" s="1">
        <f>+HLOOKUP(H2,'[1]נתוני תאגידים'!$1:$97,97,0)</f>
        <v>4935.8179999999993</v>
      </c>
      <c r="I168" s="1">
        <f>+HLOOKUP(I2,'[1]נתוני תאגידים'!$1:$97,97,0)</f>
        <v>4497.8909999999996</v>
      </c>
      <c r="J168" s="1">
        <f>+HLOOKUP(J2,'[1]נתוני תאגידים'!$1:$97,97,0)</f>
        <v>4001.366</v>
      </c>
      <c r="K168" s="2">
        <f>+HLOOKUP(K2,'[1]נתוני תאגידים'!$1:$97,97,0)</f>
        <v>5925.4260000000004</v>
      </c>
      <c r="L168" s="1">
        <f>+HLOOKUP(L2,'[1]נתוני תאגידים'!$1:$97,97,0)</f>
        <v>3171.4839999999999</v>
      </c>
      <c r="M168" s="1">
        <f>+HLOOKUP(M2,'[1]נתוני תאגידים'!$1:$97,97,0)</f>
        <v>2543.3359999999998</v>
      </c>
      <c r="N168" s="2">
        <f>+HLOOKUP(N2,'[1]נתוני תאגידים'!$1:$97,97,0)</f>
        <v>7806.4669999999996</v>
      </c>
      <c r="O168" s="2">
        <f>+HLOOKUP(O2,'[1]נתוני תאגידים'!$1:$97,97,0)</f>
        <v>18309.087</v>
      </c>
      <c r="P168" s="1">
        <f>+HLOOKUP(P2,'[1]נתוני תאגידים'!$1:$97,97,0)</f>
        <v>3632.3849999999998</v>
      </c>
      <c r="Q168" s="2">
        <f>+HLOOKUP(Q2,'[1]נתוני תאגידים'!$1:$97,97,0)</f>
        <v>18757.213</v>
      </c>
      <c r="R168" s="2">
        <f>+HLOOKUP(R2,'[1]נתוני תאגידים'!$1:$97,97,0)</f>
        <v>5561.7739999999994</v>
      </c>
      <c r="S168" s="2">
        <f>+HLOOKUP(S2,'[1]נתוני תאגידים'!$1:$97,97,0)</f>
        <v>14922.019</v>
      </c>
      <c r="T168" s="1">
        <f>+HLOOKUP(T2,'[1]נתוני תאגידים'!$1:$97,97,0)</f>
        <v>11338.803</v>
      </c>
      <c r="U168" s="2">
        <f>+HLOOKUP(U2,'[1]נתוני תאגידים'!$1:$97,97,0)</f>
        <v>5042.6239999999998</v>
      </c>
      <c r="V168" s="1">
        <f>+HLOOKUP(V2,'[1]נתוני תאגידים'!$1:$97,97,0)</f>
        <v>10435.870999999999</v>
      </c>
      <c r="W168" s="1">
        <f>+HLOOKUP(W2,'[1]נתוני תאגידים'!$1:$97,97,0)</f>
        <v>5824.6100000000006</v>
      </c>
      <c r="X168" s="1">
        <f>+HLOOKUP(X2,'[1]נתוני תאגידים'!$1:$97,97,0)</f>
        <v>5056.6099999999997</v>
      </c>
      <c r="Y168" s="1">
        <f>+HLOOKUP(Y2,'[1]נתוני תאגידים'!$1:$97,97,0)</f>
        <v>3115.6970000000001</v>
      </c>
      <c r="Z168" s="4">
        <f>+HLOOKUP(Z2,'[1]נתוני תאגידים'!$1:$97,97,0)</f>
        <v>56225.822999999997</v>
      </c>
      <c r="AA168" s="2">
        <f>+HLOOKUP(AA2,'[1]נתוני תאגידים'!$1:$97,97,0)</f>
        <v>24043.857</v>
      </c>
      <c r="AB168" s="1">
        <f>+HLOOKUP(AB2,'[1]נתוני תאגידים'!$1:$97,97,0)</f>
        <v>2715.422</v>
      </c>
      <c r="AC168" s="2">
        <f>+HLOOKUP(AC2,'[1]נתוני תאגידים'!$1:$97,97,0)</f>
        <v>10218.922</v>
      </c>
      <c r="AD168" s="2">
        <f>+HLOOKUP(AD2,'[1]נתוני תאגידים'!$1:$97,97,0)</f>
        <v>3960.5529999999999</v>
      </c>
      <c r="AE168" s="1">
        <f>+HLOOKUP(AE2,'[1]נתוני תאגידים'!$1:$97,97,0)</f>
        <v>9137.8740000000016</v>
      </c>
      <c r="AF168" s="2">
        <f>+HLOOKUP(AF2,'[1]נתוני תאגידים'!$1:$97,97,0)</f>
        <v>3760.1489999999999</v>
      </c>
      <c r="AG168" s="4">
        <f>+HLOOKUP(AG2,'[1]נתוני תאגידים'!$1:$97,97,0)</f>
        <v>45127.873999999996</v>
      </c>
      <c r="AH168" s="1">
        <f>+HLOOKUP(AH2,'[1]נתוני תאגידים'!$1:$97,97,0)</f>
        <v>7898.9160000000002</v>
      </c>
      <c r="AI168" s="1">
        <f>+HLOOKUP(AI2,'[1]נתוני תאגידים'!$1:$97,97,0)</f>
        <v>4201.308</v>
      </c>
      <c r="AJ168" s="1">
        <f>+HLOOKUP(AJ2,'[1]נתוני תאגידים'!$1:$97,97,0)</f>
        <v>5953.585</v>
      </c>
      <c r="AK168" s="1">
        <f>+HLOOKUP(AK2,'[1]נתוני תאגידים'!$1:$97,97,0)</f>
        <v>4225.0780000000004</v>
      </c>
      <c r="AL168" s="1">
        <f>+HLOOKUP(AL2,'[1]נתוני תאגידים'!$1:$97,97,0)</f>
        <v>5435.8370000000004</v>
      </c>
      <c r="AM168" s="1">
        <f>+HLOOKUP(AM2,'[1]נתוני תאגידים'!$1:$97,97,0)</f>
        <v>7524.9059999999999</v>
      </c>
      <c r="AN168" s="1">
        <f>+HLOOKUP(AN2,'[1]נתוני תאגידים'!$1:$97,97,0)</f>
        <v>3960.5529999999999</v>
      </c>
      <c r="AO168" s="1">
        <f>+HLOOKUP(AO2,'[1]נתוני תאגידים'!$1:$97,97,0)</f>
        <v>2880.4259999999999</v>
      </c>
      <c r="AP168" s="1">
        <f>+HLOOKUP(AP2,'[1]נתוני תאגידים'!$1:$97,97,0)</f>
        <v>11258.114</v>
      </c>
      <c r="AQ168" s="1">
        <f>+HLOOKUP(AQ2,'[1]נתוני תאגידים'!$1:$97,97,0)</f>
        <v>7712.2950000000001</v>
      </c>
      <c r="AR168" s="1">
        <f>+HLOOKUP(AR2,'[1]נתוני תאגידים'!$1:$97,97,0)</f>
        <v>17725.05</v>
      </c>
      <c r="AS168" s="1">
        <f>+HLOOKUP(AS2,'[1]נתוני תאגידים'!$1:$97,97,0)</f>
        <v>10218.922</v>
      </c>
      <c r="AT168" s="1">
        <f>+HLOOKUP(AT2,'[1]נתוני תאגידים'!$1:$97,97,0)</f>
        <v>3774.9349999999999</v>
      </c>
      <c r="AU168" s="2">
        <f>+HLOOKUP(AU2,'[1]נתוני תאגידים'!$1:$97,97,0)</f>
        <v>6664.5169999999998</v>
      </c>
      <c r="AV168" s="1">
        <f>+HLOOKUP(AV2,'[1]נתוני תאגידים'!$1:$97,97,0)</f>
        <v>7677.5839999999998</v>
      </c>
    </row>
    <row r="170" spans="4:48" x14ac:dyDescent="0.2">
      <c r="D170" s="1" t="s">
        <v>141</v>
      </c>
      <c r="G170" s="1">
        <f>+HLOOKUP(G2,'[1]נתוני תאגידים'!$1:$101,101,0)</f>
        <v>1584.0309999999999</v>
      </c>
      <c r="H170" s="1">
        <f>+HLOOKUP(H2,'[1]נתוני תאגידים'!$1:$101,101,0)</f>
        <v>4915.8509999999997</v>
      </c>
      <c r="I170" s="1">
        <f>+HLOOKUP(I2,'[1]נתוני תאגידים'!$1:$101,101,0)</f>
        <v>4350.7029999999995</v>
      </c>
      <c r="J170" s="1">
        <f>+HLOOKUP(J2,'[1]נתוני תאגידים'!$1:$101,101,0)</f>
        <v>3640.8209999999999</v>
      </c>
      <c r="K170" s="2">
        <f>+HLOOKUP(K2,'[1]נתוני תאגידים'!$1:$101,101,0)</f>
        <v>5162.4950000000008</v>
      </c>
      <c r="L170" s="1">
        <f>+HLOOKUP(L2,'[1]נתוני תאגידים'!$1:$101,101,0)</f>
        <v>2882.5070000000001</v>
      </c>
      <c r="M170" s="1">
        <f>+HLOOKUP(M2,'[1]נתוני תאגידים'!$1:$101,101,0)</f>
        <v>2381.8229999999999</v>
      </c>
      <c r="N170" s="2">
        <f>+HLOOKUP(N2,'[1]נתוני תאגידים'!$1:$101,101,0)</f>
        <v>7495.4859999999999</v>
      </c>
      <c r="O170" s="2">
        <f>+HLOOKUP(O2,'[1]נתוני תאגידים'!$1:$101,101,0)</f>
        <v>16948.249</v>
      </c>
      <c r="P170" s="1">
        <f>+HLOOKUP(P2,'[1]נתוני תאגידים'!$1:$101,101,0)</f>
        <v>3375.1729999999998</v>
      </c>
      <c r="Q170" s="2">
        <f>+HLOOKUP(Q2,'[1]נתוני תאגידים'!$1:$101,101,0)</f>
        <v>17634.286</v>
      </c>
      <c r="R170" s="2">
        <f>+HLOOKUP(R2,'[1]נתוני תאגידים'!$1:$101,101,0)</f>
        <v>5388.5009999999993</v>
      </c>
      <c r="S170" s="2">
        <f>+HLOOKUP(S2,'[1]נתוני תאגידים'!$1:$101,101,0)</f>
        <v>14163.992</v>
      </c>
      <c r="T170" s="1">
        <f>+HLOOKUP(T2,'[1]נתוני תאגידים'!$1:$101,101,0)</f>
        <v>10342.893</v>
      </c>
      <c r="U170" s="2">
        <f>+HLOOKUP(U2,'[1]נתוני תאגידים'!$1:$101,101,0)</f>
        <v>4726.893</v>
      </c>
      <c r="V170" s="1">
        <f>+HLOOKUP(V2,'[1]נתוני תאגידים'!$1:$101,101,0)</f>
        <v>9872.5629999999983</v>
      </c>
      <c r="W170" s="1">
        <f>+HLOOKUP(W2,'[1]נתוני תאגידים'!$1:$101,101,0)</f>
        <v>5346.8510000000006</v>
      </c>
      <c r="X170" s="1">
        <f>+HLOOKUP(X2,'[1]נתוני תאגידים'!$1:$101,101,0)</f>
        <v>4879.1880000000001</v>
      </c>
      <c r="Y170" s="1">
        <f>+HLOOKUP(Y2,'[1]נתוני תאגידים'!$1:$101,101,0)</f>
        <v>3105.5160000000001</v>
      </c>
      <c r="Z170" s="4">
        <f>+HLOOKUP(Z2,'[1]נתוני תאגידים'!$1:$101,101,0)</f>
        <v>54494.798999999999</v>
      </c>
      <c r="AA170" s="2">
        <f>+HLOOKUP(AA2,'[1]נתוני תאגידים'!$1:$101,101,0)</f>
        <v>23270.847999999998</v>
      </c>
      <c r="AB170" s="1">
        <f>+HLOOKUP(AB2,'[1]נתוני תאגידים'!$1:$101,101,0)</f>
        <v>2427.991</v>
      </c>
      <c r="AC170" s="2">
        <f>+HLOOKUP(AC2,'[1]נתוני תאגידים'!$1:$101,101,0)</f>
        <v>10096.822</v>
      </c>
      <c r="AD170" s="2">
        <f>+HLOOKUP(AD2,'[1]נתוני תאגידים'!$1:$101,101,0)</f>
        <v>3729.0419999999999</v>
      </c>
      <c r="AE170" s="1">
        <f>+HLOOKUP(AE2,'[1]נתוני תאגידים'!$1:$101,101,0)</f>
        <v>9124.2910000000011</v>
      </c>
      <c r="AF170" s="2">
        <f>+HLOOKUP(AF2,'[1]נתוני תאגידים'!$1:$101,101,0)</f>
        <v>3603.6639999999998</v>
      </c>
      <c r="AG170" s="4">
        <f>+HLOOKUP(AG2,'[1]נתוני תאגידים'!$1:$101,101,0)</f>
        <v>42113.598999999995</v>
      </c>
      <c r="AH170" s="1">
        <f>+HLOOKUP(AH2,'[1]נתוני תאגידים'!$1:$101,101,0)</f>
        <v>7860.2870000000003</v>
      </c>
      <c r="AI170" s="1">
        <f>+HLOOKUP(AI2,'[1]נתוני תאגידים'!$1:$101,101,0)</f>
        <v>3875.8629999999998</v>
      </c>
      <c r="AJ170" s="1">
        <f>+HLOOKUP(AJ2,'[1]נתוני תאגידים'!$1:$101,101,0)</f>
        <v>5358.2264999999998</v>
      </c>
      <c r="AK170" s="1">
        <f>+HLOOKUP(AK2,'[1]נתוני תאגידים'!$1:$101,101,0)</f>
        <v>4185.5220000000008</v>
      </c>
      <c r="AL170" s="1">
        <f>+HLOOKUP(AL2,'[1]נתוני תאגידים'!$1:$101,101,0)</f>
        <v>5177.5450000000001</v>
      </c>
      <c r="AM170" s="1">
        <f>+HLOOKUP(AM2,'[1]נתוני תאגידים'!$1:$101,101,0)</f>
        <v>6670.7950000000001</v>
      </c>
      <c r="AN170" s="1">
        <f>+HLOOKUP(AN2,'[1]נתוני תאגידים'!$1:$101,101,0)</f>
        <v>3729.0419999999999</v>
      </c>
      <c r="AO170" s="1">
        <f>+HLOOKUP(AO2,'[1]נתוני תאגידים'!$1:$101,101,0)</f>
        <v>2627.973</v>
      </c>
      <c r="AP170" s="1">
        <f>+HLOOKUP(AP2,'[1]נתוני תאגידים'!$1:$101,101,0)</f>
        <v>10601.837</v>
      </c>
      <c r="AQ170" s="1">
        <f>+HLOOKUP(AQ2,'[1]נתוני תאגידים'!$1:$101,101,0)</f>
        <v>6941.0655000000006</v>
      </c>
      <c r="AR170" s="1">
        <f>+HLOOKUP(AR2,'[1]נתוני תאגידים'!$1:$101,101,0)</f>
        <v>17045.14</v>
      </c>
      <c r="AS170" s="1">
        <f>+HLOOKUP(AS2,'[1]נתוני תאגידים'!$1:$101,101,0)</f>
        <v>10096.822</v>
      </c>
      <c r="AT170" s="1">
        <f>+HLOOKUP(AT2,'[1]נתוני תאגידים'!$1:$101,101,0)</f>
        <v>3490.4719999999998</v>
      </c>
      <c r="AU170" s="2">
        <f>+HLOOKUP(AU2,'[1]נתוני תאגידים'!$1:$101,101,0)</f>
        <v>6061.9279999999999</v>
      </c>
      <c r="AV170" s="1">
        <f>+HLOOKUP(AV2,'[1]נתוני תאגידים'!$1:$101,101,0)</f>
        <v>7487.3419999999996</v>
      </c>
    </row>
    <row r="172" spans="4:48" x14ac:dyDescent="0.2">
      <c r="D172" s="1" t="s">
        <v>142</v>
      </c>
      <c r="G172" s="1" t="str">
        <f>+HLOOKUP(G2,'[1]נתוני תאגידים'!$1:$83,80,0)</f>
        <v>חזק</v>
      </c>
      <c r="H172" s="1" t="str">
        <f>+HLOOKUP(H2,'[1]נתוני תאגידים'!$1:$83,80,0)</f>
        <v>חלש</v>
      </c>
      <c r="I172" s="1" t="str">
        <f>+HLOOKUP(I2,'[1]נתוני תאגידים'!$1:$83,80,0)</f>
        <v>חלש</v>
      </c>
      <c r="J172" s="1" t="str">
        <f>+HLOOKUP(J2,'[1]נתוני תאגידים'!$1:$83,80,0)</f>
        <v>חזק</v>
      </c>
      <c r="K172" s="2" t="str">
        <f>+HLOOKUP(K2,'[1]נתוני תאגידים'!$1:$83,80,0)</f>
        <v>חזק</v>
      </c>
      <c r="L172" s="1" t="str">
        <f>+HLOOKUP(L2,'[1]נתוני תאגידים'!$1:$83,80,0)</f>
        <v>חזק</v>
      </c>
      <c r="M172" s="1" t="str">
        <f>+HLOOKUP(M2,'[1]נתוני תאגידים'!$1:$83,80,0)</f>
        <v>חזק</v>
      </c>
      <c r="N172" s="2" t="str">
        <f>+HLOOKUP(N2,'[1]נתוני תאגידים'!$1:$83,80,0)</f>
        <v>חזק</v>
      </c>
      <c r="O172" s="2" t="str">
        <f>+HLOOKUP(O2,'[1]נתוני תאגידים'!$1:$83,80,0)</f>
        <v>חזק</v>
      </c>
      <c r="P172" s="1" t="str">
        <f>+HLOOKUP(P2,'[1]נתוני תאגידים'!$1:$83,80,0)</f>
        <v>חזק</v>
      </c>
      <c r="Q172" s="2" t="str">
        <f>+HLOOKUP(Q2,'[1]נתוני תאגידים'!$1:$83,80,0)</f>
        <v>חזק</v>
      </c>
      <c r="R172" s="2" t="str">
        <f>+HLOOKUP(R2,'[1]נתוני תאגידים'!$1:$83,80,0)</f>
        <v>חלש</v>
      </c>
      <c r="S172" s="2" t="str">
        <f>+HLOOKUP(S2,'[1]נתוני תאגידים'!$1:$83,80,0)</f>
        <v>חזק</v>
      </c>
      <c r="T172" s="1" t="str">
        <f>+HLOOKUP(T2,'[1]נתוני תאגידים'!$1:$83,80,0)</f>
        <v>חזק</v>
      </c>
      <c r="U172" s="2" t="str">
        <f>+HLOOKUP(U2,'[1]נתוני תאגידים'!$1:$83,80,0)</f>
        <v>חזק</v>
      </c>
      <c r="V172" s="1" t="str">
        <f>+HLOOKUP(V2,'[1]נתוני תאגידים'!$1:$83,80,0)</f>
        <v>חזק</v>
      </c>
      <c r="W172" s="1" t="str">
        <f>+HLOOKUP(W2,'[1]נתוני תאגידים'!$1:$83,80,0)</f>
        <v>חזק</v>
      </c>
      <c r="X172" s="1" t="str">
        <f>+HLOOKUP(X2,'[1]נתוני תאגידים'!$1:$83,80,0)</f>
        <v>חלש</v>
      </c>
      <c r="Y172" s="1" t="str">
        <f>+HLOOKUP(Y2,'[1]נתוני תאגידים'!$1:$83,80,0)</f>
        <v>חלש</v>
      </c>
      <c r="Z172" s="4" t="str">
        <f>+HLOOKUP(Z2,'[1]נתוני תאגידים'!$1:$83,80,0)</f>
        <v>חלש</v>
      </c>
      <c r="AA172" s="2" t="str">
        <f>+HLOOKUP(AA2,'[1]נתוני תאגידים'!$1:$83,80,0)</f>
        <v>חזק</v>
      </c>
      <c r="AB172" s="1" t="str">
        <f>+HLOOKUP(AB2,'[1]נתוני תאגידים'!$1:$83,80,0)</f>
        <v>חזק</v>
      </c>
      <c r="AC172" s="2" t="str">
        <f>+HLOOKUP(AC2,'[1]נתוני תאגידים'!$1:$83,80,0)</f>
        <v>חלש</v>
      </c>
      <c r="AD172" s="2" t="str">
        <f>+HLOOKUP(AD2,'[1]נתוני תאגידים'!$1:$83,80,0)</f>
        <v>חזק</v>
      </c>
      <c r="AE172" s="1" t="str">
        <f>+HLOOKUP(AE2,'[1]נתוני תאגידים'!$1:$83,80,0)</f>
        <v>חלש</v>
      </c>
      <c r="AF172" s="2" t="str">
        <f>+HLOOKUP(AF2,'[1]נתוני תאגידים'!$1:$83,80,0)</f>
        <v>חזק</v>
      </c>
      <c r="AG172" s="4" t="str">
        <f>+HLOOKUP(AG2,'[1]נתוני תאגידים'!$1:$83,80,0)</f>
        <v>חזק</v>
      </c>
      <c r="AH172" s="1" t="str">
        <f>+HLOOKUP(AH2,'[1]נתוני תאגידים'!$1:$83,80,0)</f>
        <v>חלש</v>
      </c>
      <c r="AI172" s="1" t="str">
        <f>+HLOOKUP(AI2,'[1]נתוני תאגידים'!$1:$83,80,0)</f>
        <v>חזק</v>
      </c>
      <c r="AJ172" s="1" t="str">
        <f>+HLOOKUP(AJ2,'[1]נתוני תאגידים'!$1:$83,80,0)</f>
        <v>חלש</v>
      </c>
      <c r="AK172" s="1" t="str">
        <f>+HLOOKUP(AK2,'[1]נתוני תאגידים'!$1:$83,80,0)</f>
        <v>חלש</v>
      </c>
      <c r="AL172" s="1" t="str">
        <f>+HLOOKUP(AL2,'[1]נתוני תאגידים'!$1:$83,80,0)</f>
        <v>חלש</v>
      </c>
      <c r="AM172" s="1" t="str">
        <f>+HLOOKUP(AM2,'[1]נתוני תאגידים'!$1:$83,80,0)</f>
        <v>חלש</v>
      </c>
      <c r="AN172" s="1" t="str">
        <f>+HLOOKUP(AN2,'[1]נתוני תאגידים'!$1:$83,80,0)</f>
        <v>חזק</v>
      </c>
      <c r="AO172" s="1" t="str">
        <f>+HLOOKUP(AO2,'[1]נתוני תאגידים'!$1:$83,80,0)</f>
        <v>חזק</v>
      </c>
      <c r="AP172" s="1" t="str">
        <f>+HLOOKUP(AP2,'[1]נתוני תאגידים'!$1:$83,80,0)</f>
        <v>חזק</v>
      </c>
      <c r="AQ172" s="1" t="str">
        <f>+HLOOKUP(AQ2,'[1]נתוני תאגידים'!$1:$83,80,0)</f>
        <v>חזק</v>
      </c>
      <c r="AR172" s="1" t="str">
        <f>+HLOOKUP(AR2,'[1]נתוני תאגידים'!$1:$83,80,0)</f>
        <v>חזק</v>
      </c>
      <c r="AS172" s="1" t="str">
        <f>+HLOOKUP(AS2,'[1]נתוני תאגידים'!$1:$83,80,0)</f>
        <v>חלש</v>
      </c>
      <c r="AT172" s="1" t="str">
        <f>+HLOOKUP(AT2,'[1]נתוני תאגידים'!$1:$83,80,0)</f>
        <v>חלש</v>
      </c>
      <c r="AU172" s="2" t="str">
        <f>+HLOOKUP(AU2,'[1]נתוני תאגידים'!$1:$83,80,0)</f>
        <v>חזק</v>
      </c>
      <c r="AV172" s="1" t="str">
        <f>+HLOOKUP(AV2,'[1]נתוני תאגידים'!$1:$83,80,0)</f>
        <v>חלש</v>
      </c>
    </row>
    <row r="174" spans="4:48" x14ac:dyDescent="0.2">
      <c r="D174" s="1" t="s">
        <v>143</v>
      </c>
      <c r="G174" s="1">
        <v>14147</v>
      </c>
      <c r="H174" s="1">
        <v>33884</v>
      </c>
      <c r="I174" s="1">
        <v>47474</v>
      </c>
      <c r="J174" s="1">
        <v>36907</v>
      </c>
      <c r="K174" s="2">
        <v>48040</v>
      </c>
      <c r="L174" s="1">
        <v>27784</v>
      </c>
      <c r="M174" s="1">
        <v>12998</v>
      </c>
      <c r="N174" s="2">
        <v>55543</v>
      </c>
      <c r="O174" s="2">
        <v>158151</v>
      </c>
      <c r="P174" s="1">
        <v>30550</v>
      </c>
      <c r="Q174" s="2">
        <v>166676</v>
      </c>
      <c r="R174" s="2">
        <v>36027</v>
      </c>
      <c r="S174" s="2">
        <v>119960</v>
      </c>
      <c r="T174" s="1">
        <v>88791</v>
      </c>
      <c r="U174" s="2">
        <v>40627</v>
      </c>
      <c r="V174" s="1">
        <v>86864</v>
      </c>
      <c r="W174" s="1">
        <v>46361</v>
      </c>
      <c r="X174" s="1">
        <v>42089</v>
      </c>
      <c r="Y174" s="1">
        <v>18131</v>
      </c>
      <c r="Z174" s="4">
        <v>449436</v>
      </c>
      <c r="AA174" s="2">
        <v>187368</v>
      </c>
      <c r="AB174" s="1">
        <v>9760</v>
      </c>
      <c r="AC174" s="2">
        <v>78885</v>
      </c>
      <c r="AD174" s="2">
        <v>27971</v>
      </c>
      <c r="AE174" s="1">
        <v>52175</v>
      </c>
      <c r="AF174" s="2">
        <v>27950</v>
      </c>
      <c r="AG174" s="4">
        <v>390683</v>
      </c>
      <c r="AH174" s="1">
        <v>36936</v>
      </c>
      <c r="AI174" s="1">
        <v>33336</v>
      </c>
      <c r="AJ174" s="1">
        <v>24729</v>
      </c>
      <c r="AK174" s="1">
        <f>27700125</f>
        <v>27700125</v>
      </c>
      <c r="AL174" s="1">
        <v>24597</v>
      </c>
      <c r="AM174" s="1">
        <v>41007</v>
      </c>
      <c r="AN174" s="1">
        <v>27971</v>
      </c>
      <c r="AO174" s="1">
        <v>25761</v>
      </c>
      <c r="AP174" s="1">
        <v>78086124</v>
      </c>
      <c r="AQ174" s="1">
        <v>49573</v>
      </c>
      <c r="AR174" s="1">
        <v>156355</v>
      </c>
      <c r="AS174" s="1">
        <v>78885</v>
      </c>
      <c r="AT174" s="1">
        <v>24441</v>
      </c>
      <c r="AU174" s="2">
        <v>57479</v>
      </c>
      <c r="AV174" s="1">
        <v>46032</v>
      </c>
    </row>
    <row r="176" spans="4:48" x14ac:dyDescent="0.2">
      <c r="D176" s="1" t="s">
        <v>144</v>
      </c>
      <c r="G176" s="1">
        <f>+G15+G57+G30</f>
        <v>215</v>
      </c>
      <c r="H176" s="1">
        <f t="shared" ref="H176:AV176" si="23">+H15+H57+H30</f>
        <v>278</v>
      </c>
      <c r="I176" s="1">
        <f t="shared" si="23"/>
        <v>0</v>
      </c>
      <c r="J176" s="1">
        <f t="shared" si="23"/>
        <v>429</v>
      </c>
      <c r="K176" s="2">
        <f t="shared" si="23"/>
        <v>471</v>
      </c>
      <c r="L176" s="1">
        <f t="shared" si="23"/>
        <v>0</v>
      </c>
      <c r="M176" s="1">
        <f t="shared" si="23"/>
        <v>362</v>
      </c>
      <c r="N176" s="2">
        <f t="shared" si="23"/>
        <v>851</v>
      </c>
      <c r="O176" s="2">
        <f t="shared" si="23"/>
        <v>1713</v>
      </c>
      <c r="P176" s="1">
        <f t="shared" si="23"/>
        <v>229</v>
      </c>
      <c r="Q176" s="2">
        <f t="shared" si="23"/>
        <v>4125</v>
      </c>
      <c r="R176" s="2">
        <f t="shared" si="23"/>
        <v>511</v>
      </c>
      <c r="S176" s="2">
        <f t="shared" si="23"/>
        <v>309</v>
      </c>
      <c r="T176" s="1">
        <f t="shared" si="23"/>
        <v>868</v>
      </c>
      <c r="U176" s="2">
        <f t="shared" si="23"/>
        <v>612</v>
      </c>
      <c r="V176" s="1">
        <f t="shared" si="23"/>
        <v>3017</v>
      </c>
      <c r="W176" s="1">
        <f t="shared" si="23"/>
        <v>324</v>
      </c>
      <c r="X176" s="1">
        <f t="shared" si="23"/>
        <v>2593</v>
      </c>
      <c r="Y176" s="1">
        <f t="shared" si="23"/>
        <v>305</v>
      </c>
      <c r="Z176" s="4">
        <f t="shared" si="23"/>
        <v>1503</v>
      </c>
      <c r="AA176" s="2">
        <f t="shared" si="23"/>
        <v>4076</v>
      </c>
      <c r="AB176" s="1">
        <f t="shared" si="23"/>
        <v>74</v>
      </c>
      <c r="AC176" s="2">
        <f t="shared" si="23"/>
        <v>0</v>
      </c>
      <c r="AD176" s="2">
        <f t="shared" si="23"/>
        <v>0</v>
      </c>
      <c r="AE176" s="1">
        <f t="shared" si="23"/>
        <v>1586</v>
      </c>
      <c r="AF176" s="2">
        <f t="shared" si="23"/>
        <v>408</v>
      </c>
      <c r="AG176" s="4">
        <f t="shared" si="23"/>
        <v>1224</v>
      </c>
      <c r="AH176" s="1">
        <f t="shared" si="23"/>
        <v>0</v>
      </c>
      <c r="AI176" s="1">
        <f t="shared" si="23"/>
        <v>299</v>
      </c>
      <c r="AJ176" s="1">
        <f t="shared" si="23"/>
        <v>267</v>
      </c>
      <c r="AK176" s="1">
        <f t="shared" si="23"/>
        <v>510</v>
      </c>
      <c r="AL176" s="1">
        <f t="shared" si="23"/>
        <v>415</v>
      </c>
      <c r="AM176" s="1">
        <f t="shared" si="23"/>
        <v>0</v>
      </c>
      <c r="AN176" s="1">
        <f t="shared" si="23"/>
        <v>494</v>
      </c>
      <c r="AO176" s="1">
        <f t="shared" si="23"/>
        <v>473</v>
      </c>
      <c r="AP176" s="1">
        <f t="shared" si="23"/>
        <v>1900</v>
      </c>
      <c r="AQ176" s="1">
        <f t="shared" si="23"/>
        <v>289</v>
      </c>
      <c r="AR176" s="1">
        <f t="shared" si="23"/>
        <v>2111</v>
      </c>
      <c r="AS176" s="1">
        <f t="shared" si="23"/>
        <v>416</v>
      </c>
      <c r="AT176" s="1">
        <f t="shared" si="23"/>
        <v>162</v>
      </c>
      <c r="AU176" s="2">
        <f t="shared" si="23"/>
        <v>3349</v>
      </c>
      <c r="AV176" s="1">
        <f t="shared" si="23"/>
        <v>0</v>
      </c>
    </row>
    <row r="177" spans="4:48" x14ac:dyDescent="0.2">
      <c r="G177" s="89"/>
      <c r="J177" s="90"/>
    </row>
    <row r="178" spans="4:48" s="91" customFormat="1" ht="15" x14ac:dyDescent="0.25">
      <c r="D178" s="91" t="s">
        <v>145</v>
      </c>
      <c r="G178" s="92">
        <f>+G176/G174</f>
        <v>1.5197568389057751E-2</v>
      </c>
      <c r="H178" s="92">
        <f>+H176/H174</f>
        <v>8.2044622830834604E-3</v>
      </c>
      <c r="I178" s="92">
        <f t="shared" ref="I178:AI178" si="24">+I176/I174</f>
        <v>0</v>
      </c>
      <c r="J178" s="92">
        <f t="shared" si="24"/>
        <v>1.1623811201127158E-2</v>
      </c>
      <c r="K178" s="93">
        <f t="shared" si="24"/>
        <v>9.8043297252289763E-3</v>
      </c>
      <c r="L178" s="92">
        <f t="shared" si="24"/>
        <v>0</v>
      </c>
      <c r="M178" s="92">
        <f t="shared" si="24"/>
        <v>2.7850438529004463E-2</v>
      </c>
      <c r="N178" s="93">
        <f t="shared" si="24"/>
        <v>1.5321462650559026E-2</v>
      </c>
      <c r="O178" s="93">
        <f t="shared" si="24"/>
        <v>1.0831420604359125E-2</v>
      </c>
      <c r="P178" s="92">
        <f t="shared" si="24"/>
        <v>7.4959083469721766E-3</v>
      </c>
      <c r="Q178" s="93">
        <f t="shared" si="24"/>
        <v>2.4748614077611655E-2</v>
      </c>
      <c r="R178" s="93">
        <f t="shared" si="24"/>
        <v>1.4183806589502317E-2</v>
      </c>
      <c r="S178" s="93">
        <f t="shared" si="24"/>
        <v>2.5758586195398468E-3</v>
      </c>
      <c r="T178" s="92">
        <f t="shared" si="24"/>
        <v>9.7757655618249603E-3</v>
      </c>
      <c r="U178" s="93">
        <f t="shared" si="24"/>
        <v>1.5063873778521673E-2</v>
      </c>
      <c r="V178" s="92">
        <f t="shared" si="24"/>
        <v>3.4732455332473752E-2</v>
      </c>
      <c r="W178" s="92">
        <f t="shared" si="24"/>
        <v>6.9886326869567092E-3</v>
      </c>
      <c r="X178" s="92">
        <f t="shared" si="24"/>
        <v>6.160754591460952E-2</v>
      </c>
      <c r="Y178" s="92">
        <f t="shared" si="24"/>
        <v>1.6822017539021565E-2</v>
      </c>
      <c r="Z178" s="92">
        <f t="shared" si="24"/>
        <v>3.3441913865377942E-3</v>
      </c>
      <c r="AA178" s="93">
        <f t="shared" si="24"/>
        <v>2.1753981469621281E-2</v>
      </c>
      <c r="AB178" s="92">
        <f t="shared" si="24"/>
        <v>7.5819672131147544E-3</v>
      </c>
      <c r="AC178" s="93">
        <f t="shared" si="24"/>
        <v>0</v>
      </c>
      <c r="AD178" s="93">
        <f t="shared" si="24"/>
        <v>0</v>
      </c>
      <c r="AE178" s="92">
        <f t="shared" si="24"/>
        <v>3.0397700047915668E-2</v>
      </c>
      <c r="AF178" s="93">
        <f t="shared" si="24"/>
        <v>1.4597495527728085E-2</v>
      </c>
      <c r="AG178" s="92">
        <f t="shared" si="24"/>
        <v>3.1329748158993352E-3</v>
      </c>
      <c r="AH178" s="92">
        <f t="shared" si="24"/>
        <v>0</v>
      </c>
      <c r="AI178" s="92">
        <f t="shared" si="24"/>
        <v>8.9692824574034071E-3</v>
      </c>
      <c r="AJ178" s="92">
        <f>+AJ176/AJ174</f>
        <v>1.0797039912653161E-2</v>
      </c>
      <c r="AK178" s="92">
        <f>+AK176/AK174</f>
        <v>1.8411469262322824E-5</v>
      </c>
      <c r="AL178" s="92">
        <f>+AL176/AL174</f>
        <v>1.6871976257267145E-2</v>
      </c>
      <c r="AM178" s="92">
        <f>+AM176/AM174</f>
        <v>0</v>
      </c>
      <c r="AN178" s="92">
        <f>+AN176/AN174</f>
        <v>1.7661149047227487E-2</v>
      </c>
      <c r="AO178" s="92">
        <f t="shared" ref="AO178:AV178" si="25">+AO176/AO174</f>
        <v>1.8361088467062615E-2</v>
      </c>
      <c r="AP178" s="92">
        <f t="shared" si="25"/>
        <v>2.4332107968376048E-5</v>
      </c>
      <c r="AQ178" s="92">
        <f t="shared" si="25"/>
        <v>5.8297863756480344E-3</v>
      </c>
      <c r="AR178" s="92">
        <f t="shared" si="25"/>
        <v>1.3501327108183301E-2</v>
      </c>
      <c r="AS178" s="92">
        <f t="shared" si="25"/>
        <v>5.273499397857641E-3</v>
      </c>
      <c r="AT178" s="92">
        <f t="shared" si="25"/>
        <v>6.6282067018534428E-3</v>
      </c>
      <c r="AU178" s="93">
        <f t="shared" si="25"/>
        <v>5.8264757563631933E-2</v>
      </c>
      <c r="AV178" s="92">
        <f t="shared" si="25"/>
        <v>0</v>
      </c>
    </row>
    <row r="179" spans="4:48" s="91" customFormat="1" ht="15" x14ac:dyDescent="0.25">
      <c r="K179" s="94"/>
      <c r="N179" s="94"/>
      <c r="O179" s="94"/>
      <c r="Q179" s="94"/>
      <c r="R179" s="94"/>
      <c r="S179" s="94"/>
      <c r="U179" s="94"/>
      <c r="AA179" s="94"/>
      <c r="AC179" s="94"/>
      <c r="AD179" s="94"/>
      <c r="AF179" s="94"/>
      <c r="AU179" s="94"/>
    </row>
    <row r="180" spans="4:48" s="91" customFormat="1" ht="15" x14ac:dyDescent="0.25">
      <c r="D180" s="91" t="s">
        <v>146</v>
      </c>
      <c r="G180" s="92">
        <f>+G176/(G25+G40+G68)</f>
        <v>1.948169626676332E-2</v>
      </c>
      <c r="H180" s="92">
        <f t="shared" ref="H180:AV180" si="26">+H176/(H25+H40+H68)</f>
        <v>1.0713322286022583E-2</v>
      </c>
      <c r="I180" s="92">
        <f t="shared" si="26"/>
        <v>0</v>
      </c>
      <c r="J180" s="92">
        <f t="shared" si="26"/>
        <v>1.5141354604171814E-2</v>
      </c>
      <c r="K180" s="93">
        <f t="shared" si="26"/>
        <v>1.5067660513772034E-2</v>
      </c>
      <c r="L180" s="92" t="e">
        <f t="shared" si="26"/>
        <v>#DIV/0!</v>
      </c>
      <c r="M180" s="92">
        <f t="shared" si="26"/>
        <v>3.6196380361963806E-2</v>
      </c>
      <c r="N180" s="93">
        <f t="shared" si="26"/>
        <v>2.9064207650273222E-2</v>
      </c>
      <c r="O180" s="93">
        <f t="shared" si="26"/>
        <v>1.4107125210000989E-2</v>
      </c>
      <c r="P180" s="92">
        <f t="shared" si="26"/>
        <v>9.9177132957990466E-3</v>
      </c>
      <c r="Q180" s="93">
        <f>+Q176/(Q25+Q40+Q68)</f>
        <v>4.1333907832900786E-2</v>
      </c>
      <c r="R180" s="93">
        <f t="shared" si="26"/>
        <v>1.4984019001260887E-2</v>
      </c>
      <c r="S180" s="93">
        <f t="shared" si="26"/>
        <v>3.1003862940851856E-3</v>
      </c>
      <c r="T180" s="92">
        <f t="shared" si="26"/>
        <v>1.3178070961179346E-2</v>
      </c>
      <c r="U180" s="93">
        <f t="shared" si="26"/>
        <v>1.566379155895677E-2</v>
      </c>
      <c r="V180" s="92">
        <f t="shared" si="26"/>
        <v>4.3149930634019368E-2</v>
      </c>
      <c r="W180" s="92">
        <f t="shared" si="26"/>
        <v>7.7284545476230234E-3</v>
      </c>
      <c r="X180" s="92">
        <f t="shared" si="26"/>
        <v>8.2936190628498316E-2</v>
      </c>
      <c r="Y180" s="92">
        <f t="shared" si="26"/>
        <v>2.2393538913362702E-2</v>
      </c>
      <c r="Z180" s="92">
        <f t="shared" si="26"/>
        <v>4.1621551268169622E-3</v>
      </c>
      <c r="AA180" s="93">
        <f t="shared" si="26"/>
        <v>2.4898597468601867E-2</v>
      </c>
      <c r="AB180" s="92">
        <f t="shared" si="26"/>
        <v>7.8531253316353605E-3</v>
      </c>
      <c r="AC180" s="93" t="e">
        <f t="shared" si="26"/>
        <v>#DIV/0!</v>
      </c>
      <c r="AD180" s="93" t="e">
        <f t="shared" si="26"/>
        <v>#DIV/0!</v>
      </c>
      <c r="AE180" s="92">
        <f t="shared" si="26"/>
        <v>2.8731884057971016E-2</v>
      </c>
      <c r="AF180" s="93">
        <f t="shared" si="26"/>
        <v>2.8252891074025344E-2</v>
      </c>
      <c r="AG180" s="92">
        <f t="shared" si="26"/>
        <v>3.7699005473131758E-3</v>
      </c>
      <c r="AH180" s="92">
        <f t="shared" si="26"/>
        <v>0</v>
      </c>
      <c r="AI180" s="92">
        <f t="shared" si="26"/>
        <v>9.3478396798599393E-3</v>
      </c>
      <c r="AJ180" s="92">
        <f t="shared" si="26"/>
        <v>1.1934027622580789E-2</v>
      </c>
      <c r="AK180" s="92">
        <f t="shared" si="26"/>
        <v>1.854006107314236E-2</v>
      </c>
      <c r="AL180" s="92">
        <f t="shared" si="26"/>
        <v>2.0767652504628933E-2</v>
      </c>
      <c r="AM180" s="92">
        <f t="shared" si="26"/>
        <v>0</v>
      </c>
      <c r="AN180" s="92">
        <f t="shared" si="26"/>
        <v>2.0486024715932652E-2</v>
      </c>
      <c r="AO180" s="92">
        <f t="shared" si="26"/>
        <v>3.0994037088002097E-2</v>
      </c>
      <c r="AP180" s="92">
        <f t="shared" si="26"/>
        <v>3.2043173960704947E-2</v>
      </c>
      <c r="AQ180" s="92">
        <f t="shared" si="26"/>
        <v>9.4890990281061207E-3</v>
      </c>
      <c r="AR180" s="92">
        <f t="shared" si="26"/>
        <v>1.99376652814507E-2</v>
      </c>
      <c r="AS180" s="92">
        <f t="shared" si="26"/>
        <v>1.0708953302785358E-2</v>
      </c>
      <c r="AT180" s="92">
        <f t="shared" si="26"/>
        <v>8.2463731229320443E-3</v>
      </c>
      <c r="AU180" s="93">
        <f t="shared" si="26"/>
        <v>7.7462182541518251E-2</v>
      </c>
      <c r="AV180" s="92">
        <f t="shared" si="26"/>
        <v>0</v>
      </c>
    </row>
    <row r="181" spans="4:48" s="91" customFormat="1" ht="15" x14ac:dyDescent="0.25">
      <c r="K181" s="94"/>
      <c r="N181" s="94"/>
      <c r="O181" s="94"/>
      <c r="Q181" s="94"/>
      <c r="R181" s="94"/>
      <c r="S181" s="94"/>
      <c r="U181" s="94"/>
      <c r="AA181" s="94"/>
      <c r="AC181" s="94"/>
      <c r="AD181" s="94"/>
      <c r="AF181" s="94"/>
      <c r="AU181" s="94"/>
    </row>
    <row r="182" spans="4:48" s="91" customFormat="1" ht="15" x14ac:dyDescent="0.25">
      <c r="D182" s="91" t="s">
        <v>147</v>
      </c>
      <c r="G182" s="92">
        <f>+G176/(G25+G40+G68-G12-G28)</f>
        <v>3.5010584595342779E-2</v>
      </c>
      <c r="H182" s="92">
        <f t="shared" ref="H182:AM182" si="27">+H176/(H25+H40+H68-H12-H28)</f>
        <v>2.9565032436456449E-2</v>
      </c>
      <c r="I182" s="92">
        <f t="shared" si="27"/>
        <v>0</v>
      </c>
      <c r="J182" s="92">
        <f t="shared" si="27"/>
        <v>2.6064766996779877E-2</v>
      </c>
      <c r="K182" s="93">
        <f t="shared" si="27"/>
        <v>2.9731094558767834E-2</v>
      </c>
      <c r="L182" s="92" t="e">
        <f t="shared" si="27"/>
        <v>#DIV/0!</v>
      </c>
      <c r="M182" s="92">
        <f t="shared" si="27"/>
        <v>4.6952010376134889E-2</v>
      </c>
      <c r="N182" s="93">
        <f t="shared" si="27"/>
        <v>5.6805286696482209E-2</v>
      </c>
      <c r="O182" s="93">
        <f t="shared" si="27"/>
        <v>3.4729543427134864E-2</v>
      </c>
      <c r="P182" s="92">
        <f t="shared" si="27"/>
        <v>2.0082434447075331E-2</v>
      </c>
      <c r="Q182" s="93">
        <f t="shared" si="27"/>
        <v>6.0929676075685738E-2</v>
      </c>
      <c r="R182" s="93">
        <f t="shared" si="27"/>
        <v>3.4913910904618747E-2</v>
      </c>
      <c r="S182" s="93">
        <f t="shared" si="27"/>
        <v>7.013959822948587E-3</v>
      </c>
      <c r="T182" s="92">
        <f t="shared" si="27"/>
        <v>3.0398543111297891E-2</v>
      </c>
      <c r="U182" s="93">
        <f t="shared" si="27"/>
        <v>3.0455337148544415E-2</v>
      </c>
      <c r="V182" s="92">
        <f t="shared" si="27"/>
        <v>7.3578187493903033E-2</v>
      </c>
      <c r="W182" s="92">
        <f t="shared" si="27"/>
        <v>1.3894249324585103E-2</v>
      </c>
      <c r="X182" s="92">
        <f t="shared" si="27"/>
        <v>8.2936190628498316E-2</v>
      </c>
      <c r="Y182" s="92">
        <f t="shared" si="27"/>
        <v>4.5091661738616201E-2</v>
      </c>
      <c r="Z182" s="92">
        <f t="shared" si="27"/>
        <v>8.1633761507753314E-3</v>
      </c>
      <c r="AA182" s="93">
        <f t="shared" si="27"/>
        <v>4.4730257670866073E-2</v>
      </c>
      <c r="AB182" s="92">
        <f t="shared" si="27"/>
        <v>2.2478736330498177E-2</v>
      </c>
      <c r="AC182" s="93" t="e">
        <f t="shared" si="27"/>
        <v>#DIV/0!</v>
      </c>
      <c r="AD182" s="93" t="e">
        <f t="shared" si="27"/>
        <v>#DIV/0!</v>
      </c>
      <c r="AE182" s="92">
        <f t="shared" si="27"/>
        <v>5.3082535644956158E-2</v>
      </c>
      <c r="AF182" s="93">
        <f t="shared" si="27"/>
        <v>3.9401255432158375E-2</v>
      </c>
      <c r="AG182" s="92">
        <f t="shared" si="27"/>
        <v>7.8449469312413481E-3</v>
      </c>
      <c r="AH182" s="92">
        <f t="shared" si="27"/>
        <v>0</v>
      </c>
      <c r="AI182" s="92">
        <f t="shared" si="27"/>
        <v>2.2288483041371598E-2</v>
      </c>
      <c r="AJ182" s="92">
        <f t="shared" si="27"/>
        <v>2.1247811554989653E-2</v>
      </c>
      <c r="AK182" s="92">
        <f t="shared" si="27"/>
        <v>3.5397001665741258E-2</v>
      </c>
      <c r="AL182" s="92">
        <f t="shared" si="27"/>
        <v>4.9176442706481811E-2</v>
      </c>
      <c r="AM182" s="92">
        <f t="shared" si="27"/>
        <v>0</v>
      </c>
      <c r="AN182" s="92">
        <f>+AN176/(AN25+AN40+AN68-AN12-AN28)</f>
        <v>4.1380465739654884E-2</v>
      </c>
      <c r="AO182" s="92">
        <f t="shared" ref="AO182:AV182" si="28">+AO176/(AO25+AO40+AO68-AO12-AO28)</f>
        <v>6.32522064723188E-2</v>
      </c>
      <c r="AP182" s="92">
        <f t="shared" si="28"/>
        <v>4.5336323939965166E-2</v>
      </c>
      <c r="AQ182" s="92">
        <f t="shared" si="28"/>
        <v>1.4272309743691047E-2</v>
      </c>
      <c r="AR182" s="92">
        <f t="shared" si="28"/>
        <v>2.9238632114018198E-2</v>
      </c>
      <c r="AS182" s="92">
        <f t="shared" si="28"/>
        <v>1.0708953302785358E-2</v>
      </c>
      <c r="AT182" s="92">
        <f t="shared" si="28"/>
        <v>1.3020414724320849E-2</v>
      </c>
      <c r="AU182" s="93">
        <f t="shared" si="28"/>
        <v>9.5565574706083775E-2</v>
      </c>
      <c r="AV182" s="92">
        <f t="shared" si="28"/>
        <v>0</v>
      </c>
    </row>
    <row r="183" spans="4:48" s="91" customFormat="1" ht="15" x14ac:dyDescent="0.25">
      <c r="K183" s="94"/>
      <c r="N183" s="94"/>
      <c r="O183" s="94"/>
      <c r="Q183" s="94"/>
      <c r="R183" s="94"/>
      <c r="S183" s="94"/>
      <c r="U183" s="94"/>
      <c r="AA183" s="94"/>
      <c r="AC183" s="94"/>
      <c r="AD183" s="94"/>
      <c r="AF183" s="94"/>
      <c r="AU183" s="94"/>
    </row>
    <row r="184" spans="4:48" s="91" customFormat="1" ht="15" x14ac:dyDescent="0.25">
      <c r="D184" s="91" t="s">
        <v>148</v>
      </c>
      <c r="G184" s="91">
        <f>+G11+G16+G29+G31+G56+G58+G129+G130</f>
        <v>3014</v>
      </c>
      <c r="H184" s="91">
        <f t="shared" ref="H184:AM184" si="29">+H11+H16+H29+H31+H56+H58+H129+H130</f>
        <v>5914</v>
      </c>
      <c r="I184" s="91">
        <f t="shared" si="29"/>
        <v>12561</v>
      </c>
      <c r="J184" s="91">
        <f t="shared" si="29"/>
        <v>2194</v>
      </c>
      <c r="K184" s="94">
        <f t="shared" si="29"/>
        <v>2497</v>
      </c>
      <c r="L184" s="91">
        <f t="shared" si="29"/>
        <v>0</v>
      </c>
      <c r="M184" s="91">
        <f t="shared" si="29"/>
        <v>2127</v>
      </c>
      <c r="N184" s="94">
        <f t="shared" si="29"/>
        <v>4001</v>
      </c>
      <c r="O184" s="94">
        <f t="shared" si="29"/>
        <v>11883</v>
      </c>
      <c r="P184" s="91">
        <f t="shared" si="29"/>
        <v>3365</v>
      </c>
      <c r="Q184" s="94">
        <f t="shared" si="29"/>
        <v>13365</v>
      </c>
      <c r="R184" s="94">
        <f t="shared" si="29"/>
        <v>5817</v>
      </c>
      <c r="S184" s="94">
        <f t="shared" si="29"/>
        <v>14112</v>
      </c>
      <c r="T184" s="91">
        <f t="shared" si="29"/>
        <v>15437</v>
      </c>
      <c r="U184" s="94">
        <f t="shared" si="29"/>
        <v>5245</v>
      </c>
      <c r="V184" s="91">
        <f t="shared" si="29"/>
        <v>7669</v>
      </c>
      <c r="W184" s="91">
        <f t="shared" si="29"/>
        <v>4954</v>
      </c>
      <c r="X184" s="91">
        <f t="shared" si="29"/>
        <v>10859</v>
      </c>
      <c r="Y184" s="91">
        <f t="shared" si="29"/>
        <v>583</v>
      </c>
      <c r="Z184" s="91">
        <f t="shared" si="29"/>
        <v>91083</v>
      </c>
      <c r="AA184" s="94">
        <f t="shared" si="29"/>
        <v>18962</v>
      </c>
      <c r="AB184" s="91">
        <f t="shared" si="29"/>
        <v>632</v>
      </c>
      <c r="AC184" s="94">
        <f t="shared" si="29"/>
        <v>0</v>
      </c>
      <c r="AD184" s="94">
        <f t="shared" si="29"/>
        <v>0</v>
      </c>
      <c r="AE184" s="91">
        <f t="shared" si="29"/>
        <v>13144</v>
      </c>
      <c r="AF184" s="94">
        <f t="shared" si="29"/>
        <v>1404</v>
      </c>
      <c r="AG184" s="91">
        <f t="shared" si="29"/>
        <v>106996</v>
      </c>
      <c r="AH184" s="91">
        <f t="shared" si="29"/>
        <v>4155</v>
      </c>
      <c r="AI184" s="91">
        <f t="shared" si="29"/>
        <v>5095</v>
      </c>
      <c r="AJ184" s="91">
        <f t="shared" si="29"/>
        <v>4673</v>
      </c>
      <c r="AK184" s="91">
        <f t="shared" si="29"/>
        <v>6655</v>
      </c>
      <c r="AL184" s="91">
        <f t="shared" si="29"/>
        <v>3094</v>
      </c>
      <c r="AM184" s="91">
        <f t="shared" si="29"/>
        <v>3766</v>
      </c>
      <c r="AN184" s="91">
        <f>+AN11+AN16+AN29+AN31+AN56+AN58+AN129+AN130</f>
        <v>4504</v>
      </c>
      <c r="AO184" s="91">
        <f t="shared" ref="AO184:AV184" si="30">+AO11+AO16+AO29+AO31+AO56+AO58+AO129+AO130</f>
        <v>1662</v>
      </c>
      <c r="AP184" s="91">
        <f t="shared" si="30"/>
        <v>11624</v>
      </c>
      <c r="AQ184" s="91">
        <f t="shared" si="30"/>
        <v>4126</v>
      </c>
      <c r="AR184" s="91">
        <f t="shared" si="30"/>
        <v>15044</v>
      </c>
      <c r="AS184" s="91">
        <f t="shared" si="30"/>
        <v>8295</v>
      </c>
      <c r="AT184" s="91">
        <f t="shared" si="30"/>
        <v>1684</v>
      </c>
      <c r="AU184" s="94">
        <f t="shared" si="30"/>
        <v>6945</v>
      </c>
      <c r="AV184" s="91">
        <f t="shared" si="30"/>
        <v>5765</v>
      </c>
    </row>
    <row r="185" spans="4:48" s="91" customFormat="1" ht="15" x14ac:dyDescent="0.25">
      <c r="K185" s="94"/>
      <c r="N185" s="94"/>
      <c r="O185" s="94"/>
      <c r="Q185" s="94"/>
      <c r="R185" s="94"/>
      <c r="S185" s="94"/>
      <c r="U185" s="94"/>
      <c r="AA185" s="94"/>
      <c r="AC185" s="94"/>
      <c r="AD185" s="94"/>
      <c r="AF185" s="94"/>
      <c r="AU185" s="94"/>
    </row>
    <row r="186" spans="4:48" s="91" customFormat="1" ht="15" x14ac:dyDescent="0.25">
      <c r="D186" s="91" t="s">
        <v>149</v>
      </c>
      <c r="G186" s="92">
        <f>+G184/(G25+G40+G68+G148)</f>
        <v>0.22666766939911259</v>
      </c>
      <c r="H186" s="92">
        <f t="shared" ref="H186:AV186" si="31">+H184/(H25+H40+H68+H148)</f>
        <v>0.20702208842370567</v>
      </c>
      <c r="I186" s="92">
        <f t="shared" si="31"/>
        <v>0.29412728890554019</v>
      </c>
      <c r="J186" s="92">
        <f t="shared" si="31"/>
        <v>7.2526528048659555E-2</v>
      </c>
      <c r="K186" s="93">
        <f t="shared" si="31"/>
        <v>7.3187173925786969E-2</v>
      </c>
      <c r="L186" s="92" t="e">
        <f t="shared" si="31"/>
        <v>#DIV/0!</v>
      </c>
      <c r="M186" s="92">
        <f t="shared" si="31"/>
        <v>0.19285519992746397</v>
      </c>
      <c r="N186" s="93">
        <f t="shared" si="31"/>
        <v>0.12332778497010048</v>
      </c>
      <c r="O186" s="93">
        <f t="shared" si="31"/>
        <v>9.4020745804552677E-2</v>
      </c>
      <c r="P186" s="92">
        <f t="shared" si="31"/>
        <v>0.1305832589545578</v>
      </c>
      <c r="Q186" s="93">
        <f t="shared" si="31"/>
        <v>0.11767450869902092</v>
      </c>
      <c r="R186" s="93">
        <f t="shared" si="31"/>
        <v>0.15736507507101313</v>
      </c>
      <c r="S186" s="93">
        <f t="shared" si="31"/>
        <v>0.13651269649334946</v>
      </c>
      <c r="T186" s="92">
        <f t="shared" si="31"/>
        <v>0.22046558126249644</v>
      </c>
      <c r="U186" s="93">
        <f t="shared" si="31"/>
        <v>0.12424493663389791</v>
      </c>
      <c r="V186" s="92">
        <f t="shared" si="31"/>
        <v>0.10446236412673332</v>
      </c>
      <c r="W186" s="92">
        <f t="shared" si="31"/>
        <v>0.11159165653016173</v>
      </c>
      <c r="X186" s="92">
        <f t="shared" si="31"/>
        <v>0.32525609536931649</v>
      </c>
      <c r="Y186" s="92">
        <f t="shared" si="31"/>
        <v>3.9958875942426322E-2</v>
      </c>
      <c r="Z186" s="92">
        <f t="shared" si="31"/>
        <v>0.22793486502786531</v>
      </c>
      <c r="AA186" s="93">
        <f t="shared" si="31"/>
        <v>0.11102133539427153</v>
      </c>
      <c r="AB186" s="92">
        <f t="shared" si="31"/>
        <v>6.4136391313172322E-2</v>
      </c>
      <c r="AC186" s="93" t="e">
        <f t="shared" si="31"/>
        <v>#DIV/0!</v>
      </c>
      <c r="AD186" s="93" t="e">
        <f t="shared" si="31"/>
        <v>#DIV/0!</v>
      </c>
      <c r="AE186" s="92">
        <f t="shared" si="31"/>
        <v>0.226503532655523</v>
      </c>
      <c r="AF186" s="93">
        <f t="shared" si="31"/>
        <v>8.6693423896264277E-2</v>
      </c>
      <c r="AG186" s="92">
        <f t="shared" si="31"/>
        <v>0.31984646795586552</v>
      </c>
      <c r="AH186" s="92">
        <f t="shared" si="31"/>
        <v>9.4804572523786712E-2</v>
      </c>
      <c r="AI186" s="92">
        <f t="shared" si="31"/>
        <v>0.15080210738175576</v>
      </c>
      <c r="AJ186" s="92">
        <f t="shared" si="31"/>
        <v>0.19002887235167337</v>
      </c>
      <c r="AK186" s="92">
        <f t="shared" si="31"/>
        <v>0.21778257739380849</v>
      </c>
      <c r="AL186" s="92">
        <f t="shared" si="31"/>
        <v>0.13782351106953539</v>
      </c>
      <c r="AM186" s="92">
        <f t="shared" si="31"/>
        <v>0.11218349717009235</v>
      </c>
      <c r="AN186" s="92">
        <f t="shared" si="31"/>
        <v>0.17297131226237566</v>
      </c>
      <c r="AO186" s="92">
        <f t="shared" si="31"/>
        <v>9.9052386912211687E-2</v>
      </c>
      <c r="AP186" s="92">
        <f t="shared" si="31"/>
        <v>0.18866760805700281</v>
      </c>
      <c r="AQ186" s="92">
        <f t="shared" si="31"/>
        <v>0.1258310460506252</v>
      </c>
      <c r="AR186" s="92">
        <f t="shared" si="31"/>
        <v>0.1185089488278296</v>
      </c>
      <c r="AS186" s="92">
        <f t="shared" si="31"/>
        <v>0.1861911068213957</v>
      </c>
      <c r="AT186" s="92">
        <f t="shared" si="31"/>
        <v>8.2427802251590798E-2</v>
      </c>
      <c r="AU186" s="93">
        <f t="shared" si="31"/>
        <v>0.14655918289826322</v>
      </c>
      <c r="AV186" s="92">
        <f t="shared" si="31"/>
        <v>0.15769030881588664</v>
      </c>
    </row>
    <row r="187" spans="4:48" s="91" customFormat="1" ht="15" x14ac:dyDescent="0.25">
      <c r="K187" s="94"/>
      <c r="N187" s="94"/>
      <c r="O187" s="94"/>
      <c r="Q187" s="94"/>
      <c r="R187" s="94"/>
      <c r="S187" s="94"/>
      <c r="U187" s="94"/>
      <c r="AA187" s="94"/>
      <c r="AC187" s="94"/>
      <c r="AD187" s="94"/>
      <c r="AF187" s="94"/>
      <c r="AU187" s="94"/>
    </row>
    <row r="188" spans="4:48" s="91" customFormat="1" ht="15" x14ac:dyDescent="0.25">
      <c r="D188" s="91" t="s">
        <v>150</v>
      </c>
      <c r="G188" s="91">
        <f>+G11+G29+G56+G129</f>
        <v>2080</v>
      </c>
      <c r="H188" s="91">
        <f t="shared" ref="H188:AM188" si="32">+H11+H29+H56+H129</f>
        <v>2529</v>
      </c>
      <c r="I188" s="91">
        <f t="shared" si="32"/>
        <v>4747</v>
      </c>
      <c r="J188" s="91">
        <f t="shared" si="32"/>
        <v>1861</v>
      </c>
      <c r="K188" s="94">
        <f t="shared" si="32"/>
        <v>2377</v>
      </c>
      <c r="L188" s="91">
        <f t="shared" si="32"/>
        <v>0</v>
      </c>
      <c r="M188" s="91">
        <f t="shared" si="32"/>
        <v>788</v>
      </c>
      <c r="N188" s="94">
        <f t="shared" si="32"/>
        <v>2505</v>
      </c>
      <c r="O188" s="94">
        <f t="shared" si="32"/>
        <v>4310</v>
      </c>
      <c r="P188" s="91">
        <f t="shared" si="32"/>
        <v>2438</v>
      </c>
      <c r="Q188" s="94">
        <f t="shared" si="32"/>
        <v>9821</v>
      </c>
      <c r="R188" s="94">
        <f t="shared" si="32"/>
        <v>2142</v>
      </c>
      <c r="S188" s="94">
        <f t="shared" si="32"/>
        <v>2852</v>
      </c>
      <c r="T188" s="91">
        <f t="shared" si="32"/>
        <v>2656</v>
      </c>
      <c r="U188" s="94">
        <f t="shared" si="32"/>
        <v>3363</v>
      </c>
      <c r="V188" s="91">
        <f t="shared" si="32"/>
        <v>7612</v>
      </c>
      <c r="W188" s="91">
        <f t="shared" si="32"/>
        <v>4954</v>
      </c>
      <c r="X188" s="91">
        <f t="shared" si="32"/>
        <v>2845</v>
      </c>
      <c r="Y188" s="91">
        <f t="shared" si="32"/>
        <v>136</v>
      </c>
      <c r="Z188" s="91">
        <f t="shared" si="32"/>
        <v>55445</v>
      </c>
      <c r="AA188" s="94">
        <f t="shared" si="32"/>
        <v>18962</v>
      </c>
      <c r="AB188" s="91">
        <f t="shared" si="32"/>
        <v>632</v>
      </c>
      <c r="AC188" s="94">
        <f t="shared" si="32"/>
        <v>0</v>
      </c>
      <c r="AD188" s="94">
        <f t="shared" si="32"/>
        <v>0</v>
      </c>
      <c r="AE188" s="91">
        <f t="shared" si="32"/>
        <v>2110</v>
      </c>
      <c r="AF188" s="94">
        <f t="shared" si="32"/>
        <v>1282</v>
      </c>
      <c r="AG188" s="91">
        <f t="shared" si="32"/>
        <v>27656</v>
      </c>
      <c r="AH188" s="91">
        <f t="shared" si="32"/>
        <v>1482</v>
      </c>
      <c r="AI188" s="91">
        <f t="shared" si="32"/>
        <v>1135</v>
      </c>
      <c r="AJ188" s="91">
        <f t="shared" si="32"/>
        <v>1588</v>
      </c>
      <c r="AK188" s="91">
        <f t="shared" si="32"/>
        <v>2633</v>
      </c>
      <c r="AL188" s="91">
        <f t="shared" si="32"/>
        <v>1072</v>
      </c>
      <c r="AM188" s="91">
        <f t="shared" si="32"/>
        <v>2533</v>
      </c>
      <c r="AN188" s="91">
        <f>+AN11+AN29+AN56+AN129</f>
        <v>1558</v>
      </c>
      <c r="AO188" s="91">
        <f t="shared" ref="AO188:AV188" si="33">+AO11+AO29+AO56+AO129</f>
        <v>1420</v>
      </c>
      <c r="AP188" s="91">
        <f t="shared" si="33"/>
        <v>5826</v>
      </c>
      <c r="AQ188" s="91">
        <f t="shared" si="33"/>
        <v>1926</v>
      </c>
      <c r="AR188" s="91">
        <f t="shared" si="33"/>
        <v>14348</v>
      </c>
      <c r="AS188" s="91">
        <f t="shared" si="33"/>
        <v>5641</v>
      </c>
      <c r="AT188" s="91">
        <f t="shared" si="33"/>
        <v>1488</v>
      </c>
      <c r="AU188" s="94">
        <f t="shared" si="33"/>
        <v>5318</v>
      </c>
      <c r="AV188" s="91">
        <f t="shared" si="33"/>
        <v>2171</v>
      </c>
    </row>
    <row r="190" spans="4:48" x14ac:dyDescent="0.2">
      <c r="D190" s="1" t="s">
        <v>151</v>
      </c>
      <c r="G190" s="95">
        <f>+G188/(G25-G16+G40-G31+G68-G58+G148-G130)</f>
        <v>0.16824395373291273</v>
      </c>
      <c r="H190" s="95">
        <f t="shared" ref="H190:AV190" si="34">+H188/(H25-H16+H40-H31+H68-H58+H148-H130)</f>
        <v>0.1004288777698356</v>
      </c>
      <c r="I190" s="95">
        <f t="shared" si="34"/>
        <v>0.13604837785165655</v>
      </c>
      <c r="J190" s="95">
        <f t="shared" si="34"/>
        <v>6.2203355839294074E-2</v>
      </c>
      <c r="K190" s="96">
        <f t="shared" si="34"/>
        <v>6.9915877404553212E-2</v>
      </c>
      <c r="L190" s="95" t="e">
        <f t="shared" si="34"/>
        <v>#DIV/0!</v>
      </c>
      <c r="M190" s="95">
        <f t="shared" si="34"/>
        <v>8.1320949432404546E-2</v>
      </c>
      <c r="N190" s="96">
        <f t="shared" si="34"/>
        <v>8.0947456860337358E-2</v>
      </c>
      <c r="O190" s="96">
        <f t="shared" si="34"/>
        <v>3.6275186425842071E-2</v>
      </c>
      <c r="P190" s="95">
        <f t="shared" si="34"/>
        <v>9.8140246356976088E-2</v>
      </c>
      <c r="Q190" s="96">
        <f t="shared" si="34"/>
        <v>8.9255852842809361E-2</v>
      </c>
      <c r="R190" s="96">
        <f t="shared" si="34"/>
        <v>6.4343646740762997E-2</v>
      </c>
      <c r="S190" s="96">
        <f t="shared" si="34"/>
        <v>3.0961298377028715E-2</v>
      </c>
      <c r="T190" s="95">
        <f t="shared" si="34"/>
        <v>4.6401928754869932E-2</v>
      </c>
      <c r="U190" s="96">
        <f t="shared" si="34"/>
        <v>8.3380854387226339E-2</v>
      </c>
      <c r="V190" s="95">
        <f t="shared" si="34"/>
        <v>0.10376651171667325</v>
      </c>
      <c r="W190" s="95">
        <f t="shared" si="34"/>
        <v>0.11159165653016173</v>
      </c>
      <c r="X190" s="95">
        <f t="shared" si="34"/>
        <v>0.11213148352514583</v>
      </c>
      <c r="Y190" s="95">
        <f t="shared" si="34"/>
        <v>9.6160644841971291E-3</v>
      </c>
      <c r="Z190" s="97">
        <f t="shared" si="34"/>
        <v>0.15233691336756758</v>
      </c>
      <c r="AA190" s="96">
        <f t="shared" si="34"/>
        <v>0.11102133539427153</v>
      </c>
      <c r="AB190" s="95">
        <f t="shared" si="34"/>
        <v>6.4136391313172322E-2</v>
      </c>
      <c r="AC190" s="96" t="e">
        <f t="shared" si="34"/>
        <v>#DIV/0!</v>
      </c>
      <c r="AD190" s="96" t="e">
        <f t="shared" si="34"/>
        <v>#DIV/0!</v>
      </c>
      <c r="AE190" s="95">
        <f t="shared" si="34"/>
        <v>4.489743807983658E-2</v>
      </c>
      <c r="AF190" s="96">
        <f t="shared" si="34"/>
        <v>7.976109002675294E-2</v>
      </c>
      <c r="AG190" s="97">
        <f t="shared" si="34"/>
        <v>0.1083771254354718</v>
      </c>
      <c r="AH190" s="95">
        <f t="shared" si="34"/>
        <v>3.6011080332409975E-2</v>
      </c>
      <c r="AI190" s="95">
        <f t="shared" si="34"/>
        <v>3.8054046804801178E-2</v>
      </c>
      <c r="AJ190" s="95">
        <f t="shared" si="34"/>
        <v>7.3839858644099324E-2</v>
      </c>
      <c r="AK190" s="95">
        <f t="shared" si="34"/>
        <v>9.9223696110943629E-2</v>
      </c>
      <c r="AL190" s="95">
        <f t="shared" si="34"/>
        <v>5.2479561364860233E-2</v>
      </c>
      <c r="AM190" s="95">
        <f t="shared" si="34"/>
        <v>7.8331323252002344E-2</v>
      </c>
      <c r="AN190" s="95">
        <f t="shared" si="34"/>
        <v>6.7466331788853764E-2</v>
      </c>
      <c r="AO190" s="95">
        <f t="shared" si="34"/>
        <v>8.58680534558868E-2</v>
      </c>
      <c r="AP190" s="95">
        <f t="shared" si="34"/>
        <v>0.1043842832315052</v>
      </c>
      <c r="AQ190" s="95">
        <f t="shared" si="34"/>
        <v>6.2961752206603466E-2</v>
      </c>
      <c r="AR190" s="95">
        <f t="shared" si="34"/>
        <v>0.11364932513782397</v>
      </c>
      <c r="AS190" s="95">
        <f t="shared" si="34"/>
        <v>0.13463971167386687</v>
      </c>
      <c r="AT190" s="95">
        <f t="shared" si="34"/>
        <v>7.3539586834041715E-2</v>
      </c>
      <c r="AU190" s="96">
        <f t="shared" si="34"/>
        <v>0.11621503496503496</v>
      </c>
      <c r="AV190" s="95">
        <f t="shared" si="34"/>
        <v>6.5857727893220086E-2</v>
      </c>
    </row>
    <row r="192" spans="4:48" x14ac:dyDescent="0.2">
      <c r="D192" s="1" t="s">
        <v>152</v>
      </c>
      <c r="G192" s="1">
        <f>+HLOOKUP(G2,'[1]נתוני תאגידים'!$1:$95,94,0)</f>
        <v>22596</v>
      </c>
      <c r="H192" s="1">
        <f>+HLOOKUP(H2,'[1]נתוני תאגידים'!$1:$95,94,0)</f>
        <v>85318</v>
      </c>
      <c r="I192" s="1">
        <f>+HLOOKUP(I2,'[1]נתוני תאגידים'!$1:$95,94,0)</f>
        <v>44036</v>
      </c>
      <c r="J192" s="1">
        <f>+HLOOKUP(J2,'[1]נתוני תאגידים'!$1:$95,94,0)</f>
        <v>40173</v>
      </c>
      <c r="K192" s="2">
        <f>+HLOOKUP(K2,'[1]נתוני תאגידים'!$1:$95,94,0)</f>
        <v>48788</v>
      </c>
      <c r="L192" s="1">
        <f>+HLOOKUP(L2,'[1]נתוני תאגידים'!$1:$95,94,0)</f>
        <v>26524</v>
      </c>
      <c r="M192" s="1">
        <f>+HLOOKUP(M2,'[1]נתוני תאגידים'!$1:$95,94,0)</f>
        <v>24269</v>
      </c>
      <c r="N192" s="2">
        <f>+HLOOKUP(N2,'[1]נתוני תאגידים'!$1:$95,94,0)</f>
        <v>74920</v>
      </c>
      <c r="O192" s="2">
        <f>+HLOOKUP(O2,'[1]נתוני תאגידים'!$1:$95,94,0)</f>
        <v>183018</v>
      </c>
      <c r="P192" s="1">
        <f>+HLOOKUP(P2,'[1]נתוני תאגידים'!$1:$95,94,0)</f>
        <v>48894</v>
      </c>
      <c r="Q192" s="2">
        <f>+HLOOKUP(Q2,'[1]נתוני תאגידים'!$1:$95,94,0)</f>
        <v>214616</v>
      </c>
      <c r="R192" s="2">
        <f>+HLOOKUP(R2,'[1]נתוני תאגידים'!$1:$95,94,0)</f>
        <v>66824</v>
      </c>
      <c r="S192" s="2">
        <f>+HLOOKUP(S2,'[1]נתוני תאגידים'!$1:$95,94,0)</f>
        <v>180904</v>
      </c>
      <c r="T192" s="1">
        <f>+HLOOKUP(T2,'[1]נתוני תאגידים'!$1:$95,94,0)</f>
        <v>43547</v>
      </c>
      <c r="U192" s="2">
        <f>+HLOOKUP(U2,'[1]נתוני תאגידים'!$1:$95,94,0)</f>
        <v>35587</v>
      </c>
      <c r="V192" s="1">
        <f>+HLOOKUP(V2,'[1]נתוני תאגידים'!$1:$95,94,0)</f>
        <v>83644</v>
      </c>
      <c r="W192" s="1">
        <f>+HLOOKUP(W2,'[1]נתוני תאגידים'!$1:$95,94,0)</f>
        <v>49354</v>
      </c>
      <c r="X192" s="1">
        <f>+HLOOKUP(X2,'[1]נתוני תאגידים'!$1:$95,94,0)</f>
        <v>47057</v>
      </c>
      <c r="Y192" s="1">
        <f>+HLOOKUP(Y2,'[1]נתוני תאגידים'!$1:$95,94,0)</f>
        <v>35760</v>
      </c>
      <c r="Z192" s="4">
        <f>+HLOOKUP(Z2,'[1]נתוני תאגידים'!$1:$95,94,0)</f>
        <v>698496</v>
      </c>
      <c r="AA192" s="2">
        <f>+HLOOKUP(AA2,'[1]נתוני תאגידים'!$1:$95,94,0)</f>
        <v>269406</v>
      </c>
      <c r="AB192" s="1">
        <f>+HLOOKUP(AB2,'[1]נתוני תאגידים'!$1:$95,94,0)</f>
        <v>38371</v>
      </c>
      <c r="AC192" s="2">
        <f>+HLOOKUP(AC2,'[1]נתוני תאגידים'!$1:$95,94,0)</f>
        <v>139634</v>
      </c>
      <c r="AD192" s="2">
        <f>+HLOOKUP(AD2,'[1]נתוני תאגידים'!$1:$95,94,0)</f>
        <v>41284</v>
      </c>
      <c r="AE192" s="1">
        <f>+HLOOKUP(AE2,'[1]נתוני תאגידים'!$1:$95,94,0)</f>
        <v>106744</v>
      </c>
      <c r="AF192" s="2">
        <f>+HLOOKUP(AF2,'[1]נתוני תאגידים'!$1:$95,94,0)</f>
        <v>47202</v>
      </c>
      <c r="AG192" s="4">
        <f>+HLOOKUP(AG2,'[1]נתוני תאגידים'!$1:$95,94,0)</f>
        <v>363387</v>
      </c>
      <c r="AH192" s="1">
        <f>+HLOOKUP(AH2,'[1]נתוני תאגידים'!$1:$95,94,0)</f>
        <v>86559</v>
      </c>
      <c r="AI192" s="1">
        <f>+HLOOKUP(AI2,'[1]נתוני תאגידים'!$1:$95,94,0)</f>
        <v>44929</v>
      </c>
      <c r="AJ192" s="1">
        <f>+HLOOKUP(AJ2,'[1]נתוני תאגידים'!$1:$95,94,0)</f>
        <v>56250</v>
      </c>
      <c r="AK192" s="1">
        <f>+HLOOKUP(AK2,'[1]נתוני תאגידים'!$1:$95,94,0)</f>
        <v>63609</v>
      </c>
      <c r="AL192" s="1">
        <f>+HLOOKUP(AL2,'[1]נתוני תאגידים'!$1:$95,94,0)</f>
        <v>57046</v>
      </c>
      <c r="AM192" s="1">
        <f>+HLOOKUP(AM2,'[1]נתוני תאגידים'!$1:$95,94,0)</f>
        <v>71653</v>
      </c>
      <c r="AN192" s="1">
        <f>+HLOOKUP(AN2,'[1]נתוני תאגידים'!$1:$95,94,0)</f>
        <v>41284</v>
      </c>
      <c r="AO192" s="1">
        <f>+HLOOKUP(AO2,'[1]נתוני תאגידים'!$1:$95,94,0)</f>
        <v>29753</v>
      </c>
      <c r="AP192" s="1">
        <f>+HLOOKUP(AP2,'[1]נתוני תאגידים'!$1:$95,94,0)</f>
        <v>131917</v>
      </c>
      <c r="AQ192" s="1">
        <f>+HLOOKUP(AQ2,'[1]נתוני תאגידים'!$1:$95,94,0)</f>
        <v>68953</v>
      </c>
      <c r="AR192" s="1">
        <f>+HLOOKUP(AR2,'[1]נתוני תאגידים'!$1:$95,94,0)</f>
        <v>195205</v>
      </c>
      <c r="AS192" s="1">
        <f>+HLOOKUP(AS2,'[1]נתוני תאגידים'!$1:$95,94,0)</f>
        <v>139634</v>
      </c>
      <c r="AT192" s="1">
        <f>+HLOOKUP(AT2,'[1]נתוני תאגידים'!$1:$95,94,0)</f>
        <v>45639</v>
      </c>
      <c r="AU192" s="2">
        <f>+HLOOKUP(AU2,'[1]נתוני תאגידים'!$1:$95,94,0)</f>
        <v>69657</v>
      </c>
      <c r="AV192" s="1">
        <f>+HLOOKUP(AV2,'[1]נתוני תאגידים'!$1:$95,94,0)</f>
        <v>48255</v>
      </c>
    </row>
    <row r="194" spans="4:48" x14ac:dyDescent="0.2">
      <c r="D194" s="1" t="s">
        <v>153</v>
      </c>
      <c r="G194" s="95">
        <f>+HLOOKUP(G2,'[1]נתוני תאגידים'!$1:$83,12,0)</f>
        <v>0.11</v>
      </c>
      <c r="H194" s="95">
        <f>+HLOOKUP(H2,'[1]נתוני תאגידים'!$1:$83,12,0)</f>
        <v>0.15</v>
      </c>
      <c r="I194" s="95">
        <f>+HLOOKUP(I2,'[1]נתוני תאגידים'!$1:$83,12,0)</f>
        <v>0.15</v>
      </c>
      <c r="J194" s="95">
        <f>+HLOOKUP(J2,'[1]נתוני תאגידים'!$1:$83,12,0)</f>
        <v>0.11</v>
      </c>
      <c r="K194" s="96">
        <f>+HLOOKUP(K2,'[1]נתוני תאגידים'!$1:$83,12,0)</f>
        <v>0.11</v>
      </c>
      <c r="L194" s="95">
        <f>+HLOOKUP(L2,'[1]נתוני תאגידים'!$1:$83,12,0)</f>
        <v>0.11</v>
      </c>
      <c r="M194" s="95">
        <f>+HLOOKUP(M2,'[1]נתוני תאגידים'!$1:$83,12,0)</f>
        <v>0.11</v>
      </c>
      <c r="N194" s="96">
        <f>+HLOOKUP(N2,'[1]נתוני תאגידים'!$1:$83,12,0)</f>
        <v>0.11</v>
      </c>
      <c r="O194" s="96">
        <f>+HLOOKUP(O2,'[1]נתוני תאגידים'!$1:$83,12,0)</f>
        <v>0.11</v>
      </c>
      <c r="P194" s="95">
        <f>+HLOOKUP(P2,'[1]נתוני תאגידים'!$1:$83,12,0)</f>
        <v>0.11</v>
      </c>
      <c r="Q194" s="96">
        <f>+HLOOKUP(Q2,'[1]נתוני תאגידים'!$1:$83,12,0)</f>
        <v>0.11</v>
      </c>
      <c r="R194" s="96">
        <f>+HLOOKUP(R2,'[1]נתוני תאגידים'!$1:$83,12,0)</f>
        <v>0.15</v>
      </c>
      <c r="S194" s="96">
        <f>+HLOOKUP(S2,'[1]נתוני תאגידים'!$1:$83,12,0)</f>
        <v>0.11</v>
      </c>
      <c r="T194" s="95">
        <f>+HLOOKUP(T2,'[1]נתוני תאגידים'!$1:$83,12,0)</f>
        <v>0.11</v>
      </c>
      <c r="U194" s="96">
        <f>+HLOOKUP(U2,'[1]נתוני תאגידים'!$1:$83,12,0)</f>
        <v>0.11</v>
      </c>
      <c r="V194" s="95">
        <f>+HLOOKUP(V2,'[1]נתוני תאגידים'!$1:$83,12,0)</f>
        <v>0.11</v>
      </c>
      <c r="W194" s="95">
        <f>+HLOOKUP(W2,'[1]נתוני תאגידים'!$1:$83,12,0)</f>
        <v>0.11</v>
      </c>
      <c r="X194" s="95">
        <f>+HLOOKUP(X2,'[1]נתוני תאגידים'!$1:$83,12,0)</f>
        <v>0.15</v>
      </c>
      <c r="Y194" s="95">
        <f>+HLOOKUP(Y2,'[1]נתוני תאגידים'!$1:$83,12,0)</f>
        <v>0.15</v>
      </c>
      <c r="Z194" s="97">
        <f>+HLOOKUP(Z2,'[1]נתוני תאגידים'!$1:$83,12,0)</f>
        <v>0.15</v>
      </c>
      <c r="AA194" s="96">
        <f>+HLOOKUP(AA2,'[1]נתוני תאגידים'!$1:$83,12,0)</f>
        <v>0.11</v>
      </c>
      <c r="AB194" s="95">
        <f>+HLOOKUP(AB2,'[1]נתוני תאגידים'!$1:$83,12,0)</f>
        <v>0.11</v>
      </c>
      <c r="AC194" s="96">
        <f>+HLOOKUP(AC2,'[1]נתוני תאגידים'!$1:$83,12,0)</f>
        <v>0.15</v>
      </c>
      <c r="AD194" s="96">
        <f>+HLOOKUP(AD2,'[1]נתוני תאגידים'!$1:$83,12,0)</f>
        <v>0.11</v>
      </c>
      <c r="AE194" s="95">
        <f>+HLOOKUP(AE2,'[1]נתוני תאגידים'!$1:$83,12,0)</f>
        <v>0.15</v>
      </c>
      <c r="AF194" s="96">
        <f>+HLOOKUP(AF2,'[1]נתוני תאגידים'!$1:$83,12,0)</f>
        <v>0.11</v>
      </c>
      <c r="AG194" s="97">
        <f>+HLOOKUP(AG2,'[1]נתוני תאגידים'!$1:$83,12,0)</f>
        <v>0.11</v>
      </c>
      <c r="AH194" s="95">
        <f>+HLOOKUP(AH2,'[1]נתוני תאגידים'!$1:$83,12,0)</f>
        <v>0.15</v>
      </c>
      <c r="AI194" s="95">
        <f>+HLOOKUP(AI2,'[1]נתוני תאגידים'!$1:$83,12,0)</f>
        <v>0.11</v>
      </c>
      <c r="AJ194" s="95">
        <f>+HLOOKUP(AJ2,'[1]נתוני תאגידים'!$1:$83,12,0)</f>
        <v>0.15</v>
      </c>
      <c r="AK194" s="95">
        <f>+HLOOKUP(AK2,'[1]נתוני תאגידים'!$1:$83,12,0)</f>
        <v>0.15</v>
      </c>
      <c r="AL194" s="95">
        <f>+HLOOKUP(AL2,'[1]נתוני תאגידים'!$1:$83,12,0)</f>
        <v>0.15</v>
      </c>
      <c r="AM194" s="95">
        <f>+HLOOKUP(AM2,'[1]נתוני תאגידים'!$1:$83,12,0)</f>
        <v>0.15</v>
      </c>
      <c r="AN194" s="95">
        <f>+HLOOKUP(AN2,'[1]נתוני תאגידים'!$1:$83,12,0)</f>
        <v>0.11</v>
      </c>
      <c r="AO194" s="95">
        <f>+HLOOKUP(AO2,'[1]נתוני תאגידים'!$1:$83,12,0)</f>
        <v>0.11</v>
      </c>
      <c r="AP194" s="95">
        <f>+HLOOKUP(AP2,'[1]נתוני תאגידים'!$1:$83,12,0)</f>
        <v>0.11</v>
      </c>
      <c r="AQ194" s="95">
        <f>+HLOOKUP(AQ2,'[1]נתוני תאגידים'!$1:$83,12,0)</f>
        <v>0.11</v>
      </c>
      <c r="AR194" s="95">
        <f>+HLOOKUP(AR2,'[1]נתוני תאגידים'!$1:$83,12,0)</f>
        <v>0.11</v>
      </c>
      <c r="AS194" s="95">
        <f>+HLOOKUP(AS2,'[1]נתוני תאגידים'!$1:$83,12,0)</f>
        <v>0.15</v>
      </c>
      <c r="AT194" s="95">
        <f>+HLOOKUP(AT2,'[1]נתוני תאגידים'!$1:$83,12,0)</f>
        <v>0.15</v>
      </c>
      <c r="AU194" s="96">
        <f>+HLOOKUP(AU2,'[1]נתוני תאגידים'!$1:$83,12,0)</f>
        <v>0.11</v>
      </c>
      <c r="AV194" s="95">
        <f>+HLOOKUP(AV2,'[1]נתוני תאגידים'!$1:$83,12,0)</f>
        <v>0.15</v>
      </c>
    </row>
    <row r="196" spans="4:48" x14ac:dyDescent="0.2">
      <c r="D196" s="1" t="s">
        <v>154</v>
      </c>
      <c r="G196" s="95">
        <f>+HLOOKUP(G2,'[1]נתוני תאגידים'!$1:$83,13,0)</f>
        <v>8.7499999999999994E-2</v>
      </c>
      <c r="H196" s="95">
        <f>+HLOOKUP(H2,'[1]נתוני תאגידים'!$1:$83,13,0)</f>
        <v>0.13250000000000001</v>
      </c>
      <c r="I196" s="95">
        <f>+HLOOKUP(I2,'[1]נתוני תאגידים'!$1:$83,13,0)</f>
        <v>0.13250000000000001</v>
      </c>
      <c r="J196" s="95">
        <f>+HLOOKUP(J2,'[1]נתוני תאגידים'!$1:$83,13,0)</f>
        <v>8.7499999999999994E-2</v>
      </c>
      <c r="K196" s="96">
        <f>+HLOOKUP(K2,'[1]נתוני תאגידים'!$1:$83,13,0)</f>
        <v>8.7499999999999994E-2</v>
      </c>
      <c r="L196" s="95">
        <f>+HLOOKUP(L2,'[1]נתוני תאגידים'!$1:$83,13,0)</f>
        <v>8.7499999999999994E-2</v>
      </c>
      <c r="M196" s="95">
        <f>+HLOOKUP(M2,'[1]נתוני תאגידים'!$1:$83,13,0)</f>
        <v>8.7499999999999994E-2</v>
      </c>
      <c r="N196" s="96">
        <f>+HLOOKUP(N2,'[1]נתוני תאגידים'!$1:$83,13,0)</f>
        <v>8.7499999999999994E-2</v>
      </c>
      <c r="O196" s="96">
        <f>+HLOOKUP(O2,'[1]נתוני תאגידים'!$1:$83,13,0)</f>
        <v>8.7499999999999994E-2</v>
      </c>
      <c r="P196" s="95">
        <f>+HLOOKUP(P2,'[1]נתוני תאגידים'!$1:$83,13,0)</f>
        <v>8.7499999999999994E-2</v>
      </c>
      <c r="Q196" s="96">
        <f>+HLOOKUP(Q2,'[1]נתוני תאגידים'!$1:$83,13,0)</f>
        <v>8.7499999999999994E-2</v>
      </c>
      <c r="R196" s="96">
        <f>+HLOOKUP(R2,'[1]נתוני תאגידים'!$1:$83,13,0)</f>
        <v>0.13250000000000001</v>
      </c>
      <c r="S196" s="96">
        <f>+HLOOKUP(S2,'[1]נתוני תאגידים'!$1:$83,13,0)</f>
        <v>8.7499999999999994E-2</v>
      </c>
      <c r="T196" s="95">
        <f>+HLOOKUP(T2,'[1]נתוני תאגידים'!$1:$83,13,0)</f>
        <v>8.7499999999999994E-2</v>
      </c>
      <c r="U196" s="96">
        <f>+HLOOKUP(U2,'[1]נתוני תאגידים'!$1:$83,13,0)</f>
        <v>8.7499999999999994E-2</v>
      </c>
      <c r="V196" s="95">
        <f>+HLOOKUP(V2,'[1]נתוני תאגידים'!$1:$83,13,0)</f>
        <v>8.7499999999999994E-2</v>
      </c>
      <c r="W196" s="95">
        <f>+HLOOKUP(W2,'[1]נתוני תאגידים'!$1:$83,13,0)</f>
        <v>8.7499999999999994E-2</v>
      </c>
      <c r="X196" s="95">
        <f>+HLOOKUP(X2,'[1]נתוני תאגידים'!$1:$83,13,0)</f>
        <v>0.13250000000000001</v>
      </c>
      <c r="Y196" s="95">
        <f>+HLOOKUP(Y2,'[1]נתוני תאגידים'!$1:$83,13,0)</f>
        <v>0.13250000000000001</v>
      </c>
      <c r="Z196" s="97">
        <f>+HLOOKUP(Z2,'[1]נתוני תאגידים'!$1:$83,13,0)</f>
        <v>0.13250000000000001</v>
      </c>
      <c r="AA196" s="96">
        <f>+HLOOKUP(AA2,'[1]נתוני תאגידים'!$1:$83,13,0)</f>
        <v>8.7499999999999994E-2</v>
      </c>
      <c r="AB196" s="95">
        <f>+HLOOKUP(AB2,'[1]נתוני תאגידים'!$1:$83,13,0)</f>
        <v>8.7499999999999994E-2</v>
      </c>
      <c r="AC196" s="96">
        <f>+HLOOKUP(AC2,'[1]נתוני תאגידים'!$1:$83,13,0)</f>
        <v>0.13250000000000001</v>
      </c>
      <c r="AD196" s="96">
        <f>+HLOOKUP(AD2,'[1]נתוני תאגידים'!$1:$83,13,0)</f>
        <v>8.7499999999999994E-2</v>
      </c>
      <c r="AE196" s="95">
        <f>+HLOOKUP(AE2,'[1]נתוני תאגידים'!$1:$83,13,0)</f>
        <v>0.13250000000000001</v>
      </c>
      <c r="AF196" s="96">
        <f>+HLOOKUP(AF2,'[1]נתוני תאגידים'!$1:$83,13,0)</f>
        <v>8.7499999999999994E-2</v>
      </c>
      <c r="AG196" s="97">
        <f>+HLOOKUP(AG2,'[1]נתוני תאגידים'!$1:$83,13,0)</f>
        <v>8.7499999999999994E-2</v>
      </c>
      <c r="AH196" s="95">
        <f>+HLOOKUP(AH2,'[1]נתוני תאגידים'!$1:$83,13,0)</f>
        <v>0.13250000000000001</v>
      </c>
      <c r="AI196" s="95">
        <f>+HLOOKUP(AI2,'[1]נתוני תאגידים'!$1:$83,13,0)</f>
        <v>8.7499999999999994E-2</v>
      </c>
      <c r="AJ196" s="95">
        <f>+HLOOKUP(AJ2,'[1]נתוני תאגידים'!$1:$83,13,0)</f>
        <v>0.13250000000000001</v>
      </c>
      <c r="AK196" s="95">
        <f>+HLOOKUP(AK2,'[1]נתוני תאגידים'!$1:$83,13,0)</f>
        <v>0.13250000000000001</v>
      </c>
      <c r="AL196" s="95">
        <f>+HLOOKUP(AL2,'[1]נתוני תאגידים'!$1:$83,13,0)</f>
        <v>0.13250000000000001</v>
      </c>
      <c r="AM196" s="95">
        <f>+HLOOKUP(AM2,'[1]נתוני תאגידים'!$1:$83,13,0)</f>
        <v>0.13250000000000001</v>
      </c>
      <c r="AN196" s="95">
        <f>+HLOOKUP(AN2,'[1]נתוני תאגידים'!$1:$83,13,0)</f>
        <v>8.7499999999999994E-2</v>
      </c>
      <c r="AO196" s="95">
        <f>+HLOOKUP(AO2,'[1]נתוני תאגידים'!$1:$83,13,0)</f>
        <v>8.7499999999999994E-2</v>
      </c>
      <c r="AP196" s="95">
        <f>+HLOOKUP(AP2,'[1]נתוני תאגידים'!$1:$83,13,0)</f>
        <v>8.7499999999999994E-2</v>
      </c>
      <c r="AQ196" s="95">
        <f>+HLOOKUP(AQ2,'[1]נתוני תאגידים'!$1:$83,13,0)</f>
        <v>8.7499999999999994E-2</v>
      </c>
      <c r="AR196" s="95">
        <f>+HLOOKUP(AR2,'[1]נתוני תאגידים'!$1:$83,13,0)</f>
        <v>8.7499999999999994E-2</v>
      </c>
      <c r="AS196" s="95">
        <f>+HLOOKUP(AS2,'[1]נתוני תאגידים'!$1:$83,13,0)</f>
        <v>0.13250000000000001</v>
      </c>
      <c r="AT196" s="95">
        <f>+HLOOKUP(AT2,'[1]נתוני תאגידים'!$1:$83,13,0)</f>
        <v>0.13250000000000001</v>
      </c>
      <c r="AU196" s="96">
        <f>+HLOOKUP(AU2,'[1]נתוני תאגידים'!$1:$83,13,0)</f>
        <v>8.7499999999999994E-2</v>
      </c>
      <c r="AV196" s="95">
        <f>+HLOOKUP(AV2,'[1]נתוני תאגידים'!$1:$83,13,0)</f>
        <v>0.13250000000000001</v>
      </c>
    </row>
    <row r="198" spans="4:48" x14ac:dyDescent="0.2">
      <c r="D198" s="1" t="s">
        <v>155</v>
      </c>
      <c r="G198" s="95">
        <f>+HLOOKUP(G2,'[1]נתוני תאגידים'!$1:$83,7,0)</f>
        <v>0.08</v>
      </c>
      <c r="H198" s="95">
        <f>+HLOOKUP(H2,'[1]נתוני תאגידים'!$1:$83,7,0)</f>
        <v>0.12</v>
      </c>
      <c r="I198" s="95">
        <f>+HLOOKUP(I2,'[1]נתוני תאגידים'!$1:$83,7,0)</f>
        <v>0.12</v>
      </c>
      <c r="J198" s="95">
        <f>+HLOOKUP(J2,'[1]נתוני תאגידים'!$1:$83,7,0)</f>
        <v>0.08</v>
      </c>
      <c r="K198" s="96">
        <f>+HLOOKUP(K2,'[1]נתוני תאגידים'!$1:$83,7,0)</f>
        <v>0.08</v>
      </c>
      <c r="L198" s="95">
        <f>+HLOOKUP(L2,'[1]נתוני תאגידים'!$1:$83,7,0)</f>
        <v>0.08</v>
      </c>
      <c r="M198" s="95">
        <f>+HLOOKUP(M2,'[1]נתוני תאגידים'!$1:$83,7,0)</f>
        <v>0.08</v>
      </c>
      <c r="N198" s="96">
        <f>+HLOOKUP(N2,'[1]נתוני תאגידים'!$1:$83,7,0)</f>
        <v>0.08</v>
      </c>
      <c r="O198" s="96">
        <f>+HLOOKUP(O2,'[1]נתוני תאגידים'!$1:$83,7,0)</f>
        <v>0.08</v>
      </c>
      <c r="P198" s="95">
        <f>+HLOOKUP(P2,'[1]נתוני תאגידים'!$1:$83,7,0)</f>
        <v>0.08</v>
      </c>
      <c r="Q198" s="96">
        <f>+HLOOKUP(Q2,'[1]נתוני תאגידים'!$1:$83,7,0)</f>
        <v>0.08</v>
      </c>
      <c r="R198" s="96">
        <f>+HLOOKUP(R2,'[1]נתוני תאגידים'!$1:$83,7,0)</f>
        <v>0.12</v>
      </c>
      <c r="S198" s="96">
        <f>+HLOOKUP(S2,'[1]נתוני תאגידים'!$1:$83,7,0)</f>
        <v>0.08</v>
      </c>
      <c r="T198" s="95">
        <f>+HLOOKUP(T2,'[1]נתוני תאגידים'!$1:$83,7,0)</f>
        <v>0.08</v>
      </c>
      <c r="U198" s="96">
        <f>+HLOOKUP(U2,'[1]נתוני תאגידים'!$1:$83,7,0)</f>
        <v>0.08</v>
      </c>
      <c r="V198" s="95">
        <f>+HLOOKUP(V2,'[1]נתוני תאגידים'!$1:$83,7,0)</f>
        <v>0.08</v>
      </c>
      <c r="W198" s="95">
        <f>+HLOOKUP(W2,'[1]נתוני תאגידים'!$1:$83,7,0)</f>
        <v>0.08</v>
      </c>
      <c r="X198" s="95">
        <f>+HLOOKUP(X2,'[1]נתוני תאגידים'!$1:$83,7,0)</f>
        <v>0.12</v>
      </c>
      <c r="Y198" s="95">
        <f>+HLOOKUP(Y2,'[1]נתוני תאגידים'!$1:$83,7,0)</f>
        <v>0.12</v>
      </c>
      <c r="Z198" s="97">
        <f>+HLOOKUP(Z2,'[1]נתוני תאגידים'!$1:$83,7,0)</f>
        <v>0.12</v>
      </c>
      <c r="AA198" s="96">
        <f>+HLOOKUP(AA2,'[1]נתוני תאגידים'!$1:$83,7,0)</f>
        <v>0.08</v>
      </c>
      <c r="AB198" s="95">
        <f>+HLOOKUP(AB2,'[1]נתוני תאגידים'!$1:$83,7,0)</f>
        <v>0.08</v>
      </c>
      <c r="AC198" s="96">
        <f>+HLOOKUP(AC2,'[1]נתוני תאגידים'!$1:$83,7,0)</f>
        <v>0.12</v>
      </c>
      <c r="AD198" s="96">
        <f>+HLOOKUP(AD2,'[1]נתוני תאגידים'!$1:$83,7,0)</f>
        <v>0.08</v>
      </c>
      <c r="AE198" s="95">
        <f>+HLOOKUP(AE2,'[1]נתוני תאגידים'!$1:$83,7,0)</f>
        <v>0.12</v>
      </c>
      <c r="AF198" s="96">
        <f>+HLOOKUP(AF2,'[1]נתוני תאגידים'!$1:$83,7,0)</f>
        <v>0.08</v>
      </c>
      <c r="AG198" s="97">
        <f>+HLOOKUP(AG2,'[1]נתוני תאגידים'!$1:$83,7,0)</f>
        <v>0.08</v>
      </c>
      <c r="AH198" s="95">
        <f>+HLOOKUP(AH2,'[1]נתוני תאגידים'!$1:$83,7,0)</f>
        <v>0.12</v>
      </c>
      <c r="AI198" s="95">
        <f>+HLOOKUP(AI2,'[1]נתוני תאגידים'!$1:$83,7,0)</f>
        <v>0.08</v>
      </c>
      <c r="AJ198" s="95">
        <f>+HLOOKUP(AJ2,'[1]נתוני תאגידים'!$1:$83,7,0)</f>
        <v>0.12</v>
      </c>
      <c r="AK198" s="95">
        <f>+HLOOKUP(AK2,'[1]נתוני תאגידים'!$1:$83,7,0)</f>
        <v>0.12</v>
      </c>
      <c r="AL198" s="95">
        <f>+HLOOKUP(AL2,'[1]נתוני תאגידים'!$1:$83,7,0)</f>
        <v>0.12</v>
      </c>
      <c r="AM198" s="95">
        <f>+HLOOKUP(AM2,'[1]נתוני תאגידים'!$1:$83,7,0)</f>
        <v>0.12</v>
      </c>
      <c r="AN198" s="95">
        <f>+HLOOKUP(AN2,'[1]נתוני תאגידים'!$1:$83,7,0)</f>
        <v>0.08</v>
      </c>
      <c r="AO198" s="95">
        <f>+HLOOKUP(AO2,'[1]נתוני תאגידים'!$1:$83,7,0)</f>
        <v>0.08</v>
      </c>
      <c r="AP198" s="95">
        <f>+HLOOKUP(AP2,'[1]נתוני תאגידים'!$1:$83,7,0)</f>
        <v>0.08</v>
      </c>
      <c r="AQ198" s="95">
        <f>+HLOOKUP(AQ2,'[1]נתוני תאגידים'!$1:$83,7,0)</f>
        <v>0.08</v>
      </c>
      <c r="AR198" s="95">
        <f>+HLOOKUP(AR2,'[1]נתוני תאגידים'!$1:$83,7,0)</f>
        <v>0.08</v>
      </c>
      <c r="AS198" s="95">
        <f>+HLOOKUP(AS2,'[1]נתוני תאגידים'!$1:$83,7,0)</f>
        <v>0.12</v>
      </c>
      <c r="AT198" s="95">
        <f>+HLOOKUP(AT2,'[1]נתוני תאגידים'!$1:$83,7,0)</f>
        <v>0.12</v>
      </c>
      <c r="AU198" s="96">
        <f>+HLOOKUP(AU2,'[1]נתוני תאגידים'!$1:$83,7,0)</f>
        <v>0.08</v>
      </c>
      <c r="AV198" s="95">
        <f>+HLOOKUP(AV2,'[1]נתוני תאגידים'!$1:$83,7,0)</f>
        <v>0.12</v>
      </c>
    </row>
    <row r="200" spans="4:48" x14ac:dyDescent="0.2">
      <c r="D200" s="1" t="s">
        <v>156</v>
      </c>
      <c r="G200" s="95">
        <f>+HLOOKUP(G2,'[1]נתוני תאגידים'!$1:$83,8,0)</f>
        <v>6.5000000000000002E-2</v>
      </c>
      <c r="H200" s="95">
        <f>+HLOOKUP(H2,'[1]נתוני תאגידים'!$1:$83,8,0)</f>
        <v>0.105</v>
      </c>
      <c r="I200" s="95">
        <f>+HLOOKUP(I2,'[1]נתוני תאגידים'!$1:$83,8,0)</f>
        <v>0.105</v>
      </c>
      <c r="J200" s="95">
        <f>+HLOOKUP(J2,'[1]נתוני תאגידים'!$1:$83,8,0)</f>
        <v>6.5000000000000002E-2</v>
      </c>
      <c r="K200" s="96">
        <f>+HLOOKUP(K2,'[1]נתוני תאגידים'!$1:$83,8,0)</f>
        <v>6.5000000000000002E-2</v>
      </c>
      <c r="L200" s="95">
        <f>+HLOOKUP(L2,'[1]נתוני תאגידים'!$1:$83,8,0)</f>
        <v>6.5000000000000002E-2</v>
      </c>
      <c r="M200" s="95">
        <f>+HLOOKUP(M2,'[1]נתוני תאגידים'!$1:$83,8,0)</f>
        <v>6.5000000000000002E-2</v>
      </c>
      <c r="N200" s="96">
        <f>+HLOOKUP(N2,'[1]נתוני תאגידים'!$1:$83,8,0)</f>
        <v>6.5000000000000002E-2</v>
      </c>
      <c r="O200" s="96">
        <f>+HLOOKUP(O2,'[1]נתוני תאגידים'!$1:$83,8,0)</f>
        <v>6.5000000000000002E-2</v>
      </c>
      <c r="P200" s="95">
        <f>+HLOOKUP(P2,'[1]נתוני תאגידים'!$1:$83,8,0)</f>
        <v>6.5000000000000002E-2</v>
      </c>
      <c r="Q200" s="96">
        <f>+HLOOKUP(Q2,'[1]נתוני תאגידים'!$1:$83,8,0)</f>
        <v>6.5000000000000002E-2</v>
      </c>
      <c r="R200" s="96">
        <f>+HLOOKUP(R2,'[1]נתוני תאגידים'!$1:$83,8,0)</f>
        <v>0.105</v>
      </c>
      <c r="S200" s="96">
        <f>+HLOOKUP(S2,'[1]נתוני תאגידים'!$1:$83,8,0)</f>
        <v>6.5000000000000002E-2</v>
      </c>
      <c r="T200" s="95">
        <f>+HLOOKUP(T2,'[1]נתוני תאגידים'!$1:$83,8,0)</f>
        <v>6.5000000000000002E-2</v>
      </c>
      <c r="U200" s="96">
        <f>+HLOOKUP(U2,'[1]נתוני תאגידים'!$1:$83,8,0)</f>
        <v>6.5000000000000002E-2</v>
      </c>
      <c r="V200" s="95">
        <f>+HLOOKUP(V2,'[1]נתוני תאגידים'!$1:$83,8,0)</f>
        <v>6.5000000000000002E-2</v>
      </c>
      <c r="W200" s="95">
        <f>+HLOOKUP(W2,'[1]נתוני תאגידים'!$1:$83,8,0)</f>
        <v>6.5000000000000002E-2</v>
      </c>
      <c r="X200" s="95">
        <f>+HLOOKUP(X2,'[1]נתוני תאגידים'!$1:$83,8,0)</f>
        <v>0.105</v>
      </c>
      <c r="Y200" s="95">
        <f>+HLOOKUP(Y2,'[1]נתוני תאגידים'!$1:$83,8,0)</f>
        <v>0.105</v>
      </c>
      <c r="Z200" s="97">
        <f>+HLOOKUP(Z2,'[1]נתוני תאגידים'!$1:$83,8,0)</f>
        <v>0.105</v>
      </c>
      <c r="AA200" s="96">
        <f>+HLOOKUP(AA2,'[1]נתוני תאגידים'!$1:$83,8,0)</f>
        <v>6.5000000000000002E-2</v>
      </c>
      <c r="AB200" s="95">
        <f>+HLOOKUP(AB2,'[1]נתוני תאגידים'!$1:$83,8,0)</f>
        <v>6.5000000000000002E-2</v>
      </c>
      <c r="AC200" s="96">
        <f>+HLOOKUP(AC2,'[1]נתוני תאגידים'!$1:$83,8,0)</f>
        <v>0.105</v>
      </c>
      <c r="AD200" s="96">
        <f>+HLOOKUP(AD2,'[1]נתוני תאגידים'!$1:$83,8,0)</f>
        <v>6.5000000000000002E-2</v>
      </c>
      <c r="AE200" s="95">
        <f>+HLOOKUP(AE2,'[1]נתוני תאגידים'!$1:$83,8,0)</f>
        <v>0.105</v>
      </c>
      <c r="AF200" s="96">
        <f>+HLOOKUP(AF2,'[1]נתוני תאגידים'!$1:$83,8,0)</f>
        <v>6.5000000000000002E-2</v>
      </c>
      <c r="AG200" s="97">
        <f>+HLOOKUP(AG2,'[1]נתוני תאגידים'!$1:$83,8,0)</f>
        <v>6.5000000000000002E-2</v>
      </c>
      <c r="AH200" s="95">
        <f>+HLOOKUP(AH2,'[1]נתוני תאגידים'!$1:$83,8,0)</f>
        <v>0.105</v>
      </c>
      <c r="AI200" s="95">
        <f>+HLOOKUP(AI2,'[1]נתוני תאגידים'!$1:$83,8,0)</f>
        <v>6.5000000000000002E-2</v>
      </c>
      <c r="AJ200" s="95">
        <f>+HLOOKUP(AJ2,'[1]נתוני תאגידים'!$1:$83,8,0)</f>
        <v>0.105</v>
      </c>
      <c r="AK200" s="95">
        <f>+HLOOKUP(AK2,'[1]נתוני תאגידים'!$1:$83,8,0)</f>
        <v>0.105</v>
      </c>
      <c r="AL200" s="95">
        <f>+HLOOKUP(AL2,'[1]נתוני תאגידים'!$1:$83,8,0)</f>
        <v>0.105</v>
      </c>
      <c r="AM200" s="95">
        <f>+HLOOKUP(AM2,'[1]נתוני תאגידים'!$1:$83,8,0)</f>
        <v>0.105</v>
      </c>
      <c r="AN200" s="95">
        <f>+HLOOKUP(AN2,'[1]נתוני תאגידים'!$1:$83,8,0)</f>
        <v>6.5000000000000002E-2</v>
      </c>
      <c r="AO200" s="95">
        <f>+HLOOKUP(AO2,'[1]נתוני תאגידים'!$1:$83,8,0)</f>
        <v>6.5000000000000002E-2</v>
      </c>
      <c r="AP200" s="95">
        <f>+HLOOKUP(AP2,'[1]נתוני תאגידים'!$1:$83,8,0)</f>
        <v>6.5000000000000002E-2</v>
      </c>
      <c r="AQ200" s="95">
        <f>+HLOOKUP(AQ2,'[1]נתוני תאגידים'!$1:$83,8,0)</f>
        <v>6.5000000000000002E-2</v>
      </c>
      <c r="AR200" s="95">
        <f>+HLOOKUP(AR2,'[1]נתוני תאגידים'!$1:$83,8,0)</f>
        <v>6.5000000000000002E-2</v>
      </c>
      <c r="AS200" s="95">
        <f>+HLOOKUP(AS2,'[1]נתוני תאגידים'!$1:$83,8,0)</f>
        <v>0.105</v>
      </c>
      <c r="AT200" s="95">
        <f>+HLOOKUP(AT2,'[1]נתוני תאגידים'!$1:$83,8,0)</f>
        <v>0.105</v>
      </c>
      <c r="AU200" s="96">
        <f>+HLOOKUP(AU2,'[1]נתוני תאגידים'!$1:$83,8,0)</f>
        <v>6.5000000000000002E-2</v>
      </c>
      <c r="AV200" s="95">
        <f>+HLOOKUP(AV2,'[1]נתוני תאגידים'!$1:$83,8,0)</f>
        <v>0.105</v>
      </c>
    </row>
    <row r="202" spans="4:48" hidden="1" x14ac:dyDescent="0.2">
      <c r="G202" s="90">
        <f>136/G174</f>
        <v>9.6133455856365312E-3</v>
      </c>
      <c r="H202" s="90">
        <f t="shared" ref="H202:AV202" si="35">+H176/H174</f>
        <v>8.2044622830834604E-3</v>
      </c>
      <c r="I202" s="90">
        <f t="shared" si="35"/>
        <v>0</v>
      </c>
      <c r="J202" s="90">
        <f t="shared" si="35"/>
        <v>1.1623811201127158E-2</v>
      </c>
      <c r="K202" s="98">
        <f t="shared" si="35"/>
        <v>9.8043297252289763E-3</v>
      </c>
      <c r="L202" s="90">
        <f t="shared" si="35"/>
        <v>0</v>
      </c>
      <c r="M202" s="90">
        <f t="shared" si="35"/>
        <v>2.7850438529004463E-2</v>
      </c>
      <c r="N202" s="98">
        <f t="shared" si="35"/>
        <v>1.5321462650559026E-2</v>
      </c>
      <c r="O202" s="98">
        <f t="shared" si="35"/>
        <v>1.0831420604359125E-2</v>
      </c>
      <c r="P202" s="90">
        <f t="shared" si="35"/>
        <v>7.4959083469721766E-3</v>
      </c>
      <c r="Q202" s="98">
        <f t="shared" si="35"/>
        <v>2.4748614077611655E-2</v>
      </c>
      <c r="R202" s="98">
        <f t="shared" si="35"/>
        <v>1.4183806589502317E-2</v>
      </c>
      <c r="S202" s="98">
        <f t="shared" si="35"/>
        <v>2.5758586195398468E-3</v>
      </c>
      <c r="T202" s="89">
        <f t="shared" si="35"/>
        <v>9.7757655618249603E-3</v>
      </c>
      <c r="U202" s="98">
        <f t="shared" si="35"/>
        <v>1.5063873778521673E-2</v>
      </c>
      <c r="V202" s="90">
        <f t="shared" si="35"/>
        <v>3.4732455332473752E-2</v>
      </c>
      <c r="W202" s="90">
        <f t="shared" si="35"/>
        <v>6.9886326869567092E-3</v>
      </c>
      <c r="X202" s="90">
        <f t="shared" si="35"/>
        <v>6.160754591460952E-2</v>
      </c>
      <c r="Y202" s="90">
        <f t="shared" si="35"/>
        <v>1.6822017539021565E-2</v>
      </c>
      <c r="Z202" s="99">
        <f t="shared" si="35"/>
        <v>3.3441913865377942E-3</v>
      </c>
      <c r="AA202" s="98">
        <f t="shared" si="35"/>
        <v>2.1753981469621281E-2</v>
      </c>
      <c r="AB202" s="90">
        <f t="shared" si="35"/>
        <v>7.5819672131147544E-3</v>
      </c>
      <c r="AC202" s="98">
        <f t="shared" si="35"/>
        <v>0</v>
      </c>
      <c r="AD202" s="98">
        <f t="shared" si="35"/>
        <v>0</v>
      </c>
      <c r="AE202" s="90">
        <f t="shared" si="35"/>
        <v>3.0397700047915668E-2</v>
      </c>
      <c r="AF202" s="98">
        <f t="shared" si="35"/>
        <v>1.4597495527728085E-2</v>
      </c>
      <c r="AG202" s="99">
        <f t="shared" si="35"/>
        <v>3.1329748158993352E-3</v>
      </c>
      <c r="AH202" s="90">
        <f t="shared" si="35"/>
        <v>0</v>
      </c>
      <c r="AI202" s="90">
        <f t="shared" si="35"/>
        <v>8.9692824574034071E-3</v>
      </c>
      <c r="AJ202" s="90">
        <f t="shared" si="35"/>
        <v>1.0797039912653161E-2</v>
      </c>
      <c r="AK202" s="90">
        <f t="shared" si="35"/>
        <v>1.8411469262322824E-5</v>
      </c>
      <c r="AL202" s="90">
        <f t="shared" si="35"/>
        <v>1.6871976257267145E-2</v>
      </c>
      <c r="AM202" s="90">
        <f t="shared" si="35"/>
        <v>0</v>
      </c>
      <c r="AN202" s="90">
        <f t="shared" si="35"/>
        <v>1.7661149047227487E-2</v>
      </c>
      <c r="AO202" s="90">
        <f t="shared" si="35"/>
        <v>1.8361088467062615E-2</v>
      </c>
      <c r="AP202" s="90">
        <f t="shared" si="35"/>
        <v>2.4332107968376048E-5</v>
      </c>
      <c r="AQ202" s="90">
        <f t="shared" si="35"/>
        <v>5.8297863756480344E-3</v>
      </c>
      <c r="AR202" s="90">
        <f t="shared" si="35"/>
        <v>1.3501327108183301E-2</v>
      </c>
      <c r="AS202" s="90">
        <f t="shared" si="35"/>
        <v>5.273499397857641E-3</v>
      </c>
      <c r="AT202" s="90">
        <f t="shared" si="35"/>
        <v>6.6282067018534428E-3</v>
      </c>
      <c r="AU202" s="98">
        <f t="shared" si="35"/>
        <v>5.8264757563631933E-2</v>
      </c>
      <c r="AV202" s="90">
        <f t="shared" si="35"/>
        <v>0</v>
      </c>
    </row>
    <row r="203" spans="4:48" x14ac:dyDescent="0.2">
      <c r="D203" s="1" t="s">
        <v>157</v>
      </c>
      <c r="G203" s="1">
        <v>1</v>
      </c>
      <c r="H203" s="1">
        <v>1</v>
      </c>
      <c r="I203" s="1">
        <v>1</v>
      </c>
      <c r="J203" s="1">
        <v>1</v>
      </c>
      <c r="K203" s="1">
        <v>1</v>
      </c>
      <c r="L203" s="1">
        <v>1</v>
      </c>
      <c r="M203" s="1">
        <v>1</v>
      </c>
      <c r="N203" s="1">
        <v>1</v>
      </c>
      <c r="O203" s="1">
        <v>1</v>
      </c>
      <c r="P203" s="1">
        <v>1</v>
      </c>
      <c r="Q203" s="1">
        <v>1</v>
      </c>
      <c r="R203" s="1">
        <v>1</v>
      </c>
      <c r="S203" s="1">
        <v>1</v>
      </c>
      <c r="T203" s="1">
        <v>1</v>
      </c>
      <c r="U203" s="1">
        <v>1</v>
      </c>
      <c r="V203" s="1">
        <v>1</v>
      </c>
      <c r="W203" s="1">
        <v>1</v>
      </c>
      <c r="X203" s="1">
        <v>1</v>
      </c>
      <c r="Y203" s="1">
        <v>1</v>
      </c>
      <c r="Z203" s="4">
        <v>1</v>
      </c>
      <c r="AA203" s="1">
        <v>1</v>
      </c>
      <c r="AB203" s="1">
        <v>1</v>
      </c>
      <c r="AC203" s="1">
        <v>1</v>
      </c>
      <c r="AD203" s="1">
        <v>1</v>
      </c>
      <c r="AE203" s="1">
        <v>1</v>
      </c>
      <c r="AF203" s="1">
        <v>1</v>
      </c>
      <c r="AG203" s="4">
        <v>1</v>
      </c>
      <c r="AH203" s="1">
        <v>1</v>
      </c>
      <c r="AI203" s="1">
        <v>1</v>
      </c>
      <c r="AJ203" s="1">
        <v>1</v>
      </c>
      <c r="AK203" s="1">
        <v>1</v>
      </c>
      <c r="AL203" s="1">
        <v>1</v>
      </c>
      <c r="AM203" s="1">
        <v>1</v>
      </c>
      <c r="AN203" s="1">
        <v>1</v>
      </c>
      <c r="AO203" s="1">
        <v>1</v>
      </c>
      <c r="AP203" s="1">
        <v>1</v>
      </c>
      <c r="AQ203" s="1">
        <v>1</v>
      </c>
      <c r="AR203" s="1">
        <v>1</v>
      </c>
      <c r="AS203" s="1">
        <v>1</v>
      </c>
      <c r="AT203" s="1">
        <v>1</v>
      </c>
      <c r="AU203" s="1">
        <v>1</v>
      </c>
      <c r="AV203" s="1">
        <v>1</v>
      </c>
    </row>
    <row r="204" spans="4:48" hidden="1" x14ac:dyDescent="0.2">
      <c r="G204" s="1">
        <v>0</v>
      </c>
      <c r="H204" s="1">
        <f t="shared" ref="H204:AM204" si="36">+(H25+H40+H68-H12-H28)</f>
        <v>9403</v>
      </c>
      <c r="I204" s="1">
        <f t="shared" si="36"/>
        <v>22080</v>
      </c>
      <c r="J204" s="1">
        <f t="shared" si="36"/>
        <v>16459</v>
      </c>
      <c r="K204" s="2">
        <f t="shared" si="36"/>
        <v>15842</v>
      </c>
      <c r="L204" s="1">
        <f t="shared" si="36"/>
        <v>0</v>
      </c>
      <c r="M204" s="1">
        <f t="shared" si="36"/>
        <v>7710</v>
      </c>
      <c r="N204" s="2">
        <f t="shared" si="36"/>
        <v>14981</v>
      </c>
      <c r="O204" s="2">
        <f t="shared" si="36"/>
        <v>49324</v>
      </c>
      <c r="P204" s="1">
        <f t="shared" si="36"/>
        <v>11403</v>
      </c>
      <c r="Q204" s="2">
        <f t="shared" si="36"/>
        <v>67701</v>
      </c>
      <c r="R204" s="2">
        <f t="shared" si="36"/>
        <v>14636</v>
      </c>
      <c r="S204" s="2">
        <f t="shared" si="36"/>
        <v>44055</v>
      </c>
      <c r="T204" s="1">
        <f t="shared" si="36"/>
        <v>28554</v>
      </c>
      <c r="U204" s="2">
        <f t="shared" si="36"/>
        <v>20095</v>
      </c>
      <c r="V204" s="1">
        <f t="shared" si="36"/>
        <v>41004</v>
      </c>
      <c r="W204" s="1">
        <f t="shared" si="36"/>
        <v>23319</v>
      </c>
      <c r="X204" s="1">
        <f t="shared" si="36"/>
        <v>31265</v>
      </c>
      <c r="Y204" s="1">
        <f t="shared" si="36"/>
        <v>6764</v>
      </c>
      <c r="Z204" s="4">
        <f t="shared" si="36"/>
        <v>184115</v>
      </c>
      <c r="AA204" s="2">
        <f t="shared" si="36"/>
        <v>91124</v>
      </c>
      <c r="AB204" s="1">
        <f t="shared" si="36"/>
        <v>3292</v>
      </c>
      <c r="AC204" s="2">
        <f t="shared" si="36"/>
        <v>0</v>
      </c>
      <c r="AD204" s="2">
        <f t="shared" si="36"/>
        <v>0</v>
      </c>
      <c r="AE204" s="1">
        <f t="shared" si="36"/>
        <v>29878</v>
      </c>
      <c r="AF204" s="2">
        <f t="shared" si="36"/>
        <v>10355</v>
      </c>
      <c r="AG204" s="4">
        <f t="shared" si="36"/>
        <v>156024</v>
      </c>
      <c r="AH204" s="1">
        <f t="shared" si="36"/>
        <v>18777</v>
      </c>
      <c r="AI204" s="1">
        <f t="shared" si="36"/>
        <v>13415</v>
      </c>
      <c r="AJ204" s="1">
        <f t="shared" si="36"/>
        <v>12566</v>
      </c>
      <c r="AK204" s="1">
        <f t="shared" si="36"/>
        <v>14408</v>
      </c>
      <c r="AL204" s="1">
        <f t="shared" si="36"/>
        <v>8439</v>
      </c>
      <c r="AM204" s="1">
        <f t="shared" si="36"/>
        <v>15063</v>
      </c>
      <c r="AN204" s="1">
        <f>+(AN25+AN40+AN68-AN12-AN28)</f>
        <v>11938</v>
      </c>
      <c r="AO204" s="1">
        <f t="shared" ref="AO204:AV204" si="37">+(AO25+AO40+AO68-AO12-AO28)</f>
        <v>7478</v>
      </c>
      <c r="AP204" s="1">
        <f t="shared" si="37"/>
        <v>41909</v>
      </c>
      <c r="AQ204" s="1">
        <f t="shared" si="37"/>
        <v>20249</v>
      </c>
      <c r="AR204" s="1">
        <f t="shared" si="37"/>
        <v>72199</v>
      </c>
      <c r="AS204" s="1">
        <f t="shared" si="37"/>
        <v>38846</v>
      </c>
      <c r="AT204" s="1">
        <f t="shared" si="37"/>
        <v>12442</v>
      </c>
      <c r="AU204" s="2">
        <f t="shared" si="37"/>
        <v>35044</v>
      </c>
      <c r="AV204" s="1">
        <f t="shared" si="37"/>
        <v>14514</v>
      </c>
    </row>
    <row r="206" spans="4:48" x14ac:dyDescent="0.2">
      <c r="D206" s="1" t="s">
        <v>158</v>
      </c>
      <c r="G206" s="1">
        <v>-1</v>
      </c>
      <c r="H206" s="1">
        <v>-1</v>
      </c>
      <c r="I206" s="1">
        <v>-1</v>
      </c>
      <c r="J206" s="1">
        <v>-1</v>
      </c>
      <c r="K206" s="1">
        <v>-1</v>
      </c>
      <c r="L206" s="1">
        <v>-1</v>
      </c>
      <c r="M206" s="1">
        <v>-1</v>
      </c>
      <c r="N206" s="1">
        <v>-1</v>
      </c>
      <c r="O206" s="1">
        <v>-1</v>
      </c>
      <c r="P206" s="1">
        <v>-1</v>
      </c>
      <c r="Q206" s="1">
        <v>-1</v>
      </c>
      <c r="R206" s="1">
        <v>-1</v>
      </c>
      <c r="S206" s="1">
        <v>-1</v>
      </c>
      <c r="T206" s="1">
        <v>-1</v>
      </c>
      <c r="U206" s="1">
        <v>-1</v>
      </c>
      <c r="V206" s="1">
        <v>-1</v>
      </c>
      <c r="W206" s="1">
        <v>-1</v>
      </c>
      <c r="X206" s="1">
        <v>-1</v>
      </c>
      <c r="Y206" s="1">
        <v>-1</v>
      </c>
      <c r="Z206" s="4">
        <v>-1</v>
      </c>
      <c r="AA206" s="1">
        <v>-1</v>
      </c>
      <c r="AB206" s="1">
        <v>-1</v>
      </c>
      <c r="AC206" s="1">
        <v>-1</v>
      </c>
      <c r="AD206" s="1">
        <v>-1</v>
      </c>
      <c r="AE206" s="1">
        <v>-1</v>
      </c>
      <c r="AF206" s="1">
        <v>-1</v>
      </c>
      <c r="AG206" s="4">
        <v>-1</v>
      </c>
      <c r="AH206" s="1">
        <v>-1</v>
      </c>
      <c r="AI206" s="1">
        <v>-1</v>
      </c>
      <c r="AJ206" s="1">
        <v>-1</v>
      </c>
      <c r="AK206" s="1">
        <v>-1</v>
      </c>
      <c r="AL206" s="1">
        <v>-1</v>
      </c>
      <c r="AM206" s="1">
        <v>-1</v>
      </c>
      <c r="AN206" s="1">
        <v>-1</v>
      </c>
      <c r="AO206" s="1">
        <v>-1</v>
      </c>
      <c r="AP206" s="1">
        <v>-1</v>
      </c>
      <c r="AQ206" s="1">
        <v>-1</v>
      </c>
      <c r="AR206" s="1">
        <v>-1</v>
      </c>
      <c r="AS206" s="1">
        <v>-1</v>
      </c>
      <c r="AT206" s="1">
        <v>-1</v>
      </c>
      <c r="AU206" s="1">
        <v>-1</v>
      </c>
      <c r="AV206" s="1">
        <v>-1</v>
      </c>
    </row>
    <row r="208" spans="4:48" x14ac:dyDescent="0.2">
      <c r="D208" s="1" t="s">
        <v>159</v>
      </c>
      <c r="G208" s="1">
        <v>1</v>
      </c>
      <c r="H208" s="1">
        <v>1</v>
      </c>
      <c r="I208" s="1">
        <v>1</v>
      </c>
      <c r="J208" s="1">
        <v>1</v>
      </c>
      <c r="K208" s="1">
        <v>1</v>
      </c>
      <c r="L208" s="1">
        <v>1</v>
      </c>
      <c r="M208" s="1">
        <v>1</v>
      </c>
      <c r="N208" s="1">
        <v>1</v>
      </c>
      <c r="O208" s="1">
        <v>1</v>
      </c>
      <c r="P208" s="1">
        <v>1</v>
      </c>
      <c r="Q208" s="1">
        <v>1</v>
      </c>
      <c r="R208" s="1">
        <v>1</v>
      </c>
      <c r="S208" s="1">
        <v>1</v>
      </c>
      <c r="T208" s="1">
        <v>1</v>
      </c>
      <c r="U208" s="1">
        <v>1</v>
      </c>
      <c r="V208" s="1">
        <v>1</v>
      </c>
      <c r="W208" s="1">
        <v>1</v>
      </c>
      <c r="X208" s="1">
        <v>1</v>
      </c>
      <c r="Y208" s="1">
        <v>1</v>
      </c>
      <c r="Z208" s="4">
        <v>13351</v>
      </c>
      <c r="AA208" s="1">
        <v>1</v>
      </c>
      <c r="AB208" s="1">
        <v>1</v>
      </c>
      <c r="AC208" s="1">
        <v>1</v>
      </c>
      <c r="AD208" s="1">
        <v>1</v>
      </c>
      <c r="AE208" s="1">
        <v>1</v>
      </c>
      <c r="AF208" s="1">
        <v>1</v>
      </c>
      <c r="AG208" s="4">
        <v>1</v>
      </c>
      <c r="AH208" s="1">
        <v>1</v>
      </c>
      <c r="AI208" s="1">
        <v>1</v>
      </c>
      <c r="AJ208" s="1">
        <v>1</v>
      </c>
      <c r="AK208" s="1">
        <v>1</v>
      </c>
      <c r="AL208" s="1">
        <v>1</v>
      </c>
      <c r="AM208" s="1">
        <v>1</v>
      </c>
      <c r="AN208" s="1">
        <v>1</v>
      </c>
      <c r="AO208" s="1">
        <v>1</v>
      </c>
      <c r="AP208" s="1">
        <v>1</v>
      </c>
      <c r="AQ208" s="1">
        <v>1</v>
      </c>
      <c r="AR208" s="1">
        <v>1</v>
      </c>
      <c r="AS208" s="1">
        <v>1</v>
      </c>
      <c r="AT208" s="1">
        <v>1</v>
      </c>
      <c r="AU208" s="1">
        <v>1</v>
      </c>
      <c r="AV208" s="1">
        <v>1</v>
      </c>
    </row>
    <row r="209" spans="4:48" x14ac:dyDescent="0.2">
      <c r="K209" s="1"/>
      <c r="N209" s="1"/>
      <c r="O209" s="1"/>
      <c r="Q209" s="1"/>
      <c r="R209" s="1"/>
      <c r="S209" s="1"/>
      <c r="U209" s="1"/>
      <c r="AA209" s="1"/>
      <c r="AC209" s="1"/>
      <c r="AD209" s="1"/>
      <c r="AF209" s="1"/>
      <c r="AU209" s="1"/>
    </row>
    <row r="210" spans="4:48" x14ac:dyDescent="0.2">
      <c r="D210" s="1" t="s">
        <v>160</v>
      </c>
      <c r="G210" s="1">
        <v>1</v>
      </c>
      <c r="H210" s="1">
        <v>1</v>
      </c>
      <c r="I210" s="1">
        <v>1</v>
      </c>
      <c r="J210" s="1">
        <v>1</v>
      </c>
      <c r="K210" s="1">
        <v>1</v>
      </c>
      <c r="L210" s="1">
        <v>1</v>
      </c>
      <c r="M210" s="1">
        <v>1</v>
      </c>
      <c r="N210" s="1">
        <v>1</v>
      </c>
      <c r="O210" s="1">
        <v>1</v>
      </c>
      <c r="P210" s="1">
        <v>1</v>
      </c>
      <c r="Q210" s="1">
        <v>1</v>
      </c>
      <c r="R210" s="1">
        <v>1</v>
      </c>
      <c r="S210" s="1">
        <v>1</v>
      </c>
      <c r="T210" s="1">
        <v>1</v>
      </c>
      <c r="U210" s="1">
        <v>1</v>
      </c>
      <c r="V210" s="1">
        <v>1</v>
      </c>
      <c r="W210" s="1">
        <v>1</v>
      </c>
      <c r="X210" s="1">
        <v>1</v>
      </c>
      <c r="Y210" s="1">
        <v>1</v>
      </c>
      <c r="Z210" s="4">
        <v>6262</v>
      </c>
      <c r="AA210" s="1">
        <v>1</v>
      </c>
      <c r="AB210" s="1">
        <v>1</v>
      </c>
      <c r="AC210" s="1">
        <v>1</v>
      </c>
      <c r="AD210" s="1">
        <v>1</v>
      </c>
      <c r="AE210" s="1">
        <v>1</v>
      </c>
      <c r="AF210" s="1">
        <v>1</v>
      </c>
      <c r="AG210" s="4">
        <v>1</v>
      </c>
      <c r="AH210" s="1">
        <v>1</v>
      </c>
      <c r="AI210" s="1">
        <v>1</v>
      </c>
      <c r="AJ210" s="1">
        <v>1</v>
      </c>
      <c r="AK210" s="1">
        <v>1</v>
      </c>
      <c r="AL210" s="1">
        <v>1</v>
      </c>
      <c r="AM210" s="1">
        <v>1</v>
      </c>
      <c r="AN210" s="1">
        <v>1</v>
      </c>
      <c r="AO210" s="1">
        <v>1</v>
      </c>
      <c r="AP210" s="1">
        <v>1</v>
      </c>
      <c r="AQ210" s="1">
        <v>1</v>
      </c>
      <c r="AR210" s="1">
        <v>1</v>
      </c>
      <c r="AS210" s="1">
        <v>1</v>
      </c>
      <c r="AT210" s="1">
        <v>1</v>
      </c>
      <c r="AU210" s="1">
        <v>1</v>
      </c>
      <c r="AV210" s="1">
        <v>1</v>
      </c>
    </row>
    <row r="212" spans="4:48" x14ac:dyDescent="0.2">
      <c r="D212" s="1" t="s">
        <v>161</v>
      </c>
      <c r="G212" s="1">
        <v>1</v>
      </c>
      <c r="H212" s="1">
        <v>1</v>
      </c>
      <c r="I212" s="1">
        <v>1</v>
      </c>
      <c r="J212" s="1">
        <v>1</v>
      </c>
      <c r="K212" s="1">
        <v>1</v>
      </c>
      <c r="L212" s="1">
        <v>1</v>
      </c>
      <c r="M212" s="1">
        <v>1</v>
      </c>
      <c r="N212" s="1">
        <v>1</v>
      </c>
      <c r="O212" s="1">
        <v>1</v>
      </c>
      <c r="P212" s="1">
        <v>1</v>
      </c>
      <c r="Q212" s="1">
        <v>1</v>
      </c>
      <c r="R212" s="1">
        <v>1</v>
      </c>
      <c r="S212" s="1">
        <v>1</v>
      </c>
      <c r="T212" s="1">
        <v>1</v>
      </c>
      <c r="U212" s="1">
        <v>1</v>
      </c>
      <c r="V212" s="1">
        <v>1</v>
      </c>
      <c r="W212" s="1">
        <v>1</v>
      </c>
      <c r="X212" s="1">
        <v>1</v>
      </c>
      <c r="Y212" s="1">
        <v>1</v>
      </c>
      <c r="Z212" s="4">
        <v>1</v>
      </c>
      <c r="AA212" s="1">
        <v>1</v>
      </c>
      <c r="AB212" s="1">
        <v>1</v>
      </c>
      <c r="AC212" s="1">
        <v>1</v>
      </c>
      <c r="AD212" s="1">
        <v>1</v>
      </c>
      <c r="AE212" s="1">
        <v>1</v>
      </c>
      <c r="AF212" s="1">
        <v>1</v>
      </c>
      <c r="AG212" s="4">
        <v>1</v>
      </c>
      <c r="AH212" s="1">
        <v>1</v>
      </c>
      <c r="AI212" s="1">
        <v>1</v>
      </c>
      <c r="AJ212" s="1">
        <v>1</v>
      </c>
      <c r="AK212" s="1">
        <v>1</v>
      </c>
      <c r="AL212" s="1">
        <v>1</v>
      </c>
      <c r="AM212" s="1">
        <v>1</v>
      </c>
      <c r="AN212" s="1">
        <v>1</v>
      </c>
      <c r="AO212" s="1">
        <v>1</v>
      </c>
      <c r="AP212" s="1">
        <v>1</v>
      </c>
      <c r="AQ212" s="1">
        <v>1</v>
      </c>
      <c r="AR212" s="1">
        <v>1</v>
      </c>
      <c r="AS212" s="1">
        <v>1</v>
      </c>
      <c r="AT212" s="1">
        <v>1</v>
      </c>
      <c r="AU212" s="1">
        <v>1</v>
      </c>
      <c r="AV212" s="1">
        <v>1</v>
      </c>
    </row>
    <row r="213" spans="4:48" x14ac:dyDescent="0.2">
      <c r="K213" s="1"/>
      <c r="N213" s="1"/>
      <c r="O213" s="1"/>
      <c r="Q213" s="1"/>
      <c r="R213" s="1"/>
      <c r="S213" s="1"/>
      <c r="U213" s="1"/>
      <c r="AA213" s="1"/>
      <c r="AC213" s="1"/>
      <c r="AD213" s="1"/>
      <c r="AF213" s="1"/>
      <c r="AU213" s="1"/>
    </row>
    <row r="214" spans="4:48" x14ac:dyDescent="0.2">
      <c r="D214" s="1" t="s">
        <v>162</v>
      </c>
      <c r="G214" s="1">
        <v>-1</v>
      </c>
      <c r="H214" s="1">
        <v>-1</v>
      </c>
      <c r="I214" s="1">
        <v>-1</v>
      </c>
      <c r="J214" s="1">
        <v>-1</v>
      </c>
      <c r="K214" s="1">
        <v>-1</v>
      </c>
      <c r="L214" s="1">
        <v>-1</v>
      </c>
      <c r="M214" s="1">
        <v>-1</v>
      </c>
      <c r="N214" s="1">
        <v>-1</v>
      </c>
      <c r="O214" s="1">
        <v>-1</v>
      </c>
      <c r="P214" s="1">
        <v>-1</v>
      </c>
      <c r="Q214" s="1">
        <v>-1</v>
      </c>
      <c r="R214" s="1">
        <v>-1</v>
      </c>
      <c r="S214" s="1">
        <v>-1</v>
      </c>
      <c r="T214" s="1">
        <v>-1</v>
      </c>
      <c r="U214" s="1">
        <v>-1</v>
      </c>
      <c r="V214" s="1">
        <v>-1</v>
      </c>
      <c r="W214" s="1">
        <v>-1</v>
      </c>
      <c r="X214" s="1">
        <v>-1</v>
      </c>
      <c r="Y214" s="1">
        <v>-1</v>
      </c>
      <c r="Z214" s="4">
        <v>-1</v>
      </c>
      <c r="AA214" s="1">
        <v>-1</v>
      </c>
      <c r="AB214" s="1">
        <v>-1</v>
      </c>
      <c r="AC214" s="1">
        <v>-1</v>
      </c>
      <c r="AD214" s="1">
        <v>-1</v>
      </c>
      <c r="AE214" s="1">
        <v>-1</v>
      </c>
      <c r="AF214" s="1">
        <v>-1</v>
      </c>
      <c r="AG214" s="4">
        <v>-1</v>
      </c>
      <c r="AH214" s="1">
        <v>-1</v>
      </c>
      <c r="AI214" s="1">
        <v>-1</v>
      </c>
      <c r="AJ214" s="1">
        <v>-1</v>
      </c>
      <c r="AK214" s="1">
        <v>-1</v>
      </c>
      <c r="AL214" s="1">
        <v>-1</v>
      </c>
      <c r="AM214" s="1">
        <v>-1</v>
      </c>
      <c r="AN214" s="1">
        <v>-1</v>
      </c>
      <c r="AO214" s="1">
        <v>-1</v>
      </c>
      <c r="AP214" s="1">
        <v>-1</v>
      </c>
      <c r="AQ214" s="1">
        <v>-1</v>
      </c>
      <c r="AR214" s="1">
        <v>-1</v>
      </c>
      <c r="AS214" s="1">
        <v>-1</v>
      </c>
      <c r="AT214" s="1">
        <v>-1</v>
      </c>
      <c r="AU214" s="1">
        <v>-1</v>
      </c>
      <c r="AV214" s="1">
        <v>-1</v>
      </c>
    </row>
    <row r="216" spans="4:48" x14ac:dyDescent="0.2">
      <c r="D216" s="1" t="s">
        <v>163</v>
      </c>
      <c r="G216" s="1">
        <v>1</v>
      </c>
      <c r="H216" s="1">
        <v>1</v>
      </c>
      <c r="I216" s="1">
        <v>1</v>
      </c>
      <c r="J216" s="1">
        <v>1</v>
      </c>
      <c r="K216" s="1">
        <v>1</v>
      </c>
      <c r="L216" s="1">
        <v>1</v>
      </c>
      <c r="M216" s="1">
        <v>1</v>
      </c>
      <c r="N216" s="1">
        <v>1</v>
      </c>
      <c r="O216" s="1">
        <v>1</v>
      </c>
      <c r="P216" s="1">
        <v>1</v>
      </c>
      <c r="Q216" s="1">
        <v>1</v>
      </c>
      <c r="R216" s="1">
        <v>1</v>
      </c>
      <c r="S216" s="1">
        <v>1</v>
      </c>
      <c r="T216" s="1">
        <v>1</v>
      </c>
      <c r="U216" s="1">
        <v>1</v>
      </c>
      <c r="V216" s="1">
        <v>1</v>
      </c>
      <c r="W216" s="1">
        <v>1</v>
      </c>
      <c r="X216" s="1">
        <v>1</v>
      </c>
      <c r="Y216" s="1">
        <v>1</v>
      </c>
      <c r="Z216" s="4">
        <v>1</v>
      </c>
      <c r="AA216" s="1">
        <v>1</v>
      </c>
      <c r="AB216" s="1">
        <v>1</v>
      </c>
      <c r="AC216" s="1">
        <v>1</v>
      </c>
      <c r="AD216" s="1">
        <v>1</v>
      </c>
      <c r="AE216" s="1">
        <v>1</v>
      </c>
      <c r="AF216" s="1">
        <v>1</v>
      </c>
      <c r="AG216" s="4">
        <v>1</v>
      </c>
      <c r="AH216" s="1">
        <v>1</v>
      </c>
      <c r="AI216" s="1">
        <v>1</v>
      </c>
      <c r="AJ216" s="1">
        <v>1</v>
      </c>
      <c r="AK216" s="1">
        <v>1</v>
      </c>
      <c r="AL216" s="1">
        <v>1</v>
      </c>
      <c r="AM216" s="1">
        <v>1</v>
      </c>
      <c r="AN216" s="1">
        <v>1</v>
      </c>
      <c r="AO216" s="1">
        <v>1</v>
      </c>
      <c r="AP216" s="1">
        <v>1</v>
      </c>
      <c r="AQ216" s="1">
        <v>1</v>
      </c>
      <c r="AR216" s="1">
        <v>1</v>
      </c>
      <c r="AS216" s="1">
        <v>1</v>
      </c>
      <c r="AT216" s="1">
        <v>1</v>
      </c>
      <c r="AU216" s="1">
        <v>1</v>
      </c>
      <c r="AV216" s="1">
        <v>1</v>
      </c>
    </row>
  </sheetData>
  <mergeCells count="5">
    <mergeCell ref="G48:I48"/>
    <mergeCell ref="D88:I89"/>
    <mergeCell ref="G94:I94"/>
    <mergeCell ref="G101:I101"/>
    <mergeCell ref="G127:I127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rightToLeft="1" tabSelected="1" workbookViewId="0">
      <pane ySplit="4" topLeftCell="A5" activePane="bottomLeft" state="frozen"/>
      <selection pane="bottomLeft" activeCell="I14" sqref="I14"/>
    </sheetView>
  </sheetViews>
  <sheetFormatPr defaultRowHeight="14.25" x14ac:dyDescent="0.2"/>
  <cols>
    <col min="1" max="1" width="35.875" customWidth="1"/>
    <col min="2" max="3" width="8" hidden="1" customWidth="1"/>
    <col min="4" max="4" width="13.125" bestFit="1" customWidth="1"/>
    <col min="5" max="5" width="14.25" bestFit="1" customWidth="1"/>
    <col min="6" max="6" width="0" hidden="1" customWidth="1"/>
    <col min="7" max="7" width="12.125" bestFit="1" customWidth="1"/>
    <col min="8" max="8" width="16.375" bestFit="1" customWidth="1"/>
  </cols>
  <sheetData>
    <row r="1" spans="1:9" ht="15" x14ac:dyDescent="0.25">
      <c r="A1" s="140" t="s">
        <v>242</v>
      </c>
      <c r="D1" s="152" t="s">
        <v>263</v>
      </c>
      <c r="E1" s="152"/>
      <c r="F1" s="152"/>
      <c r="G1" s="153"/>
    </row>
    <row r="2" spans="1:9" ht="15" x14ac:dyDescent="0.25">
      <c r="A2" s="140"/>
      <c r="D2" s="152"/>
      <c r="E2" s="152"/>
      <c r="F2" s="152"/>
    </row>
    <row r="3" spans="1:9" ht="15" x14ac:dyDescent="0.25">
      <c r="A3" s="138"/>
      <c r="D3" s="144" t="s">
        <v>256</v>
      </c>
      <c r="E3" s="144" t="s">
        <v>257</v>
      </c>
      <c r="G3" s="144" t="s">
        <v>260</v>
      </c>
      <c r="H3" s="144" t="s">
        <v>264</v>
      </c>
    </row>
    <row r="4" spans="1:9" hidden="1" x14ac:dyDescent="0.2">
      <c r="A4" s="143" t="s">
        <v>176</v>
      </c>
      <c r="B4" s="142" t="str">
        <f>+A4</f>
        <v>נווה מדבר</v>
      </c>
      <c r="C4" s="142"/>
      <c r="D4" s="138">
        <f>+HLOOKUP(B4,'שנת 2011'!$2:$213,205,0)</f>
        <v>0.70856086397574836</v>
      </c>
      <c r="E4" s="146">
        <f>+HLOOKUP(B4,'שנת 2011'!$2:$213,209,0)</f>
        <v>5075.0969999999998</v>
      </c>
    </row>
    <row r="5" spans="1:9" ht="15" x14ac:dyDescent="0.25">
      <c r="A5" s="137" t="s">
        <v>29</v>
      </c>
      <c r="B5" s="142" t="str">
        <f>A5</f>
        <v>מי גליל</v>
      </c>
      <c r="C5" s="142" t="str">
        <f>B5</f>
        <v>מי גליל</v>
      </c>
      <c r="D5" s="138">
        <f>+HLOOKUP(B5,'שנת 2011'!$2:$213,205,0)</f>
        <v>0.78314769625251979</v>
      </c>
      <c r="E5" s="146">
        <f>+HLOOKUP(B5,'שנת 2011'!$2:$213,209,0)</f>
        <v>7538.7780000000002</v>
      </c>
      <c r="F5" s="146">
        <f>+D5*E5</f>
        <v>5903.9766232591792</v>
      </c>
      <c r="G5" s="150">
        <f>+F55/E55</f>
        <v>1.3032180188699896</v>
      </c>
      <c r="H5" s="138">
        <f>+VLOOKUP(C5,'[2]ריכוז נתוני תאגידים'!$B$1:$AZ$65536,34,0)</f>
        <v>0.95621911292964157</v>
      </c>
      <c r="I5" s="138"/>
    </row>
    <row r="6" spans="1:9" x14ac:dyDescent="0.2">
      <c r="A6" s="137" t="s">
        <v>223</v>
      </c>
      <c r="B6" s="8" t="s">
        <v>174</v>
      </c>
      <c r="C6" s="8" t="s">
        <v>174</v>
      </c>
      <c r="D6" s="138">
        <f>+HLOOKUP(B6,'שנת 2011'!$2:$213,205,0)</f>
        <v>0.8279080298226914</v>
      </c>
      <c r="E6" s="146">
        <f>+HLOOKUP(B6,'שנת 2011'!$2:$213,209,0)</f>
        <v>16721.764999999999</v>
      </c>
      <c r="F6" s="146">
        <f t="shared" ref="F6:F53" si="0">+D6*E6</f>
        <v>13844.083516308037</v>
      </c>
      <c r="H6" s="138">
        <f>+VLOOKUP(C6,'[2]ריכוז נתוני תאגידים'!$B$1:$AZ$65536,34,0)</f>
        <v>0.72985264911716774</v>
      </c>
    </row>
    <row r="7" spans="1:9" x14ac:dyDescent="0.2">
      <c r="A7" s="137" t="s">
        <v>238</v>
      </c>
      <c r="B7" s="8" t="s">
        <v>15</v>
      </c>
      <c r="C7" s="8" t="s">
        <v>15</v>
      </c>
      <c r="D7" s="138">
        <f>+HLOOKUP(B7,'שנת 2011'!$2:$213,205,0)</f>
        <v>0.81960412579838504</v>
      </c>
      <c r="E7" s="146">
        <f>+HLOOKUP(B7,'שנת 2011'!$2:$213,209,0)</f>
        <v>11303.554</v>
      </c>
      <c r="F7" s="146">
        <f t="shared" si="0"/>
        <v>9264.439494584838</v>
      </c>
      <c r="H7" s="138">
        <f>+VLOOKUP(C7,'[2]ריכוז נתוני תאגידים'!$B$1:$AZ$65536,34,0)</f>
        <v>0.69658088324473511</v>
      </c>
    </row>
    <row r="8" spans="1:9" x14ac:dyDescent="0.2">
      <c r="A8" s="137" t="s">
        <v>205</v>
      </c>
      <c r="B8" s="142" t="str">
        <f>A8</f>
        <v>מי אשקלון</v>
      </c>
      <c r="C8" s="142" t="str">
        <f>B8</f>
        <v>מי אשקלון</v>
      </c>
      <c r="D8" s="138">
        <f>+HLOOKUP(B8,'שנת 2011'!$2:$213,205,0)</f>
        <v>0.83199078362438905</v>
      </c>
      <c r="E8" s="146">
        <f>+HLOOKUP(B8,'שנת 2011'!$2:$213,209,0)</f>
        <v>12319.56</v>
      </c>
      <c r="F8" s="146">
        <f t="shared" si="0"/>
        <v>10249.760378307677</v>
      </c>
      <c r="H8" s="138">
        <f>+VLOOKUP(C8,'[2]ריכוז נתוני תאגידים'!$B$1:$AZ$65536,34,0)</f>
        <v>0.76670307935121484</v>
      </c>
    </row>
    <row r="9" spans="1:9" x14ac:dyDescent="0.2">
      <c r="A9" s="137" t="s">
        <v>23</v>
      </c>
      <c r="B9" s="142" t="str">
        <f>A9</f>
        <v>ימים</v>
      </c>
      <c r="C9" s="142" t="str">
        <f>B9</f>
        <v>ימים</v>
      </c>
      <c r="D9" s="138">
        <f>+HLOOKUP(B9,'שנת 2011'!$2:$213,205,0)</f>
        <v>0.92969453646020206</v>
      </c>
      <c r="E9" s="146">
        <f>+HLOOKUP(B9,'שנת 2011'!$2:$213,209,0)</f>
        <v>2561.7849999999999</v>
      </c>
      <c r="F9" s="146">
        <f>+D9*E9</f>
        <v>2381.6775180856985</v>
      </c>
      <c r="H9" s="138">
        <f>+VLOOKUP(C9,'[2]ריכוז נתוני תאגידים'!$B$1:$AZ$65536,34,0)</f>
        <v>0.75947555783228182</v>
      </c>
    </row>
    <row r="10" spans="1:9" x14ac:dyDescent="0.2">
      <c r="A10" s="137" t="s">
        <v>230</v>
      </c>
      <c r="B10" s="122" t="s">
        <v>173</v>
      </c>
      <c r="C10" s="8" t="s">
        <v>266</v>
      </c>
      <c r="D10" s="138">
        <f>+HLOOKUP(B10,'שנת 2011'!$2:$213,205,0)</f>
        <v>0.89912948370982826</v>
      </c>
      <c r="E10" s="146">
        <f>+HLOOKUP(B10,'שנת 2011'!$2:$213,209,0)</f>
        <v>15098.456</v>
      </c>
      <c r="F10" s="146">
        <f t="shared" si="0"/>
        <v>13575.466948095558</v>
      </c>
      <c r="H10" s="138">
        <f>+VLOOKUP(C10,'[2]ריכוז נתוני תאגידים'!$B$1:$AZ$65536,34,0)</f>
        <v>0.73999713131189582</v>
      </c>
    </row>
    <row r="11" spans="1:9" x14ac:dyDescent="0.2">
      <c r="A11" s="137" t="s">
        <v>254</v>
      </c>
      <c r="B11" s="8" t="s">
        <v>34</v>
      </c>
      <c r="C11" s="8" t="s">
        <v>34</v>
      </c>
      <c r="D11" s="138">
        <f>+HLOOKUP(B11,'שנת 2011'!$2:$213,205,0)</f>
        <v>0.94142480117545135</v>
      </c>
      <c r="E11" s="146">
        <f>+HLOOKUP(B11,'שנת 2011'!$2:$213,209,0)</f>
        <v>7260.6859999999997</v>
      </c>
      <c r="F11" s="146">
        <f t="shared" si="0"/>
        <v>6835.3898739473825</v>
      </c>
      <c r="H11" s="138">
        <f>+VLOOKUP(C11,'[2]ריכוז נתוני תאגידים'!$B$1:$AZ$65536,34,0)</f>
        <v>0.86498164263426081</v>
      </c>
    </row>
    <row r="12" spans="1:9" x14ac:dyDescent="0.2">
      <c r="A12" s="137" t="s">
        <v>250</v>
      </c>
      <c r="B12" s="8" t="s">
        <v>18</v>
      </c>
      <c r="C12" s="8" t="s">
        <v>18</v>
      </c>
      <c r="D12" s="138">
        <f>+HLOOKUP(B12,'שנת 2011'!$2:$213,205,0)</f>
        <v>0.91563893682697006</v>
      </c>
      <c r="E12" s="146">
        <f>+HLOOKUP(B12,'שנת 2011'!$2:$213,209,0)</f>
        <v>6138.14</v>
      </c>
      <c r="F12" s="146">
        <f t="shared" si="0"/>
        <v>5620.319983695098</v>
      </c>
      <c r="H12" s="138">
        <f>+VLOOKUP(C12,'[2]ריכוז נתוני תאגידים'!$B$1:$AZ$65536,34,0)</f>
        <v>0.83929666770115374</v>
      </c>
    </row>
    <row r="13" spans="1:9" x14ac:dyDescent="0.2">
      <c r="A13" s="137" t="s">
        <v>232</v>
      </c>
      <c r="B13" s="8" t="s">
        <v>7</v>
      </c>
      <c r="C13" s="8" t="s">
        <v>7</v>
      </c>
      <c r="D13" s="138">
        <f>+HLOOKUP(B13,'שנת 2011'!$2:$213,205,0)</f>
        <v>0.99091135697429733</v>
      </c>
      <c r="E13" s="146">
        <f>+HLOOKUP(B13,'שנת 2011'!$2:$213,209,0)</f>
        <v>3136.252</v>
      </c>
      <c r="F13" s="146">
        <f t="shared" si="0"/>
        <v>3107.7477251333539</v>
      </c>
      <c r="H13" s="138">
        <f>+VLOOKUP(C13,'[2]ריכוז נתוני תאגידים'!$B$1:$AZ$65536,34,0)</f>
        <v>0.75983087353923828</v>
      </c>
    </row>
    <row r="14" spans="1:9" x14ac:dyDescent="0.2">
      <c r="A14" s="137" t="s">
        <v>246</v>
      </c>
      <c r="B14" s="8" t="s">
        <v>17</v>
      </c>
      <c r="C14" s="8" t="s">
        <v>17</v>
      </c>
      <c r="D14" s="138">
        <f>+HLOOKUP(B14,'שנת 2011'!$2:$213,205,0)</f>
        <v>1.0692212867440729</v>
      </c>
      <c r="E14" s="146">
        <f>+HLOOKUP(B14,'שנת 2011'!$2:$213,209,0)</f>
        <v>10059.385</v>
      </c>
      <c r="F14" s="146">
        <f t="shared" si="0"/>
        <v>10755.708573554026</v>
      </c>
      <c r="H14" s="138">
        <f>+VLOOKUP(C14,'[2]ריכוז נתוני תאגידים'!$B$1:$AZ$65536,34,0)</f>
        <v>0.69700672426786459</v>
      </c>
    </row>
    <row r="15" spans="1:9" x14ac:dyDescent="0.2">
      <c r="A15" s="137" t="s">
        <v>31</v>
      </c>
      <c r="B15" s="142" t="str">
        <f>A15</f>
        <v>אל עין</v>
      </c>
      <c r="C15" s="142" t="str">
        <f>B15</f>
        <v>אל עין</v>
      </c>
      <c r="D15" s="138">
        <f>+HLOOKUP(B15,'שנת 2011'!$2:$213,205,0)</f>
        <v>1.0613206962107173</v>
      </c>
      <c r="E15" s="146">
        <f>+HLOOKUP(B15,'שנת 2011'!$2:$213,209,0)</f>
        <v>5306.0739999999996</v>
      </c>
      <c r="F15" s="146">
        <f t="shared" si="0"/>
        <v>5631.4461518255857</v>
      </c>
      <c r="H15" s="138">
        <f>+VLOOKUP(C15,'[2]ריכוז נתוני תאגידים'!$B$1:$AZ$65536,34,0)</f>
        <v>0.98169560398504752</v>
      </c>
    </row>
    <row r="16" spans="1:9" x14ac:dyDescent="0.2">
      <c r="A16" s="137" t="s">
        <v>231</v>
      </c>
      <c r="B16" s="8" t="s">
        <v>3</v>
      </c>
      <c r="C16" s="8" t="s">
        <v>3</v>
      </c>
      <c r="D16" s="138">
        <f>+HLOOKUP(B16,'שנת 2011'!$2:$213,205,0)</f>
        <v>1.070276966494889</v>
      </c>
      <c r="E16" s="146">
        <f>+HLOOKUP(B16,'שנת 2011'!$2:$213,209,0)</f>
        <v>5090.4750000000004</v>
      </c>
      <c r="F16" s="146">
        <f t="shared" si="0"/>
        <v>5448.2181410180701</v>
      </c>
      <c r="H16" s="138">
        <f>+VLOOKUP(C16,'[2]ריכוז נתוני תאגידים'!$B$1:$AZ$65536,34,0)</f>
        <v>0.98874098587122505</v>
      </c>
    </row>
    <row r="17" spans="1:8" x14ac:dyDescent="0.2">
      <c r="A17" s="137" t="s">
        <v>253</v>
      </c>
      <c r="B17" s="8" t="s">
        <v>39</v>
      </c>
      <c r="C17" s="8" t="s">
        <v>39</v>
      </c>
      <c r="D17" s="138">
        <f>+HLOOKUP(B17,'שנת 2011'!$2:$213,205,0)</f>
        <v>1.104101101801013</v>
      </c>
      <c r="E17" s="146">
        <f>+HLOOKUP(B17,'שנת 2011'!$2:$213,209,0)</f>
        <v>3606.145</v>
      </c>
      <c r="F17" s="146">
        <f t="shared" si="0"/>
        <v>3981.548667754214</v>
      </c>
      <c r="H17" s="138">
        <f>+VLOOKUP(C17,'[2]ריכוז נתוני תאגידים'!$B$1:$AZ$65536,34,0)</f>
        <v>0.77329193299550747</v>
      </c>
    </row>
    <row r="18" spans="1:8" x14ac:dyDescent="0.2">
      <c r="A18" s="137" t="s">
        <v>237</v>
      </c>
      <c r="B18" s="8" t="s">
        <v>12</v>
      </c>
      <c r="C18" s="8" t="s">
        <v>12</v>
      </c>
      <c r="D18" s="138">
        <f>+HLOOKUP(B18,'שנת 2011'!$2:$213,205,0)</f>
        <v>1.0884222107283015</v>
      </c>
      <c r="E18" s="146">
        <f>+HLOOKUP(B18,'שנת 2011'!$2:$213,209,0)</f>
        <v>18558.187000000002</v>
      </c>
      <c r="F18" s="146">
        <f t="shared" si="0"/>
        <v>20199.142921649225</v>
      </c>
      <c r="H18" s="138">
        <f>+VLOOKUP(C18,'[2]ריכוז נתוני תאגידים'!$B$1:$AZ$65536,34,0)</f>
        <v>0.70564361198374548</v>
      </c>
    </row>
    <row r="19" spans="1:8" x14ac:dyDescent="0.2">
      <c r="A19" s="137" t="s">
        <v>234</v>
      </c>
      <c r="B19" s="139" t="s">
        <v>10</v>
      </c>
      <c r="C19" s="139" t="s">
        <v>10</v>
      </c>
      <c r="D19" s="138">
        <f>+HLOOKUP(B19,'שנת 2011'!$2:$213,205,0)</f>
        <v>1.0970459932704251</v>
      </c>
      <c r="E19" s="146">
        <f>+HLOOKUP(B19,'שנת 2011'!$2:$213,209,0)</f>
        <v>20210.370999999999</v>
      </c>
      <c r="F19" s="146">
        <f t="shared" si="0"/>
        <v>22171.706528058792</v>
      </c>
      <c r="H19" s="138">
        <f>+VLOOKUP(C19,'[2]ריכוז נתוני תאגידים'!$B$1:$AZ$65536,34,0)</f>
        <v>0.76389420340216541</v>
      </c>
    </row>
    <row r="20" spans="1:8" x14ac:dyDescent="0.2">
      <c r="A20" s="137" t="s">
        <v>25</v>
      </c>
      <c r="B20" s="8" t="s">
        <v>25</v>
      </c>
      <c r="C20" s="8" t="s">
        <v>25</v>
      </c>
      <c r="D20" s="138">
        <f>+HLOOKUP(B20,'שנת 2011'!$2:$213,205,0)</f>
        <v>1.0761855722295861</v>
      </c>
      <c r="E20" s="146">
        <f>+HLOOKUP(B20,'שנת 2011'!$2:$213,209,0)</f>
        <v>3795.6819999999998</v>
      </c>
      <c r="F20" s="146">
        <f t="shared" si="0"/>
        <v>4084.8582051715398</v>
      </c>
      <c r="H20" s="138">
        <f>+VLOOKUP(C20,'[2]ריכוז נתוני תאגידים'!$B$1:$AZ$65536,34,0)</f>
        <v>0.69270169637970724</v>
      </c>
    </row>
    <row r="21" spans="1:8" x14ac:dyDescent="0.2">
      <c r="A21" s="137" t="s">
        <v>235</v>
      </c>
      <c r="B21" s="8" t="s">
        <v>14</v>
      </c>
      <c r="C21" s="8" t="s">
        <v>14</v>
      </c>
      <c r="D21" s="138">
        <f>+HLOOKUP(B21,'שנת 2011'!$2:$213,205,0)</f>
        <v>1.1519400307854997</v>
      </c>
      <c r="E21" s="146">
        <f>+HLOOKUP(B21,'שנת 2011'!$2:$213,209,0)</f>
        <v>14529.245000000001</v>
      </c>
      <c r="F21" s="146">
        <f t="shared" si="0"/>
        <v>16736.818932590068</v>
      </c>
      <c r="H21" s="138">
        <f>+VLOOKUP(C21,'[2]ריכוז נתוני תאגידים'!$B$1:$AZ$65536,34,0)</f>
        <v>0.78708142770155265</v>
      </c>
    </row>
    <row r="22" spans="1:8" x14ac:dyDescent="0.2">
      <c r="A22" s="137" t="s">
        <v>261</v>
      </c>
      <c r="B22" s="8" t="s">
        <v>36</v>
      </c>
      <c r="C22" s="8" t="s">
        <v>36</v>
      </c>
      <c r="D22" s="138">
        <f>+HLOOKUP(B22,'שנת 2011'!$2:$213,205,0)</f>
        <v>1.1968910597949503</v>
      </c>
      <c r="E22" s="146">
        <f>+HLOOKUP(B22,'שנת 2011'!$2:$213,209,0)</f>
        <v>8841.2080000000005</v>
      </c>
      <c r="F22" s="146">
        <f t="shared" si="0"/>
        <v>10581.962812987593</v>
      </c>
      <c r="H22" s="138">
        <f>+VLOOKUP(C22,'[2]ריכוז נתוני תאגידים'!$B$1:$AZ$65536,34,0)</f>
        <v>0.71807139303162493</v>
      </c>
    </row>
    <row r="23" spans="1:8" x14ac:dyDescent="0.2">
      <c r="A23" s="137" t="s">
        <v>171</v>
      </c>
      <c r="B23" s="8" t="str">
        <f>+A23</f>
        <v>עין כרמים</v>
      </c>
      <c r="C23" s="8" t="s">
        <v>265</v>
      </c>
      <c r="D23" s="138">
        <f>+HLOOKUP(B23,'שנת 2011'!$2:$213,205,0)</f>
        <v>1.0513738402613215</v>
      </c>
      <c r="E23" s="146">
        <f>+HLOOKUP(B23,'שנת 2011'!$2:$213,209,0)</f>
        <v>4066.3</v>
      </c>
      <c r="F23" s="146">
        <f t="shared" si="0"/>
        <v>4275.2014466546116</v>
      </c>
      <c r="H23" s="138">
        <f>+VLOOKUP(C23,'[2]ריכוז נתוני תאגידים'!$B$1:$AZ$65536,34,0)</f>
        <v>0.73071197765152163</v>
      </c>
    </row>
    <row r="24" spans="1:8" x14ac:dyDescent="0.2">
      <c r="A24" s="137" t="s">
        <v>228</v>
      </c>
      <c r="B24" s="8" t="s">
        <v>13</v>
      </c>
      <c r="C24" s="8" t="s">
        <v>13</v>
      </c>
      <c r="D24" s="138">
        <f>+HLOOKUP(B24,'שנת 2011'!$2:$213,205,0)</f>
        <v>1.1996951353772078</v>
      </c>
      <c r="E24" s="146">
        <f>+HLOOKUP(B24,'שנת 2011'!$2:$213,209,0)</f>
        <v>5367.8549999999996</v>
      </c>
      <c r="F24" s="146">
        <f t="shared" si="0"/>
        <v>6439.7895309102214</v>
      </c>
      <c r="H24" s="138">
        <f>+VLOOKUP(C24,'[2]ריכוז נתוני תאגידים'!$B$1:$AZ$65536,34,0)</f>
        <v>0.75996428431957319</v>
      </c>
    </row>
    <row r="25" spans="1:8" x14ac:dyDescent="0.2">
      <c r="A25" s="137" t="s">
        <v>219</v>
      </c>
      <c r="B25" s="142" t="str">
        <f>A25</f>
        <v>מעיינות המשולש</v>
      </c>
      <c r="C25" s="142" t="s">
        <v>206</v>
      </c>
      <c r="D25" s="138">
        <f>+HLOOKUP(B25,'שנת 2011'!$2:$213,205,0)</f>
        <v>1.099246163591252</v>
      </c>
      <c r="E25" s="146">
        <f>+HLOOKUP(B25,'שנת 2011'!$2:$213,209,0)</f>
        <v>4360.4449999999997</v>
      </c>
      <c r="F25" s="146">
        <f t="shared" si="0"/>
        <v>4793.2024378006563</v>
      </c>
      <c r="H25" s="138">
        <f>+VLOOKUP(C25,'[2]ריכוז נתוני תאגידים'!$B$1:$AZ$65536,34,0)</f>
        <v>0.80036575030205537</v>
      </c>
    </row>
    <row r="26" spans="1:8" x14ac:dyDescent="0.2">
      <c r="A26" s="137" t="s">
        <v>221</v>
      </c>
      <c r="B26" s="8" t="s">
        <v>175</v>
      </c>
      <c r="C26" s="8" t="s">
        <v>175</v>
      </c>
      <c r="D26" s="138">
        <f>+HLOOKUP(B26,'שנת 2011'!$2:$213,205,0)</f>
        <v>1.1464782822368871</v>
      </c>
      <c r="E26" s="146">
        <f>+HLOOKUP(B26,'שנת 2011'!$2:$213,209,0)</f>
        <v>8923.8320000000003</v>
      </c>
      <c r="F26" s="146">
        <f t="shared" si="0"/>
        <v>10230.979582330565</v>
      </c>
      <c r="H26" s="138">
        <f>+VLOOKUP(C26,'[2]ריכוז נתוני תאגידים'!$B$1:$AZ$65536,34,0)</f>
        <v>0.88445299598446758</v>
      </c>
    </row>
    <row r="27" spans="1:8" x14ac:dyDescent="0.2">
      <c r="A27" s="137" t="s">
        <v>172</v>
      </c>
      <c r="B27" s="122" t="s">
        <v>172</v>
      </c>
      <c r="C27" s="122" t="s">
        <v>267</v>
      </c>
      <c r="D27" s="138">
        <f>+HLOOKUP(B27,'שנת 2011'!$2:$213,205,0)</f>
        <v>1.2090392119904767</v>
      </c>
      <c r="E27" s="146">
        <f>+HLOOKUP(B27,'שנת 2011'!$2:$213,209,0)</f>
        <v>3411.58</v>
      </c>
      <c r="F27" s="146">
        <f t="shared" si="0"/>
        <v>4124.7339948424706</v>
      </c>
      <c r="H27" s="138">
        <f>+VLOOKUP(C27,'[2]ריכוז נתוני תאגידים'!$B$1:$AZ$65536,34,0)</f>
        <v>0.88118575426281942</v>
      </c>
    </row>
    <row r="28" spans="1:8" x14ac:dyDescent="0.2">
      <c r="A28" s="143" t="s">
        <v>241</v>
      </c>
      <c r="B28" s="8" t="s">
        <v>241</v>
      </c>
      <c r="C28" s="8" t="s">
        <v>241</v>
      </c>
      <c r="D28" s="138">
        <f>+HLOOKUP(B28,'שנת 2011'!$2:$213,205,0)</f>
        <v>1.3378817689257614</v>
      </c>
      <c r="E28" s="146">
        <f>+HLOOKUP(B28,'שנת 2011'!$2:$213,209,0)</f>
        <v>1017.579</v>
      </c>
      <c r="F28" s="146">
        <f t="shared" si="0"/>
        <v>1361.4003925417073</v>
      </c>
      <c r="H28" s="138">
        <f>+VLOOKUP(C28,'[2]ריכוז נתוני תאגידים'!$B$1:$AZ$65536,34,0)</f>
        <v>1.2298240111520007</v>
      </c>
    </row>
    <row r="29" spans="1:8" x14ac:dyDescent="0.2">
      <c r="A29" s="137" t="s">
        <v>26</v>
      </c>
      <c r="B29" s="8" t="s">
        <v>26</v>
      </c>
      <c r="C29" s="8" t="s">
        <v>26</v>
      </c>
      <c r="D29" s="138">
        <f>+HLOOKUP(B29,'שנת 2011'!$2:$213,205,0)</f>
        <v>1.2436826567282286</v>
      </c>
      <c r="E29" s="146">
        <f>+HLOOKUP(B29,'שנת 2011'!$2:$213,209,0)</f>
        <v>9584.2999999999993</v>
      </c>
      <c r="F29" s="146">
        <f t="shared" si="0"/>
        <v>11919.82768688036</v>
      </c>
      <c r="H29" s="138">
        <f>+VLOOKUP(C29,'[2]ריכוז נתוני תאגידים'!$B$1:$AZ$65536,34,0)</f>
        <v>1.0602554603746295</v>
      </c>
    </row>
    <row r="30" spans="1:8" x14ac:dyDescent="0.2">
      <c r="A30" s="137" t="s">
        <v>245</v>
      </c>
      <c r="B30" s="8" t="s">
        <v>41</v>
      </c>
      <c r="C30" s="8" t="s">
        <v>41</v>
      </c>
      <c r="D30" s="138">
        <f>+HLOOKUP(B30,'שנת 2011'!$2:$213,205,0)</f>
        <v>1.2682699245860249</v>
      </c>
      <c r="E30" s="146">
        <f>+HLOOKUP(B30,'שנת 2011'!$2:$213,209,0)</f>
        <v>7483.7849999999999</v>
      </c>
      <c r="F30" s="146">
        <f t="shared" si="0"/>
        <v>9491.4594375680244</v>
      </c>
      <c r="H30" s="138">
        <f>+VLOOKUP(C30,'[2]ריכוז נתוני תאגידים'!$B$1:$AZ$65536,34,0)</f>
        <v>0.73002446754535044</v>
      </c>
    </row>
    <row r="31" spans="1:8" x14ac:dyDescent="0.2">
      <c r="A31" s="137" t="s">
        <v>30</v>
      </c>
      <c r="B31" s="8" t="s">
        <v>30</v>
      </c>
      <c r="C31" s="8" t="s">
        <v>30</v>
      </c>
      <c r="D31" s="138">
        <f>+HLOOKUP(B31,'שנת 2011'!$2:$213,205,0)</f>
        <v>1.2285971659581481</v>
      </c>
      <c r="E31" s="146">
        <f>+HLOOKUP(B31,'שנת 2011'!$2:$213,209,0)</f>
        <v>4201.308</v>
      </c>
      <c r="F31" s="146">
        <f t="shared" si="0"/>
        <v>5161.7151021172949</v>
      </c>
      <c r="H31" s="138">
        <f>+VLOOKUP(C31,'[2]ריכוז נתוני תאגידים'!$B$1:$AZ$65536,34,0)</f>
        <v>0.76524866236465616</v>
      </c>
    </row>
    <row r="32" spans="1:8" x14ac:dyDescent="0.2">
      <c r="A32" s="137" t="s">
        <v>222</v>
      </c>
      <c r="B32" s="141" t="s">
        <v>35</v>
      </c>
      <c r="C32" s="141" t="s">
        <v>35</v>
      </c>
      <c r="D32" s="138">
        <f>+HLOOKUP(B32,'שנת 2011'!$2:$213,205,0)</f>
        <v>1.2733555185294678</v>
      </c>
      <c r="E32" s="146">
        <f>+HLOOKUP(B32,'שנת 2011'!$2:$213,209,0)</f>
        <v>2750.2260000000001</v>
      </c>
      <c r="F32" s="146">
        <f t="shared" si="0"/>
        <v>3502.0154543032245</v>
      </c>
      <c r="H32" s="138">
        <f>+VLOOKUP(C32,'[2]ריכוז נתוני תאגידים'!$B$1:$AZ$65536,34,0)</f>
        <v>0.96247737348766482</v>
      </c>
    </row>
    <row r="33" spans="1:8" x14ac:dyDescent="0.2">
      <c r="A33" s="137" t="s">
        <v>206</v>
      </c>
      <c r="B33" s="142" t="str">
        <f>A33</f>
        <v>מעיינות העמקים</v>
      </c>
      <c r="C33" s="142" t="str">
        <f>B33</f>
        <v>מעיינות העמקים</v>
      </c>
      <c r="D33" s="138">
        <f>+HLOOKUP(B33,'שנת 2011'!$2:$213,205,0)</f>
        <v>1.3380325786584029</v>
      </c>
      <c r="E33" s="146">
        <f>+HLOOKUP(B33,'שנת 2011'!$2:$213,209,0)</f>
        <v>3209.491</v>
      </c>
      <c r="F33" s="146">
        <f t="shared" si="0"/>
        <v>4294.4035189109363</v>
      </c>
      <c r="H33" s="138">
        <f>+VLOOKUP(C33,'[2]ריכוז נתוני תאגידים'!$B$1:$AZ$65536,34,0)</f>
        <v>0.80036575030205537</v>
      </c>
    </row>
    <row r="34" spans="1:8" x14ac:dyDescent="0.2">
      <c r="A34" s="137" t="s">
        <v>233</v>
      </c>
      <c r="B34" s="139" t="s">
        <v>19</v>
      </c>
      <c r="C34" s="139" t="s">
        <v>19</v>
      </c>
      <c r="D34" s="138">
        <f>+HLOOKUP(B34,'שנת 2011'!$2:$213,205,0)</f>
        <v>1.2963112711988365</v>
      </c>
      <c r="E34" s="146">
        <f>+HLOOKUP(B34,'שנת 2011'!$2:$213,209,0)</f>
        <v>4828.3639999999996</v>
      </c>
      <c r="F34" s="146">
        <f t="shared" si="0"/>
        <v>6259.0626746506987</v>
      </c>
      <c r="H34" s="138">
        <f>+VLOOKUP(C34,'[2]ריכוז נתוני תאגידים'!$B$1:$AZ$65536,34,0)</f>
        <v>0.87306419700857518</v>
      </c>
    </row>
    <row r="35" spans="1:8" x14ac:dyDescent="0.2">
      <c r="A35" s="137" t="s">
        <v>226</v>
      </c>
      <c r="B35" s="8" t="s">
        <v>24</v>
      </c>
      <c r="C35" s="8" t="s">
        <v>24</v>
      </c>
      <c r="D35" s="138">
        <f>+HLOOKUP(B35,'שנת 2011'!$2:$213,205,0)</f>
        <v>1.3332969930252647</v>
      </c>
      <c r="E35" s="146">
        <f>+HLOOKUP(B35,'שנת 2011'!$2:$213,209,0)</f>
        <v>10198.278</v>
      </c>
      <c r="F35" s="146">
        <f t="shared" si="0"/>
        <v>13597.333391435712</v>
      </c>
      <c r="H35" s="138">
        <f>+VLOOKUP(C35,'[2]ריכוז נתוני תאגידים'!$B$1:$AZ$65536,34,0)</f>
        <v>0.72416924323108578</v>
      </c>
    </row>
    <row r="36" spans="1:8" x14ac:dyDescent="0.2">
      <c r="A36" s="137" t="s">
        <v>249</v>
      </c>
      <c r="B36" s="8" t="s">
        <v>20</v>
      </c>
      <c r="C36" s="8" t="s">
        <v>20</v>
      </c>
      <c r="D36" s="138">
        <f>+HLOOKUP(B36,'שנת 2011'!$2:$213,205,0)</f>
        <v>1.2930426897265621</v>
      </c>
      <c r="E36" s="146">
        <f>+HLOOKUP(B36,'שנת 2011'!$2:$213,209,0)</f>
        <v>3190.82</v>
      </c>
      <c r="F36" s="146">
        <f t="shared" si="0"/>
        <v>4125.8664752333088</v>
      </c>
      <c r="H36" s="138">
        <f>+VLOOKUP(C36,'[2]ריכוז נתוני תאגידים'!$B$1:$AZ$65536,34,0)</f>
        <v>0.7229091050752573</v>
      </c>
    </row>
    <row r="37" spans="1:8" x14ac:dyDescent="0.2">
      <c r="A37" s="137" t="s">
        <v>227</v>
      </c>
      <c r="B37" s="8" t="s">
        <v>9</v>
      </c>
      <c r="C37" s="8" t="s">
        <v>9</v>
      </c>
      <c r="D37" s="138">
        <f>+HLOOKUP(B37,'שנת 2011'!$2:$213,205,0)</f>
        <v>1.3599913396115215</v>
      </c>
      <c r="E37" s="146">
        <f>+HLOOKUP(B37,'שנת 2011'!$2:$213,209,0)</f>
        <v>7000.549</v>
      </c>
      <c r="F37" s="146">
        <f t="shared" si="0"/>
        <v>9520.6860125260973</v>
      </c>
      <c r="H37" s="138">
        <f>+VLOOKUP(C37,'[2]ריכוז נתוני תאגידים'!$B$1:$AZ$65536,34,0)</f>
        <v>0.73178643459903103</v>
      </c>
    </row>
    <row r="38" spans="1:8" x14ac:dyDescent="0.2">
      <c r="A38" s="137" t="s">
        <v>229</v>
      </c>
      <c r="B38" s="8" t="s">
        <v>37</v>
      </c>
      <c r="C38" s="8" t="s">
        <v>37</v>
      </c>
      <c r="D38" s="138">
        <f>+HLOOKUP(B38,'שנת 2011'!$2:$213,205,0)</f>
        <v>1.4215357338819221</v>
      </c>
      <c r="E38" s="146">
        <f>+HLOOKUP(B38,'שנת 2011'!$2:$213,209,0)</f>
        <v>6171.1869999999999</v>
      </c>
      <c r="F38" s="146">
        <f t="shared" si="0"/>
        <v>8772.5628409675774</v>
      </c>
      <c r="H38" s="138">
        <f>+VLOOKUP(C38,'[2]ריכוז נתוני תאגידים'!$B$1:$AZ$65536,34,0)</f>
        <v>0.78205159250513923</v>
      </c>
    </row>
    <row r="39" spans="1:8" x14ac:dyDescent="0.2">
      <c r="A39" s="137" t="s">
        <v>243</v>
      </c>
      <c r="B39" s="8" t="s">
        <v>11</v>
      </c>
      <c r="C39" s="8" t="s">
        <v>11</v>
      </c>
      <c r="D39" s="138">
        <f>+HLOOKUP(B39,'שנת 2011'!$2:$213,205,0)</f>
        <v>1.4288193984325661</v>
      </c>
      <c r="E39" s="146">
        <f>+HLOOKUP(B39,'שנת 2011'!$2:$213,209,0)</f>
        <v>3431.6260000000002</v>
      </c>
      <c r="F39" s="146">
        <f t="shared" si="0"/>
        <v>4903.1737969655533</v>
      </c>
      <c r="H39" s="138">
        <f>+VLOOKUP(C39,'[2]ריכוז נתוני תאגידים'!$B$1:$AZ$65536,34,0)</f>
        <v>0.75451741091137292</v>
      </c>
    </row>
    <row r="40" spans="1:8" x14ac:dyDescent="0.2">
      <c r="A40" s="137" t="s">
        <v>255</v>
      </c>
      <c r="B40" s="142" t="s">
        <v>33</v>
      </c>
      <c r="C40" s="142" t="s">
        <v>33</v>
      </c>
      <c r="D40" s="138">
        <f>+HLOOKUP(B40,'שנת 2011'!$2:$213,205,0)</f>
        <v>1.4965420515334018</v>
      </c>
      <c r="E40" s="146">
        <f>+HLOOKUP(B40,'שנת 2011'!$2:$213,209,0)</f>
        <v>5224.5789999999997</v>
      </c>
      <c r="F40" s="146">
        <f t="shared" si="0"/>
        <v>7818.8021750583284</v>
      </c>
      <c r="H40" s="138">
        <f>+VLOOKUP(C40,'[2]ריכוז נתוני תאגידים'!$B$1:$AZ$65536,34,0)</f>
        <v>0.75553278973673443</v>
      </c>
    </row>
    <row r="41" spans="1:8" x14ac:dyDescent="0.2">
      <c r="A41" s="137" t="s">
        <v>244</v>
      </c>
      <c r="B41" s="8" t="s">
        <v>40</v>
      </c>
      <c r="C41" s="8" t="s">
        <v>40</v>
      </c>
      <c r="D41" s="138">
        <f>+HLOOKUP(B41,'שנת 2011'!$2:$213,205,0)</f>
        <v>1.5540302469086413</v>
      </c>
      <c r="E41" s="146">
        <f>+HLOOKUP(B41,'שנת 2011'!$2:$213,209,0)</f>
        <v>6467.6390000000001</v>
      </c>
      <c r="F41" s="146">
        <f t="shared" si="0"/>
        <v>10050.906632085958</v>
      </c>
      <c r="H41" s="138">
        <f>+VLOOKUP(C41,'[2]ריכוז נתוני תאגידים'!$B$1:$AZ$65536,34,0)</f>
        <v>0.69999830245938965</v>
      </c>
    </row>
    <row r="42" spans="1:8" x14ac:dyDescent="0.2">
      <c r="A42" s="137" t="s">
        <v>236</v>
      </c>
      <c r="B42" s="8" t="s">
        <v>177</v>
      </c>
      <c r="C42" s="8" t="s">
        <v>38</v>
      </c>
      <c r="D42" s="138">
        <f>+HLOOKUP(B42,'שנת 2011'!$2:$213,205,0)</f>
        <v>1.5389493960027658</v>
      </c>
      <c r="E42" s="146">
        <f>+HLOOKUP(B42,'שנת 2011'!$2:$213,209,0)</f>
        <v>17973.062999999998</v>
      </c>
      <c r="F42" s="146">
        <f t="shared" si="0"/>
        <v>27659.634448169654</v>
      </c>
      <c r="H42" s="138">
        <f>+VLOOKUP(C42,'[2]ריכוז נתוני תאגידים'!$B$1:$AZ$65536,34,0)</f>
        <v>0.77307952710880856</v>
      </c>
    </row>
    <row r="43" spans="1:8" x14ac:dyDescent="0.2">
      <c r="A43" s="137" t="s">
        <v>180</v>
      </c>
      <c r="B43" s="8" t="str">
        <f>+A43</f>
        <v>מי אביבים</v>
      </c>
      <c r="C43" s="8" t="s">
        <v>28</v>
      </c>
      <c r="D43" s="138">
        <f>+HLOOKUP(B43,'שנת 2011'!$2:$213,205,0)</f>
        <v>1.5272115651482665</v>
      </c>
      <c r="E43" s="146">
        <f>+HLOOKUP(B43,'שנת 2011'!$2:$213,209,0)</f>
        <v>44363.175999999999</v>
      </c>
      <c r="F43" s="146">
        <f t="shared" si="0"/>
        <v>67751.955453908013</v>
      </c>
      <c r="H43" s="138">
        <f>+VLOOKUP(C43,'[2]ריכוז נתוני תאגידים'!$B$1:$AZ$65536,34,0)</f>
        <v>0.69764728371298435</v>
      </c>
    </row>
    <row r="44" spans="1:8" x14ac:dyDescent="0.2">
      <c r="A44" s="137" t="s">
        <v>220</v>
      </c>
      <c r="B44" s="139" t="s">
        <v>21</v>
      </c>
      <c r="C44" s="139" t="s">
        <v>21</v>
      </c>
      <c r="D44" s="138">
        <f>+HLOOKUP(B44,'שנת 2011'!$2:$213,205,0)</f>
        <v>1.5235704698530734</v>
      </c>
      <c r="E44" s="146">
        <f>+HLOOKUP(B44,'שנת 2011'!$2:$213,209,0)</f>
        <v>59706.356</v>
      </c>
      <c r="F44" s="146">
        <f t="shared" si="0"/>
        <v>90966.840864134865</v>
      </c>
      <c r="H44" s="138">
        <f>+VLOOKUP(C44,'[2]ריכוז נתוני תאגידים'!$B$1:$AZ$65536,34,0)</f>
        <v>0.78032766860980896</v>
      </c>
    </row>
    <row r="45" spans="1:8" x14ac:dyDescent="0.2">
      <c r="A45" s="137" t="s">
        <v>247</v>
      </c>
      <c r="B45" s="8" t="s">
        <v>16</v>
      </c>
      <c r="C45" s="8" t="s">
        <v>16</v>
      </c>
      <c r="D45" s="138">
        <f>+HLOOKUP(B45,'שנת 2011'!$2:$213,205,0)</f>
        <v>1.5271001674637863</v>
      </c>
      <c r="E45" s="146">
        <f>+HLOOKUP(B45,'שנת 2011'!$2:$213,209,0)</f>
        <v>5431.7439999999997</v>
      </c>
      <c r="F45" s="146">
        <f t="shared" si="0"/>
        <v>8294.8171720204155</v>
      </c>
      <c r="H45" s="138">
        <f>+VLOOKUP(C45,'[2]ריכוז נתוני תאגידים'!$B$1:$AZ$65536,34,0)</f>
        <v>0.69433288917828251</v>
      </c>
    </row>
    <row r="46" spans="1:8" x14ac:dyDescent="0.2">
      <c r="A46" s="137" t="s">
        <v>252</v>
      </c>
      <c r="B46" s="8" t="s">
        <v>8</v>
      </c>
      <c r="C46" s="8" t="s">
        <v>8</v>
      </c>
      <c r="D46" s="138">
        <f>+HLOOKUP(B46,'שנת 2011'!$2:$213,205,0)</f>
        <v>1.6289649153163364</v>
      </c>
      <c r="E46" s="146">
        <f>+HLOOKUP(B46,'שנת 2011'!$2:$213,209,0)</f>
        <v>2378.12</v>
      </c>
      <c r="F46" s="146">
        <f t="shared" si="0"/>
        <v>3873.8740444120858</v>
      </c>
      <c r="H46" s="138">
        <f>+VLOOKUP(C46,'[2]ריכוז נתוני תאגידים'!$B$1:$AZ$65536,34,0)</f>
        <v>0.67780653564814664</v>
      </c>
    </row>
    <row r="47" spans="1:8" x14ac:dyDescent="0.2">
      <c r="A47" s="137" t="s">
        <v>225</v>
      </c>
      <c r="B47" s="8" t="s">
        <v>32</v>
      </c>
      <c r="C47" s="8" t="s">
        <v>32</v>
      </c>
      <c r="D47" s="138">
        <f>+HLOOKUP(B47,'שנת 2011'!$2:$213,205,0)</f>
        <v>1.6905798638948732</v>
      </c>
      <c r="E47" s="146">
        <f>+HLOOKUP(B47,'שנת 2011'!$2:$213,209,0)</f>
        <v>4284.6880000000001</v>
      </c>
      <c r="F47" s="146">
        <f t="shared" si="0"/>
        <v>7243.607255871997</v>
      </c>
      <c r="H47" s="138">
        <f>+VLOOKUP(C47,'[2]ריכוז נתוני תאגידים'!$B$1:$AZ$65536,34,0)</f>
        <v>0.99905125316213261</v>
      </c>
    </row>
    <row r="48" spans="1:8" x14ac:dyDescent="0.2">
      <c r="A48" s="137" t="s">
        <v>240</v>
      </c>
      <c r="B48" s="8" t="s">
        <v>6</v>
      </c>
      <c r="C48" s="8" t="s">
        <v>6</v>
      </c>
      <c r="D48" s="138">
        <f>+HLOOKUP(B48,'שנת 2011'!$2:$213,205,0)</f>
        <v>1.6484487475881717</v>
      </c>
      <c r="E48" s="146">
        <f>+HLOOKUP(B48,'שנת 2011'!$2:$213,209,0)</f>
        <v>5628.9759999999997</v>
      </c>
      <c r="F48" s="146">
        <f t="shared" si="0"/>
        <v>9279.0784374038758</v>
      </c>
      <c r="H48" s="138">
        <f>+VLOOKUP(C48,'[2]ריכוז נתוני תאגידים'!$B$1:$AZ$65536,34,0)</f>
        <v>0.70170761538195925</v>
      </c>
    </row>
    <row r="49" spans="1:8" x14ac:dyDescent="0.2">
      <c r="A49" s="137" t="s">
        <v>178</v>
      </c>
      <c r="B49" s="142" t="str">
        <f>A49</f>
        <v>מי הוד השרון</v>
      </c>
      <c r="C49" s="142" t="s">
        <v>5</v>
      </c>
      <c r="D49" s="138">
        <f>+HLOOKUP(B49,'שנת 2011'!$2:$213,205,0)</f>
        <v>1.712068655736992</v>
      </c>
      <c r="E49" s="146">
        <f>+HLOOKUP(B49,'שנת 2011'!$2:$213,209,0)</f>
        <v>4262.8490000000002</v>
      </c>
      <c r="F49" s="146">
        <f t="shared" si="0"/>
        <v>7298.2901570397808</v>
      </c>
      <c r="H49" s="138">
        <f>+VLOOKUP(C49,'[2]ריכוז נתוני תאגידים'!$B$1:$AZ$65536,34,0)</f>
        <v>0.70557963645581179</v>
      </c>
    </row>
    <row r="50" spans="1:8" x14ac:dyDescent="0.2">
      <c r="A50" s="137" t="s">
        <v>251</v>
      </c>
      <c r="B50" s="8" t="s">
        <v>27</v>
      </c>
      <c r="C50" s="8" t="s">
        <v>27</v>
      </c>
      <c r="D50" s="138">
        <f>+HLOOKUP(B50,'שנת 2011'!$2:$213,205,0)</f>
        <v>1.7856421679541239</v>
      </c>
      <c r="E50" s="146">
        <f>+HLOOKUP(B50,'שנת 2011'!$2:$213,209,0)</f>
        <v>3628.5720000000001</v>
      </c>
      <c r="F50" s="146">
        <f t="shared" si="0"/>
        <v>6479.3311726576312</v>
      </c>
      <c r="H50" s="138">
        <f>+VLOOKUP(C50,'[2]ריכוז נתוני תאגידים'!$B$1:$AZ$65536,34,0)</f>
        <v>0.70161658340046396</v>
      </c>
    </row>
    <row r="51" spans="1:8" x14ac:dyDescent="0.2">
      <c r="A51" s="137" t="s">
        <v>248</v>
      </c>
      <c r="B51" s="8" t="s">
        <v>22</v>
      </c>
      <c r="C51" s="8" t="s">
        <v>22</v>
      </c>
      <c r="D51" s="138">
        <f>+HLOOKUP(B51,'שנת 2011'!$2:$213,205,0)</f>
        <v>1.9671364520359642</v>
      </c>
      <c r="E51" s="146">
        <f>+HLOOKUP(B51,'שנת 2011'!$2:$213,209,0)</f>
        <v>23478.077000000001</v>
      </c>
      <c r="F51" s="146">
        <f t="shared" si="0"/>
        <v>46184.581090407177</v>
      </c>
      <c r="H51" s="138">
        <f>+VLOOKUP(C51,'[2]ריכוז נתוני תאגידים'!$B$1:$AZ$65536,34,0)</f>
        <v>0.70988686135305001</v>
      </c>
    </row>
    <row r="52" spans="1:8" x14ac:dyDescent="0.2">
      <c r="A52" s="137" t="s">
        <v>239</v>
      </c>
      <c r="B52" s="8" t="s">
        <v>4</v>
      </c>
      <c r="C52" s="8" t="s">
        <v>4</v>
      </c>
      <c r="D52" s="138">
        <f>+HLOOKUP(B52,'שנת 2011'!$2:$213,205,0)</f>
        <v>2.2104355920806498</v>
      </c>
      <c r="E52" s="146">
        <f>+HLOOKUP(B52,'שנת 2011'!$2:$213,209,0)</f>
        <v>8678.1309999999994</v>
      </c>
      <c r="F52" s="146">
        <f t="shared" si="0"/>
        <v>19182.44963513844</v>
      </c>
      <c r="H52" s="138">
        <f>+VLOOKUP(C52,'[2]ריכוז נתוני תאגידים'!$B$1:$AZ$65536,34,0)</f>
        <v>1.1905252077205579</v>
      </c>
    </row>
    <row r="53" spans="1:8" x14ac:dyDescent="0.2">
      <c r="A53" s="137" t="s">
        <v>224</v>
      </c>
      <c r="B53" s="8" t="s">
        <v>2</v>
      </c>
      <c r="C53" s="8" t="s">
        <v>2</v>
      </c>
      <c r="D53" s="138">
        <f>+HLOOKUP(B53,'שנת 2011'!$2:$213,205,0)</f>
        <v>2.1334510713294828</v>
      </c>
      <c r="E53" s="146">
        <f>+HLOOKUP(B53,'שנת 2011'!$2:$213,209,0)</f>
        <v>1749.1120000000001</v>
      </c>
      <c r="F53" s="146">
        <f t="shared" si="0"/>
        <v>3731.6448702752546</v>
      </c>
      <c r="H53" s="138">
        <f>+VLOOKUP(C53,'[2]ריכוז נתוני תאגידים'!$B$1:$AZ$65536,34,0)</f>
        <v>0.7874970029054853</v>
      </c>
    </row>
    <row r="55" spans="1:8" x14ac:dyDescent="0.2">
      <c r="E55" s="149">
        <f>SUM(E4:E54)</f>
        <v>459603.45200000011</v>
      </c>
      <c r="F55" s="149">
        <f>SUM(F5:F54)</f>
        <v>598963.50018124853</v>
      </c>
    </row>
    <row r="57" spans="1:8" ht="15" x14ac:dyDescent="0.25">
      <c r="A57" s="148"/>
      <c r="D57" s="147"/>
      <c r="E57" s="147"/>
      <c r="F57" s="147" t="s">
        <v>259</v>
      </c>
    </row>
  </sheetData>
  <autoFilter ref="A3:D53">
    <sortState ref="A3:D52">
      <sortCondition ref="D2:D52"/>
    </sortState>
  </autoFilter>
  <dataValidations disablePrompts="1" count="1">
    <dataValidation type="list" showInputMessage="1" showErrorMessage="1" sqref="A983089 A65585 A131121 A196657 A262193 A327729 A393265 A458801 A524337 A589873 A655409 A720945 A786481 A852017 A917553">
      <formula1>$A$4:$A$46</formula1>
    </dataValidation>
  </dataValidations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rightToLeft="1" workbookViewId="0">
      <pane ySplit="4" topLeftCell="A5" activePane="bottomLeft" state="frozen"/>
      <selection pane="bottomLeft" activeCell="H7" sqref="H7"/>
    </sheetView>
  </sheetViews>
  <sheetFormatPr defaultRowHeight="14.25" x14ac:dyDescent="0.2"/>
  <cols>
    <col min="1" max="1" width="35.875" customWidth="1"/>
    <col min="2" max="3" width="8" hidden="1" customWidth="1"/>
    <col min="4" max="4" width="13.125" bestFit="1" customWidth="1"/>
    <col min="5" max="5" width="14.875" bestFit="1" customWidth="1"/>
    <col min="7" max="7" width="11.875" bestFit="1" customWidth="1"/>
    <col min="8" max="8" width="16.375" bestFit="1" customWidth="1"/>
  </cols>
  <sheetData>
    <row r="1" spans="1:8" ht="15" x14ac:dyDescent="0.25">
      <c r="A1" s="140" t="s">
        <v>242</v>
      </c>
      <c r="D1" s="152" t="s">
        <v>263</v>
      </c>
      <c r="E1" s="152"/>
      <c r="F1" s="152"/>
    </row>
    <row r="2" spans="1:8" x14ac:dyDescent="0.2">
      <c r="A2" s="140"/>
    </row>
    <row r="3" spans="1:8" ht="15" x14ac:dyDescent="0.25">
      <c r="A3" s="138"/>
      <c r="D3" s="144" t="s">
        <v>262</v>
      </c>
      <c r="E3" s="144" t="s">
        <v>258</v>
      </c>
      <c r="G3" s="144" t="s">
        <v>260</v>
      </c>
      <c r="H3" s="144" t="s">
        <v>264</v>
      </c>
    </row>
    <row r="4" spans="1:8" hidden="1" x14ac:dyDescent="0.2">
      <c r="A4" s="143" t="s">
        <v>176</v>
      </c>
      <c r="B4" s="142" t="str">
        <f>+A4</f>
        <v>נווה מדבר</v>
      </c>
      <c r="C4" s="142"/>
      <c r="D4" s="138">
        <f>+HLOOKUP(B4,'שנת 2011'!$2:$213,207,0)</f>
        <v>0.32437213410104859</v>
      </c>
      <c r="E4" s="146">
        <f>+HLOOKUP(B4,'שנת 2011'!$2:$213,211,0)</f>
        <v>5049.7089999999989</v>
      </c>
    </row>
    <row r="5" spans="1:8" x14ac:dyDescent="0.2">
      <c r="A5" s="137" t="s">
        <v>171</v>
      </c>
      <c r="B5" s="8" t="str">
        <f>+A5</f>
        <v>עין כרמים</v>
      </c>
      <c r="C5" s="8" t="s">
        <v>265</v>
      </c>
      <c r="D5" s="138">
        <f>+HLOOKUP(B5,'שנת 2011'!$2:$213,207,0)</f>
        <v>0.89104181856123932</v>
      </c>
      <c r="E5" s="146">
        <f>+HLOOKUP(B5,'שנת 2011'!$2:$213,211,0)</f>
        <v>3727.9940000000001</v>
      </c>
      <c r="F5" s="149">
        <f>+D5*E5</f>
        <v>3321.7985533453889</v>
      </c>
      <c r="G5" s="151">
        <f>+F55/E55</f>
        <v>1.0157503191462152</v>
      </c>
      <c r="H5" s="138">
        <f>+VLOOKUP(C5,'[2]ריכוז נתוני תאגידים'!$B$1:$AZ$65536,33,0)</f>
        <v>1.0288431606080397</v>
      </c>
    </row>
    <row r="6" spans="1:8" x14ac:dyDescent="0.2">
      <c r="A6" s="137" t="s">
        <v>29</v>
      </c>
      <c r="B6" s="142" t="str">
        <f>A6</f>
        <v>מי גליל</v>
      </c>
      <c r="C6" s="142" t="str">
        <f>+B6</f>
        <v>מי גליל</v>
      </c>
      <c r="D6" s="138">
        <f>+HLOOKUP(B6,'שנת 2011'!$2:$213,207,0)</f>
        <v>0.62156821023213538</v>
      </c>
      <c r="E6" s="146">
        <f>+HLOOKUP(B6,'שנת 2011'!$2:$213,211,0)</f>
        <v>7424.8060000000005</v>
      </c>
      <c r="F6" s="149">
        <f t="shared" ref="F6:F53" si="0">+D6*E6</f>
        <v>4615.0233767408208</v>
      </c>
      <c r="H6" s="138">
        <f>+VLOOKUP(C6,'[2]ריכוז נתוני תאגידים'!$B$1:$AZ$65536,33,0)</f>
        <v>1.2330063659769257</v>
      </c>
    </row>
    <row r="7" spans="1:8" x14ac:dyDescent="0.2">
      <c r="A7" s="137" t="s">
        <v>227</v>
      </c>
      <c r="B7" s="8" t="s">
        <v>9</v>
      </c>
      <c r="C7" s="8" t="s">
        <v>9</v>
      </c>
      <c r="D7" s="138">
        <f>+HLOOKUP(B7,'שנת 2011'!$2:$213,207,0)</f>
        <v>0.55406208665720347</v>
      </c>
      <c r="E7" s="146">
        <f>+HLOOKUP(B7,'שנת 2011'!$2:$213,211,0)</f>
        <v>6759.7370000000001</v>
      </c>
      <c r="F7" s="149">
        <f t="shared" si="0"/>
        <v>3745.3139874739045</v>
      </c>
      <c r="H7" s="138">
        <f>+VLOOKUP(C7,'[2]ריכוז נתוני תאגידים'!$B$1:$AZ$65536,33,0)</f>
        <v>1.0309920745030585</v>
      </c>
    </row>
    <row r="8" spans="1:8" x14ac:dyDescent="0.2">
      <c r="A8" s="137" t="s">
        <v>251</v>
      </c>
      <c r="B8" s="8" t="s">
        <v>27</v>
      </c>
      <c r="C8" s="8" t="s">
        <v>27</v>
      </c>
      <c r="D8" s="138">
        <f>+HLOOKUP(B8,'שנת 2011'!$2:$213,207,0)</f>
        <v>0.64110291407872932</v>
      </c>
      <c r="E8" s="146">
        <f>+HLOOKUP(B8,'שנת 2011'!$2:$213,211,0)</f>
        <v>3487.223</v>
      </c>
      <c r="F8" s="149">
        <f t="shared" si="0"/>
        <v>2235.6688273423688</v>
      </c>
      <c r="H8" s="138">
        <f>+VLOOKUP(C8,'[2]ריכוז נתוני תאגידים'!$B$1:$AZ$65536,33,0)</f>
        <v>1.0776943095491065</v>
      </c>
    </row>
    <row r="9" spans="1:8" x14ac:dyDescent="0.2">
      <c r="A9" s="137" t="s">
        <v>234</v>
      </c>
      <c r="B9" s="139" t="s">
        <v>10</v>
      </c>
      <c r="C9" s="139" t="s">
        <v>10</v>
      </c>
      <c r="D9" s="138">
        <f>+HLOOKUP(B9,'שנת 2011'!$2:$213,207,0)</f>
        <v>0.712390118629323</v>
      </c>
      <c r="E9" s="146">
        <f>+HLOOKUP(B9,'שנת 2011'!$2:$213,211,0)</f>
        <v>18929.647000000001</v>
      </c>
      <c r="F9" s="149">
        <f t="shared" si="0"/>
        <v>13485.29347194121</v>
      </c>
      <c r="H9" s="138">
        <f>+VLOOKUP(C9,'[2]ריכוז נתוני תאגידים'!$B$1:$AZ$65536,33,0)</f>
        <v>1.0629231924320586</v>
      </c>
    </row>
    <row r="10" spans="1:8" x14ac:dyDescent="0.2">
      <c r="A10" s="137" t="s">
        <v>230</v>
      </c>
      <c r="B10" s="122" t="s">
        <v>173</v>
      </c>
      <c r="C10" s="8" t="s">
        <v>266</v>
      </c>
      <c r="D10" s="138">
        <f>+HLOOKUP(B10,'שנת 2011'!$2:$213,207,0)</f>
        <v>0.76099527462028305</v>
      </c>
      <c r="E10" s="146">
        <f>+HLOOKUP(B10,'שנת 2011'!$2:$213,211,0)</f>
        <v>14452.827000000001</v>
      </c>
      <c r="F10" s="149">
        <f t="shared" si="0"/>
        <v>10998.533051904442</v>
      </c>
      <c r="H10" s="138">
        <f>+VLOOKUP(C10,'[2]ריכוז נתוני תאגידים'!$B$1:$AZ$65536,33,0)</f>
        <v>1.0474134679287879</v>
      </c>
    </row>
    <row r="11" spans="1:8" x14ac:dyDescent="0.2">
      <c r="A11" s="137" t="s">
        <v>249</v>
      </c>
      <c r="B11" s="8" t="s">
        <v>20</v>
      </c>
      <c r="C11" s="8" t="s">
        <v>20</v>
      </c>
      <c r="D11" s="138">
        <f>+HLOOKUP(B11,'שנת 2011'!$2:$213,207,0)</f>
        <v>0.7632788295726477</v>
      </c>
      <c r="E11" s="146">
        <f>+HLOOKUP(B11,'שנת 2011'!$2:$213,211,0)</f>
        <v>3037.0730000000003</v>
      </c>
      <c r="F11" s="149">
        <f t="shared" si="0"/>
        <v>2318.1335247666902</v>
      </c>
      <c r="H11" s="138">
        <f>+VLOOKUP(C11,'[2]ריכוז נתוני תאגידים'!$B$1:$AZ$65536,33,0)</f>
        <v>0.98349128426801102</v>
      </c>
    </row>
    <row r="12" spans="1:8" x14ac:dyDescent="0.2">
      <c r="A12" s="137" t="s">
        <v>250</v>
      </c>
      <c r="B12" s="8" t="s">
        <v>18</v>
      </c>
      <c r="C12" s="8" t="s">
        <v>18</v>
      </c>
      <c r="D12" s="138">
        <f>+HLOOKUP(B12,'שנת 2011'!$2:$213,207,0)</f>
        <v>0.80172441365229152</v>
      </c>
      <c r="E12" s="146">
        <f>+HLOOKUP(B12,'שנת 2011'!$2:$213,211,0)</f>
        <v>5812.072000000001</v>
      </c>
      <c r="F12" s="149">
        <f t="shared" si="0"/>
        <v>4659.680016304902</v>
      </c>
      <c r="H12" s="138">
        <f>+VLOOKUP(C12,'[2]ריכוז נתוני תאגידים'!$B$1:$AZ$65536,33,0)</f>
        <v>1.1221030557084901</v>
      </c>
    </row>
    <row r="13" spans="1:8" x14ac:dyDescent="0.2">
      <c r="A13" s="137" t="s">
        <v>240</v>
      </c>
      <c r="B13" s="8" t="s">
        <v>6</v>
      </c>
      <c r="C13" s="8" t="s">
        <v>6</v>
      </c>
      <c r="D13" s="138">
        <f>+HLOOKUP(B13,'שנת 2011'!$2:$213,207,0)</f>
        <v>0.75136911380842952</v>
      </c>
      <c r="E13" s="146">
        <f>+HLOOKUP(B13,'שנת 2011'!$2:$213,211,0)</f>
        <v>5126.5369999999994</v>
      </c>
      <c r="F13" s="149">
        <f t="shared" si="0"/>
        <v>3851.9215625961242</v>
      </c>
      <c r="H13" s="138">
        <f>+VLOOKUP(C13,'[2]ריכוז נתוני תאגידים'!$B$1:$AZ$65536,33,0)</f>
        <v>0.99787637351209679</v>
      </c>
    </row>
    <row r="14" spans="1:8" x14ac:dyDescent="0.2">
      <c r="A14" s="143" t="s">
        <v>241</v>
      </c>
      <c r="B14" s="8" t="s">
        <v>241</v>
      </c>
      <c r="C14" s="8" t="s">
        <v>241</v>
      </c>
      <c r="D14" s="138">
        <f>+HLOOKUP(B14,'שנת 2011'!$2:$213,207,0)</f>
        <v>0.81174383341569278</v>
      </c>
      <c r="E14" s="146">
        <f>+HLOOKUP(B14,'שנת 2011'!$2:$213,211,0)</f>
        <v>7480.9309999999996</v>
      </c>
      <c r="F14" s="149">
        <f t="shared" si="0"/>
        <v>6072.5996074582918</v>
      </c>
      <c r="H14" s="138">
        <f>+VLOOKUP(C14,'[2]ריכוז נתוני תאגידים'!$B$1:$AZ$65536,33,0)</f>
        <v>1.6</v>
      </c>
    </row>
    <row r="15" spans="1:8" x14ac:dyDescent="0.2">
      <c r="A15" s="137" t="s">
        <v>232</v>
      </c>
      <c r="B15" s="8" t="s">
        <v>7</v>
      </c>
      <c r="C15" s="8" t="s">
        <v>7</v>
      </c>
      <c r="D15" s="138">
        <f>+HLOOKUP(B15,'שנת 2011'!$2:$213,207,0)</f>
        <v>0.79543490161886465</v>
      </c>
      <c r="E15" s="146">
        <f>+HLOOKUP(B15,'שנת 2011'!$2:$213,211,0)</f>
        <v>2927.018</v>
      </c>
      <c r="F15" s="149">
        <f t="shared" si="0"/>
        <v>2328.2522748666461</v>
      </c>
      <c r="H15" s="138">
        <f>+VLOOKUP(C15,'[2]ריכוז נתוני תאגידים'!$B$1:$AZ$65536,33,0)</f>
        <v>1.0351093395747584</v>
      </c>
    </row>
    <row r="16" spans="1:8" x14ac:dyDescent="0.2">
      <c r="A16" s="137" t="s">
        <v>226</v>
      </c>
      <c r="B16" s="8" t="s">
        <v>24</v>
      </c>
      <c r="C16" s="8" t="s">
        <v>24</v>
      </c>
      <c r="D16" s="138">
        <f>+HLOOKUP(B16,'שנת 2011'!$2:$213,207,0)</f>
        <v>0.75491354287943946</v>
      </c>
      <c r="E16" s="146">
        <f>+HLOOKUP(B16,'שנת 2011'!$2:$213,211,0)</f>
        <v>10072.235000000001</v>
      </c>
      <c r="F16" s="149">
        <f t="shared" si="0"/>
        <v>7603.666608564291</v>
      </c>
      <c r="H16" s="138">
        <f>+VLOOKUP(C16,'[2]ריכוז נתוני תאגידים'!$B$1:$AZ$65536,33,0)</f>
        <v>1.0660115605796681</v>
      </c>
    </row>
    <row r="17" spans="1:8" x14ac:dyDescent="0.2">
      <c r="A17" s="137" t="s">
        <v>205</v>
      </c>
      <c r="B17" s="142" t="str">
        <f>A17</f>
        <v>מי אשקלון</v>
      </c>
      <c r="C17" s="142" t="str">
        <f>B17</f>
        <v>מי אשקלון</v>
      </c>
      <c r="D17" s="138">
        <f>+HLOOKUP(B17,'שנת 2011'!$2:$213,207,0)</f>
        <v>0.81203127447913037</v>
      </c>
      <c r="E17" s="146">
        <f>+HLOOKUP(B17,'שנת 2011'!$2:$213,211,0)</f>
        <v>11571.278</v>
      </c>
      <c r="F17" s="149">
        <f t="shared" si="0"/>
        <v>9396.2396216923225</v>
      </c>
      <c r="H17" s="138">
        <f>+VLOOKUP(C17,'[2]ריכוז נתוני תאגידים'!$B$1:$AZ$65536,33,0)</f>
        <v>1.0670639995438727</v>
      </c>
    </row>
    <row r="18" spans="1:8" x14ac:dyDescent="0.2">
      <c r="A18" s="137" t="s">
        <v>248</v>
      </c>
      <c r="B18" s="8" t="s">
        <v>22</v>
      </c>
      <c r="C18" s="8" t="s">
        <v>22</v>
      </c>
      <c r="D18" s="138">
        <f>+HLOOKUP(B18,'שנת 2011'!$2:$213,207,0)</f>
        <v>0.7758334179622135</v>
      </c>
      <c r="E18" s="146">
        <f>+HLOOKUP(B18,'שנת 2011'!$2:$213,211,0)</f>
        <v>22830.183000000001</v>
      </c>
      <c r="F18" s="149">
        <f t="shared" si="0"/>
        <v>17712.418909592823</v>
      </c>
      <c r="H18" s="138">
        <f>+VLOOKUP(C18,'[2]ריכוז נתוני תאגידים'!$B$1:$AZ$65536,33,0)</f>
        <v>1.1842348654542783</v>
      </c>
    </row>
    <row r="19" spans="1:8" x14ac:dyDescent="0.2">
      <c r="A19" s="137" t="s">
        <v>221</v>
      </c>
      <c r="B19" s="8" t="s">
        <v>175</v>
      </c>
      <c r="C19" s="8" t="s">
        <v>175</v>
      </c>
      <c r="D19" s="138">
        <f>+HLOOKUP(B19,'שנת 2011'!$2:$213,207,0)</f>
        <v>0.8279179359173916</v>
      </c>
      <c r="E19" s="146">
        <f>+HLOOKUP(B19,'שנת 2011'!$2:$213,211,0)</f>
        <v>8854.7670000000016</v>
      </c>
      <c r="F19" s="149">
        <f t="shared" si="0"/>
        <v>7331.0204176694351</v>
      </c>
      <c r="H19" s="138">
        <f>+VLOOKUP(C19,'[2]ריכוז נתוני תאגידים'!$B$1:$AZ$65536,33,0)</f>
        <v>1.1659139166893857</v>
      </c>
    </row>
    <row r="20" spans="1:8" x14ac:dyDescent="0.2">
      <c r="A20" s="137" t="s">
        <v>222</v>
      </c>
      <c r="B20" s="141" t="s">
        <v>35</v>
      </c>
      <c r="C20" s="141" t="s">
        <v>35</v>
      </c>
      <c r="D20" s="138">
        <f>+HLOOKUP(B20,'שנת 2011'!$2:$213,207,0)</f>
        <v>0.58097231568373775</v>
      </c>
      <c r="E20" s="146">
        <f>+HLOOKUP(B20,'שנת 2011'!$2:$213,211,0)</f>
        <v>2571.5190000000002</v>
      </c>
      <c r="F20" s="149">
        <f t="shared" si="0"/>
        <v>1493.9813482547297</v>
      </c>
      <c r="H20" s="138">
        <f>+VLOOKUP(C20,'[2]ריכוז נתוני תאגידים'!$B$1:$AZ$65536,33,0)</f>
        <v>1.2475361266476972</v>
      </c>
    </row>
    <row r="21" spans="1:8" x14ac:dyDescent="0.2">
      <c r="A21" s="137" t="s">
        <v>233</v>
      </c>
      <c r="B21" s="139" t="s">
        <v>19</v>
      </c>
      <c r="C21" s="139" t="s">
        <v>19</v>
      </c>
      <c r="D21" s="138">
        <f>+HLOOKUP(B21,'שנת 2011'!$2:$213,207,0)</f>
        <v>0.84156814481122788</v>
      </c>
      <c r="E21" s="146">
        <f>+HLOOKUP(B21,'שנת 2011'!$2:$213,211,0)</f>
        <v>4618.6840000000002</v>
      </c>
      <c r="F21" s="149">
        <f t="shared" si="0"/>
        <v>3886.9373253493013</v>
      </c>
      <c r="H21" s="138">
        <f>+VLOOKUP(C21,'[2]ריכוז נתוני תאגידים'!$B$1:$AZ$65536,33,0)</f>
        <v>1.1651832660713266</v>
      </c>
    </row>
    <row r="22" spans="1:8" x14ac:dyDescent="0.2">
      <c r="A22" s="137" t="s">
        <v>238</v>
      </c>
      <c r="B22" s="8" t="s">
        <v>15</v>
      </c>
      <c r="C22" s="8" t="s">
        <v>15</v>
      </c>
      <c r="D22" s="138">
        <f>+HLOOKUP(B22,'שנת 2011'!$2:$213,207,0)</f>
        <v>0.88679711684071583</v>
      </c>
      <c r="E22" s="146">
        <f>+HLOOKUP(B22,'שנת 2011'!$2:$213,211,0)</f>
        <v>10165.302</v>
      </c>
      <c r="F22" s="149">
        <f t="shared" si="0"/>
        <v>9014.560505415162</v>
      </c>
      <c r="H22" s="138">
        <f>+VLOOKUP(C22,'[2]ריכוז נתוני תאגידים'!$B$1:$AZ$65536,33,0)</f>
        <v>0.96058097179446678</v>
      </c>
    </row>
    <row r="23" spans="1:8" x14ac:dyDescent="0.2">
      <c r="A23" s="137" t="s">
        <v>31</v>
      </c>
      <c r="B23" s="142" t="str">
        <f>A23</f>
        <v>אל עין</v>
      </c>
      <c r="C23" s="142" t="str">
        <f>B23</f>
        <v>אל עין</v>
      </c>
      <c r="D23" s="138">
        <f>+HLOOKUP(B23,'שנת 2011'!$2:$213,207,0)</f>
        <v>0.86308848684816586</v>
      </c>
      <c r="E23" s="146">
        <f>+HLOOKUP(B23,'שנת 2011'!$2:$213,211,0)</f>
        <v>5222.5860000000002</v>
      </c>
      <c r="F23" s="149">
        <f t="shared" si="0"/>
        <v>4507.5538481744152</v>
      </c>
      <c r="H23" s="138">
        <f>+VLOOKUP(C23,'[2]ריכוז נתוני תאגידים'!$B$1:$AZ$65536,33,0)</f>
        <v>1.2681862136607982</v>
      </c>
    </row>
    <row r="24" spans="1:8" x14ac:dyDescent="0.2">
      <c r="A24" s="137" t="s">
        <v>229</v>
      </c>
      <c r="B24" s="8" t="s">
        <v>37</v>
      </c>
      <c r="C24" s="8" t="s">
        <v>37</v>
      </c>
      <c r="D24" s="138">
        <f>+HLOOKUP(B24,'שנת 2011'!$2:$213,207,0)</f>
        <v>0.82755548256156952</v>
      </c>
      <c r="E24" s="146">
        <f>+HLOOKUP(B24,'שנת 2011'!$2:$213,211,0)</f>
        <v>5578.402</v>
      </c>
      <c r="F24" s="149">
        <f t="shared" si="0"/>
        <v>4616.4371590324245</v>
      </c>
      <c r="H24" s="138">
        <f>+VLOOKUP(C24,'[2]ריכוז נתוני תאגידים'!$B$1:$AZ$65536,33,0)</f>
        <v>1.0618332794532428</v>
      </c>
    </row>
    <row r="25" spans="1:8" x14ac:dyDescent="0.2">
      <c r="A25" s="137" t="s">
        <v>219</v>
      </c>
      <c r="B25" s="142" t="str">
        <f>A25</f>
        <v>מעיינות המשולש</v>
      </c>
      <c r="C25" s="142" t="s">
        <v>206</v>
      </c>
      <c r="D25" s="138">
        <f>+HLOOKUP(B25,'שנת 2011'!$2:$213,207,0)</f>
        <v>0.9371681948431444</v>
      </c>
      <c r="E25" s="146">
        <f>+HLOOKUP(B25,'שנת 2011'!$2:$213,211,0)</f>
        <v>4159.4449999999997</v>
      </c>
      <c r="F25" s="149">
        <f t="shared" si="0"/>
        <v>3898.0995621993425</v>
      </c>
      <c r="H25" s="138">
        <f>+VLOOKUP(C25,'[2]ריכוז נתוני תאגידים'!$B$1:$AZ$65536,33,0)</f>
        <v>1.1064915128868245</v>
      </c>
    </row>
    <row r="26" spans="1:8" x14ac:dyDescent="0.2">
      <c r="A26" s="137" t="s">
        <v>23</v>
      </c>
      <c r="B26" s="142" t="str">
        <f>A26</f>
        <v>ימים</v>
      </c>
      <c r="C26" s="142" t="str">
        <f>B26</f>
        <v>ימים</v>
      </c>
      <c r="D26" s="138">
        <f>+HLOOKUP(B26,'שנת 2011'!$2:$213,207,0)</f>
        <v>0.86972488427529371</v>
      </c>
      <c r="E26" s="146">
        <f>+HLOOKUP(B26,'שנת 2011'!$2:$213,211,0)</f>
        <v>2335.5919999999996</v>
      </c>
      <c r="F26" s="149">
        <f t="shared" si="0"/>
        <v>2031.3224819143015</v>
      </c>
      <c r="H26" s="138">
        <f>+VLOOKUP(C26,'[2]ריכוז נתוני תאגידים'!$B$1:$AZ$65536,33,0)</f>
        <v>1.0863703209695599</v>
      </c>
    </row>
    <row r="27" spans="1:8" x14ac:dyDescent="0.2">
      <c r="A27" s="137" t="s">
        <v>245</v>
      </c>
      <c r="B27" s="8" t="s">
        <v>41</v>
      </c>
      <c r="C27" s="8" t="s">
        <v>41</v>
      </c>
      <c r="D27" s="138">
        <f>+HLOOKUP(B27,'שנת 2011'!$2:$213,207,0)</f>
        <v>0.92321334944703481</v>
      </c>
      <c r="E27" s="146">
        <f>+HLOOKUP(B27,'שנת 2011'!$2:$213,211,0)</f>
        <v>7268.6779999999999</v>
      </c>
      <c r="F27" s="149">
        <f t="shared" si="0"/>
        <v>6710.5405624319737</v>
      </c>
      <c r="H27" s="138">
        <f>+VLOOKUP(C27,'[2]ריכוז נתוני תאגידים'!$B$1:$AZ$65536,33,0)</f>
        <v>0.99772200920819731</v>
      </c>
    </row>
    <row r="28" spans="1:8" x14ac:dyDescent="0.2">
      <c r="A28" s="137" t="s">
        <v>243</v>
      </c>
      <c r="B28" s="8" t="s">
        <v>11</v>
      </c>
      <c r="C28" s="8" t="s">
        <v>11</v>
      </c>
      <c r="D28" s="138">
        <f>+HLOOKUP(B28,'שנת 2011'!$2:$213,207,0)</f>
        <v>0.91113867903141754</v>
      </c>
      <c r="E28" s="146">
        <f>+HLOOKUP(B28,'שנת 2011'!$2:$213,211,0)</f>
        <v>3191.42</v>
      </c>
      <c r="F28" s="149">
        <f t="shared" si="0"/>
        <v>2907.8262030344467</v>
      </c>
      <c r="H28" s="138">
        <f>+VLOOKUP(C28,'[2]ריכוז נתוני תאגידים'!$B$1:$AZ$65536,33,0)</f>
        <v>1.0764540271277421</v>
      </c>
    </row>
    <row r="29" spans="1:8" x14ac:dyDescent="0.2">
      <c r="A29" s="137" t="s">
        <v>239</v>
      </c>
      <c r="B29" s="8" t="s">
        <v>4</v>
      </c>
      <c r="C29" s="8" t="s">
        <v>4</v>
      </c>
      <c r="D29" s="138">
        <f>+HLOOKUP(B29,'שנת 2011'!$2:$213,207,0)</f>
        <v>0.8667544899061419</v>
      </c>
      <c r="E29" s="146">
        <f>+HLOOKUP(B29,'שנת 2011'!$2:$213,211,0)</f>
        <v>8488.6209999999992</v>
      </c>
      <c r="F29" s="149">
        <f t="shared" si="0"/>
        <v>7357.5503648615631</v>
      </c>
      <c r="H29" s="138">
        <f>+VLOOKUP(C29,'[2]ריכוז נתוני תאגידים'!$B$1:$AZ$65536,33,0)</f>
        <v>1.4946644803212585</v>
      </c>
    </row>
    <row r="30" spans="1:8" x14ac:dyDescent="0.2">
      <c r="A30" s="137" t="s">
        <v>26</v>
      </c>
      <c r="B30" s="8" t="s">
        <v>26</v>
      </c>
      <c r="C30" s="8" t="s">
        <v>26</v>
      </c>
      <c r="D30" s="138">
        <f>+HLOOKUP(B30,'שנת 2011'!$2:$213,207,0)</f>
        <v>0.98758888620178165</v>
      </c>
      <c r="E30" s="146">
        <f>+HLOOKUP(B30,'שנת 2011'!$2:$213,211,0)</f>
        <v>9403.8849999999984</v>
      </c>
      <c r="F30" s="149">
        <f t="shared" si="0"/>
        <v>9287.1723131196395</v>
      </c>
      <c r="H30" s="138">
        <f>+VLOOKUP(C30,'[2]ריכוז נתוני תאגידים'!$B$1:$AZ$65536,33,0)</f>
        <v>1.3444023309268451</v>
      </c>
    </row>
    <row r="31" spans="1:8" x14ac:dyDescent="0.2">
      <c r="A31" s="137" t="s">
        <v>237</v>
      </c>
      <c r="B31" s="8" t="s">
        <v>12</v>
      </c>
      <c r="C31" s="8" t="s">
        <v>12</v>
      </c>
      <c r="D31" s="138">
        <f>+HLOOKUP(B31,'שנת 2011'!$2:$213,207,0)</f>
        <v>0.99772378928652461</v>
      </c>
      <c r="E31" s="146">
        <f>+HLOOKUP(B31,'שנת 2011'!$2:$213,211,0)</f>
        <v>17513.722000000002</v>
      </c>
      <c r="F31" s="149">
        <f t="shared" si="0"/>
        <v>17473.857078350771</v>
      </c>
      <c r="H31" s="138">
        <f>+VLOOKUP(C31,'[2]ריכוז נתוני תאגידים'!$B$1:$AZ$65536,33,0)</f>
        <v>1.005748366715669</v>
      </c>
    </row>
    <row r="32" spans="1:8" x14ac:dyDescent="0.2">
      <c r="A32" s="137" t="s">
        <v>225</v>
      </c>
      <c r="B32" s="8" t="s">
        <v>32</v>
      </c>
      <c r="C32" s="8" t="s">
        <v>32</v>
      </c>
      <c r="D32" s="138">
        <f>+HLOOKUP(B32,'שנת 2011'!$2:$213,207,0)</f>
        <v>0.96890967103458114</v>
      </c>
      <c r="E32" s="146">
        <f>+HLOOKUP(B32,'שנת 2011'!$2:$213,211,0)</f>
        <v>4185.5220000000008</v>
      </c>
      <c r="F32" s="149">
        <f t="shared" si="0"/>
        <v>4055.392744128003</v>
      </c>
      <c r="H32" s="138">
        <f>+VLOOKUP(C32,'[2]ריכוז נתוני תאגידים'!$B$1:$AZ$65536,33,0)</f>
        <v>1.2903945389556637</v>
      </c>
    </row>
    <row r="33" spans="1:8" x14ac:dyDescent="0.2">
      <c r="A33" s="137" t="s">
        <v>206</v>
      </c>
      <c r="B33" s="142" t="str">
        <f>A33</f>
        <v>מעיינות העמקים</v>
      </c>
      <c r="C33" s="142" t="str">
        <f>B33</f>
        <v>מעיינות העמקים</v>
      </c>
      <c r="D33" s="138">
        <f>+HLOOKUP(B33,'שנת 2011'!$2:$213,207,0)</f>
        <v>0.95269047162278664</v>
      </c>
      <c r="E33" s="146">
        <f>+HLOOKUP(B33,'שנת 2011'!$2:$213,211,0)</f>
        <v>3019.4449999999997</v>
      </c>
      <c r="F33" s="149">
        <f t="shared" si="0"/>
        <v>2876.5964810890646</v>
      </c>
      <c r="H33" s="138">
        <f>+VLOOKUP(C33,'[2]ריכוז נתוני תאגידים'!$B$1:$AZ$65536,33,0)</f>
        <v>1.1064915128868245</v>
      </c>
    </row>
    <row r="34" spans="1:8" x14ac:dyDescent="0.2">
      <c r="A34" s="137" t="s">
        <v>253</v>
      </c>
      <c r="B34" s="8" t="s">
        <v>39</v>
      </c>
      <c r="C34" s="8" t="s">
        <v>39</v>
      </c>
      <c r="D34" s="138">
        <f>+HLOOKUP(B34,'שנת 2011'!$2:$213,207,0)</f>
        <v>1.0163150085573147</v>
      </c>
      <c r="E34" s="146">
        <f>+HLOOKUP(B34,'שנת 2011'!$2:$213,211,0)</f>
        <v>3374.3979999999997</v>
      </c>
      <c r="F34" s="149">
        <f t="shared" si="0"/>
        <v>3429.4513322457851</v>
      </c>
      <c r="H34" s="138">
        <f>+VLOOKUP(C34,'[2]ריכוז נתוני תאגידים'!$B$1:$AZ$65536,33,0)</f>
        <v>1.0842569401085114</v>
      </c>
    </row>
    <row r="35" spans="1:8" x14ac:dyDescent="0.2">
      <c r="A35" s="137" t="s">
        <v>246</v>
      </c>
      <c r="B35" s="8" t="s">
        <v>17</v>
      </c>
      <c r="C35" s="8" t="s">
        <v>17</v>
      </c>
      <c r="D35" s="138">
        <f>+HLOOKUP(B35,'שנת 2011'!$2:$213,207,0)</f>
        <v>1.0081445438215655</v>
      </c>
      <c r="E35" s="146">
        <f>+HLOOKUP(B35,'שנת 2011'!$2:$213,211,0)</f>
        <v>9372.9530000000013</v>
      </c>
      <c r="F35" s="149">
        <f t="shared" si="0"/>
        <v>9449.2914264459741</v>
      </c>
      <c r="H35" s="138">
        <f>+VLOOKUP(C35,'[2]ריכוז נתוני תאגידים'!$B$1:$AZ$65536,33,0)</f>
        <v>0.98847459128390747</v>
      </c>
    </row>
    <row r="36" spans="1:8" x14ac:dyDescent="0.2">
      <c r="A36" s="137" t="s">
        <v>30</v>
      </c>
      <c r="B36" s="8" t="s">
        <v>30</v>
      </c>
      <c r="C36" s="8" t="s">
        <v>30</v>
      </c>
      <c r="D36" s="138">
        <f>+HLOOKUP(B36,'שנת 2011'!$2:$213,207,0)</f>
        <v>1.1060429634690903</v>
      </c>
      <c r="E36" s="146">
        <f>+HLOOKUP(B36,'שנת 2011'!$2:$213,211,0)</f>
        <v>4188.16</v>
      </c>
      <c r="F36" s="149">
        <f t="shared" si="0"/>
        <v>4632.2848978827051</v>
      </c>
      <c r="H36" s="138">
        <f>+VLOOKUP(C36,'[2]ריכוז נתוני תאגידים'!$B$1:$AZ$65536,33,0)</f>
        <v>1.0569580380599046</v>
      </c>
    </row>
    <row r="37" spans="1:8" x14ac:dyDescent="0.2">
      <c r="A37" s="137" t="s">
        <v>244</v>
      </c>
      <c r="B37" s="8" t="s">
        <v>40</v>
      </c>
      <c r="C37" s="8" t="s">
        <v>40</v>
      </c>
      <c r="D37" s="138">
        <f>+HLOOKUP(B37,'שנת 2011'!$2:$213,207,0)</f>
        <v>0.97732619229259665</v>
      </c>
      <c r="E37" s="146">
        <f>+HLOOKUP(B37,'שנת 2011'!$2:$213,211,0)</f>
        <v>5839.4970000000003</v>
      </c>
      <c r="F37" s="149">
        <f t="shared" si="0"/>
        <v>5707.0933679140417</v>
      </c>
      <c r="H37" s="138">
        <f>+VLOOKUP(C37,'[2]ריכוז נתוני תאגידים'!$B$1:$AZ$65536,33,0)</f>
        <v>0.99445774766695738</v>
      </c>
    </row>
    <row r="38" spans="1:8" x14ac:dyDescent="0.2">
      <c r="A38" s="137" t="s">
        <v>235</v>
      </c>
      <c r="B38" s="8" t="s">
        <v>14</v>
      </c>
      <c r="C38" s="8" t="s">
        <v>14</v>
      </c>
      <c r="D38" s="138">
        <f>+HLOOKUP(B38,'שנת 2011'!$2:$213,207,0)</f>
        <v>1.0538876212357844</v>
      </c>
      <c r="E38" s="146">
        <f>+HLOOKUP(B38,'שנת 2011'!$2:$213,211,0)</f>
        <v>13087.905000000001</v>
      </c>
      <c r="F38" s="149">
        <f t="shared" si="0"/>
        <v>13793.181067409929</v>
      </c>
      <c r="H38" s="138">
        <f>+VLOOKUP(C38,'[2]ריכוז נתוני תאגידים'!$B$1:$AZ$65536,33,0)</f>
        <v>1.1238923923832276</v>
      </c>
    </row>
    <row r="39" spans="1:8" x14ac:dyDescent="0.2">
      <c r="A39" s="137" t="s">
        <v>228</v>
      </c>
      <c r="B39" s="8" t="s">
        <v>13</v>
      </c>
      <c r="C39" s="8" t="s">
        <v>13</v>
      </c>
      <c r="D39" s="138">
        <f>+HLOOKUP(B39,'שנת 2011'!$2:$213,207,0)</f>
        <v>1.0351169898824364</v>
      </c>
      <c r="E39" s="146">
        <f>+HLOOKUP(B39,'שנת 2011'!$2:$213,211,0)</f>
        <v>5230.53</v>
      </c>
      <c r="F39" s="149">
        <f t="shared" si="0"/>
        <v>5414.2104690897795</v>
      </c>
      <c r="H39" s="138">
        <f>+VLOOKUP(C39,'[2]ריכוז נתוני תאגידים'!$B$1:$AZ$65536,33,0)</f>
        <v>1.057601642756643</v>
      </c>
    </row>
    <row r="40" spans="1:8" x14ac:dyDescent="0.2">
      <c r="A40" s="137" t="s">
        <v>231</v>
      </c>
      <c r="B40" s="8" t="s">
        <v>3</v>
      </c>
      <c r="C40" s="8" t="s">
        <v>3</v>
      </c>
      <c r="D40" s="138">
        <f>+HLOOKUP(B40,'שנת 2011'!$2:$213,207,0)</f>
        <v>1.1333804827730394</v>
      </c>
      <c r="E40" s="146">
        <f>+HLOOKUP(B40,'שנת 2011'!$2:$213,211,0)</f>
        <v>4998.1290000000008</v>
      </c>
      <c r="F40" s="149">
        <f t="shared" si="0"/>
        <v>5664.7818589819299</v>
      </c>
      <c r="H40" s="138">
        <f>+VLOOKUP(C40,'[2]ריכוז נתוני תאגידים'!$B$1:$AZ$65536,33,0)</f>
        <v>1.2827906683466024</v>
      </c>
    </row>
    <row r="41" spans="1:8" x14ac:dyDescent="0.2">
      <c r="A41" s="137" t="s">
        <v>172</v>
      </c>
      <c r="B41" s="122" t="s">
        <v>172</v>
      </c>
      <c r="C41" s="122" t="s">
        <v>267</v>
      </c>
      <c r="D41" s="138">
        <f>+HLOOKUP(B41,'שנת 2011'!$2:$213,207,0)</f>
        <v>1.1386961741829218</v>
      </c>
      <c r="E41" s="146">
        <f>+HLOOKUP(B41,'שנת 2011'!$2:$213,211,0)</f>
        <v>3223.2179999999998</v>
      </c>
      <c r="F41" s="149">
        <f t="shared" si="0"/>
        <v>3670.2660051575285</v>
      </c>
      <c r="H41" s="138">
        <f>+VLOOKUP(C41,'[2]ריכוז נתוני תאגידים'!$B$1:$AZ$65536,33,0)</f>
        <v>1.1694333321623982</v>
      </c>
    </row>
    <row r="42" spans="1:8" x14ac:dyDescent="0.2">
      <c r="A42" s="137" t="s">
        <v>220</v>
      </c>
      <c r="B42" s="139" t="s">
        <v>21</v>
      </c>
      <c r="C42" s="139" t="s">
        <v>21</v>
      </c>
      <c r="D42" s="138">
        <f>+HLOOKUP(B42,'שנת 2011'!$2:$213,207,0)</f>
        <v>1.188932149502586</v>
      </c>
      <c r="E42" s="146">
        <f>+HLOOKUP(B42,'שנת 2011'!$2:$213,211,0)</f>
        <v>57949.614000000001</v>
      </c>
      <c r="F42" s="149">
        <f t="shared" si="0"/>
        <v>68898.159135865149</v>
      </c>
      <c r="H42" s="138">
        <f>+VLOOKUP(C42,'[2]ריכוז נתוני תאגידים'!$B$1:$AZ$65536,33,0)</f>
        <v>1.066523398050196</v>
      </c>
    </row>
    <row r="43" spans="1:8" x14ac:dyDescent="0.2">
      <c r="A43" s="137" t="s">
        <v>180</v>
      </c>
      <c r="B43" s="8" t="str">
        <f>+A43</f>
        <v>מי אביבים</v>
      </c>
      <c r="C43" s="8" t="s">
        <v>28</v>
      </c>
      <c r="D43" s="138">
        <f>+HLOOKUP(B43,'שנת 2011'!$2:$213,207,0)</f>
        <v>1.1675745831673709</v>
      </c>
      <c r="E43" s="146">
        <f>+HLOOKUP(B43,'שנת 2011'!$2:$213,211,0)</f>
        <v>41699.370000000003</v>
      </c>
      <c r="F43" s="149">
        <f t="shared" si="0"/>
        <v>48687.124546091974</v>
      </c>
      <c r="H43" s="138">
        <f>+VLOOKUP(C43,'[2]ריכוז נתוני תאגידים'!$B$1:$AZ$65536,33,0)</f>
        <v>1.0697557101741471</v>
      </c>
    </row>
    <row r="44" spans="1:8" x14ac:dyDescent="0.2">
      <c r="A44" s="137" t="s">
        <v>178</v>
      </c>
      <c r="B44" s="142" t="str">
        <f>A44</f>
        <v>מי הוד השרון</v>
      </c>
      <c r="C44" s="142" t="s">
        <v>5</v>
      </c>
      <c r="D44" s="138">
        <f>+HLOOKUP(B44,'שנת 2011'!$2:$213,207,0)</f>
        <v>1.1664678384540252</v>
      </c>
      <c r="E44" s="146">
        <f>+HLOOKUP(B44,'שנת 2011'!$2:$213,211,0)</f>
        <v>3668.9480000000003</v>
      </c>
      <c r="F44" s="149">
        <f t="shared" si="0"/>
        <v>4279.7098429602192</v>
      </c>
      <c r="H44" s="138">
        <f>+VLOOKUP(C44,'[2]ריכוז נתוני תאגידים'!$B$1:$AZ$65536,33,0)</f>
        <v>1.0126224685240721</v>
      </c>
    </row>
    <row r="45" spans="1:8" x14ac:dyDescent="0.2">
      <c r="A45" s="137" t="s">
        <v>247</v>
      </c>
      <c r="B45" s="8" t="s">
        <v>16</v>
      </c>
      <c r="C45" s="8" t="s">
        <v>16</v>
      </c>
      <c r="D45" s="138">
        <f>+HLOOKUP(B45,'שנת 2011'!$2:$213,207,0)</f>
        <v>1.1973761466264377</v>
      </c>
      <c r="E45" s="146">
        <f>+HLOOKUP(B45,'שנת 2011'!$2:$213,211,0)</f>
        <v>4302.0590000000002</v>
      </c>
      <c r="F45" s="149">
        <f t="shared" si="0"/>
        <v>5151.1828279795864</v>
      </c>
      <c r="H45" s="138">
        <f>+VLOOKUP(C45,'[2]ריכוז נתוני תאגידים'!$B$1:$AZ$65536,33,0)</f>
        <v>1.0545319370758692</v>
      </c>
    </row>
    <row r="46" spans="1:8" x14ac:dyDescent="0.2">
      <c r="A46" s="137" t="s">
        <v>223</v>
      </c>
      <c r="B46" s="8" t="s">
        <v>174</v>
      </c>
      <c r="C46" s="8" t="s">
        <v>174</v>
      </c>
      <c r="D46" s="138">
        <f>+HLOOKUP(B46,'שנת 2011'!$2:$213,207,0)</f>
        <v>1.2026718090068484</v>
      </c>
      <c r="E46" s="146">
        <f>+HLOOKUP(B46,'שנת 2011'!$2:$213,211,0)</f>
        <v>15482.126</v>
      </c>
      <c r="F46" s="149">
        <f t="shared" si="0"/>
        <v>18619.916483691963</v>
      </c>
      <c r="H46" s="138">
        <f>+VLOOKUP(C46,'[2]ריכוז נתוני תאגידים'!$B$1:$AZ$65536,33,0)</f>
        <v>1.0271245035393317</v>
      </c>
    </row>
    <row r="47" spans="1:8" x14ac:dyDescent="0.2">
      <c r="A47" s="137" t="s">
        <v>236</v>
      </c>
      <c r="B47" s="8" t="s">
        <v>177</v>
      </c>
      <c r="C47" s="8" t="s">
        <v>38</v>
      </c>
      <c r="D47" s="138">
        <f>+HLOOKUP(B47,'שנת 2011'!$2:$213,207,0)</f>
        <v>1.1265573661134303</v>
      </c>
      <c r="E47" s="146">
        <f>+HLOOKUP(B47,'שנת 2011'!$2:$213,211,0)</f>
        <v>17356.741999999998</v>
      </c>
      <c r="F47" s="149">
        <f t="shared" si="0"/>
        <v>19553.365551830349</v>
      </c>
      <c r="H47" s="138">
        <f>+VLOOKUP(C47,'[2]ריכוז נתוני תאגידים'!$B$1:$AZ$65536,33,0)</f>
        <v>1.128443856715331</v>
      </c>
    </row>
    <row r="48" spans="1:8" x14ac:dyDescent="0.2">
      <c r="A48" s="137" t="s">
        <v>25</v>
      </c>
      <c r="B48" s="8" t="s">
        <v>25</v>
      </c>
      <c r="C48" s="8" t="s">
        <v>25</v>
      </c>
      <c r="D48" s="138">
        <f>+HLOOKUP(B48,'שנת 2011'!$2:$213,207,0)</f>
        <v>1.2420289284576647</v>
      </c>
      <c r="E48" s="146">
        <f>+HLOOKUP(B48,'שנת 2011'!$2:$213,211,0)</f>
        <v>3520.1609999999996</v>
      </c>
      <c r="F48" s="149">
        <f t="shared" si="0"/>
        <v>4372.1417948284607</v>
      </c>
      <c r="H48" s="138">
        <f>+VLOOKUP(C48,'[2]ריכוז נתוני תאגידים'!$B$1:$AZ$65536,33,0)</f>
        <v>1.0328225980644108</v>
      </c>
    </row>
    <row r="49" spans="1:8" x14ac:dyDescent="0.2">
      <c r="A49" s="137" t="s">
        <v>254</v>
      </c>
      <c r="B49" s="8" t="s">
        <v>34</v>
      </c>
      <c r="C49" s="8" t="s">
        <v>34</v>
      </c>
      <c r="D49" s="138">
        <f>+HLOOKUP(B49,'שנת 2011'!$2:$213,207,0)</f>
        <v>1.3142051807401018</v>
      </c>
      <c r="E49" s="146">
        <f>+HLOOKUP(B49,'שנת 2011'!$2:$213,211,0)</f>
        <v>6403.5740000000005</v>
      </c>
      <c r="F49" s="149">
        <f t="shared" si="0"/>
        <v>8415.6101260526175</v>
      </c>
      <c r="H49" s="138">
        <f>+VLOOKUP(C49,'[2]ריכוז נתוני תאגידים'!$B$1:$AZ$65536,33,0)</f>
        <v>1.1585825916731325</v>
      </c>
    </row>
    <row r="50" spans="1:8" x14ac:dyDescent="0.2">
      <c r="A50" s="137" t="s">
        <v>255</v>
      </c>
      <c r="B50" s="142" t="s">
        <v>33</v>
      </c>
      <c r="C50" s="142" t="s">
        <v>33</v>
      </c>
      <c r="D50" s="138">
        <f>+HLOOKUP(B50,'שנת 2011'!$2:$213,207,0)</f>
        <v>1.2843466552328531</v>
      </c>
      <c r="E50" s="146">
        <f>+HLOOKUP(B50,'שנת 2011'!$2:$213,211,0)</f>
        <v>5039.2919999999995</v>
      </c>
      <c r="F50" s="149">
        <f t="shared" si="0"/>
        <v>6472.1978249416743</v>
      </c>
      <c r="H50" s="138">
        <f>+VLOOKUP(C50,'[2]ריכוז נתוני תאגידים'!$B$1:$AZ$65536,33,0)</f>
        <v>1.0487386535909653</v>
      </c>
    </row>
    <row r="51" spans="1:8" x14ac:dyDescent="0.2">
      <c r="A51" s="137" t="s">
        <v>252</v>
      </c>
      <c r="B51" s="8" t="s">
        <v>8</v>
      </c>
      <c r="C51" s="8" t="s">
        <v>8</v>
      </c>
      <c r="D51" s="138">
        <f>+HLOOKUP(B51,'שנת 2011'!$2:$213,207,0)</f>
        <v>1.8477450731961882</v>
      </c>
      <c r="E51" s="146">
        <f>+HLOOKUP(B51,'שנת 2011'!$2:$213,211,0)</f>
        <v>2273.1089999999999</v>
      </c>
      <c r="F51" s="149">
        <f t="shared" si="0"/>
        <v>4200.1259555879142</v>
      </c>
      <c r="H51" s="138">
        <f>+VLOOKUP(C51,'[2]ריכוז נתוני תאגידים'!$B$1:$AZ$65536,33,0)</f>
        <v>1.0300742140444716</v>
      </c>
    </row>
    <row r="52" spans="1:8" x14ac:dyDescent="0.2">
      <c r="A52" s="137" t="s">
        <v>224</v>
      </c>
      <c r="B52" s="8" t="s">
        <v>2</v>
      </c>
      <c r="C52" s="8" t="s">
        <v>2</v>
      </c>
      <c r="D52" s="138">
        <f>+HLOOKUP(B52,'שנת 2011'!$2:$213,207,0)</f>
        <v>2.4346169165680704</v>
      </c>
      <c r="E52" s="146">
        <f>+HLOOKUP(B52,'שנת 2011'!$2:$213,211,0)</f>
        <v>1540.8400000000001</v>
      </c>
      <c r="F52" s="149">
        <f t="shared" si="0"/>
        <v>3751.3551297247459</v>
      </c>
      <c r="H52" s="138">
        <f>+VLOOKUP(C52,'[2]ריכוז נתוני תאגידים'!$B$1:$AZ$65536,33,0)</f>
        <v>1.0860912831891103</v>
      </c>
    </row>
    <row r="53" spans="1:8" x14ac:dyDescent="0.2">
      <c r="A53" s="137" t="s">
        <v>261</v>
      </c>
      <c r="B53" s="8" t="s">
        <v>36</v>
      </c>
      <c r="C53" s="8" t="s">
        <v>36</v>
      </c>
      <c r="D53" s="138">
        <f>+HLOOKUP(B53,'שנת 2011'!$2:$213,207,0)</f>
        <v>2.3984159446621693</v>
      </c>
      <c r="E53" s="146">
        <f>+HLOOKUP(B53,'שנת 2011'!$2:$213,211,0)</f>
        <v>8365.1200000000008</v>
      </c>
      <c r="F53" s="149">
        <f t="shared" si="0"/>
        <v>20063.037187012407</v>
      </c>
      <c r="H53" s="138">
        <f>+VLOOKUP(C53,'[2]ריכוז נתוני תאגידים'!$B$1:$AZ$65536,33,0)</f>
        <v>1.0835619913682464</v>
      </c>
    </row>
    <row r="55" spans="1:8" x14ac:dyDescent="0.2">
      <c r="E55" s="149">
        <f>SUM(E5:E54)</f>
        <v>437132.89600000012</v>
      </c>
      <c r="F55" s="149">
        <f>SUM(F5:F54)</f>
        <v>444017.87862130941</v>
      </c>
    </row>
    <row r="57" spans="1:8" ht="15" x14ac:dyDescent="0.25">
      <c r="A57" s="148"/>
      <c r="D57" s="147"/>
      <c r="E57" s="147"/>
      <c r="F57" s="147" t="s">
        <v>259</v>
      </c>
    </row>
  </sheetData>
  <autoFilter ref="A3:D53">
    <sortState ref="A3:D52">
      <sortCondition ref="D2:D52"/>
    </sortState>
  </autoFilter>
  <dataValidations count="1">
    <dataValidation type="list" showInputMessage="1" showErrorMessage="1" sqref="A983089 A65585 A131121 A196657 A262193 A327729 A393265 A458801 A524337 A589873 A655409 A720945 A786481 A852017 A917553">
      <formula1>$A$4:$A$46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rightToLeft="1" workbookViewId="0">
      <pane ySplit="3" topLeftCell="A4" activePane="bottomLeft" state="frozen"/>
      <selection pane="bottomLeft" activeCell="I16" sqref="I16"/>
    </sheetView>
  </sheetViews>
  <sheetFormatPr defaultRowHeight="14.25" x14ac:dyDescent="0.2"/>
  <cols>
    <col min="1" max="1" width="35.875" customWidth="1"/>
    <col min="2" max="2" width="8" hidden="1" customWidth="1"/>
    <col min="3" max="3" width="13.125" bestFit="1" customWidth="1"/>
    <col min="4" max="4" width="12.125" bestFit="1" customWidth="1"/>
    <col min="5" max="5" width="16.375" bestFit="1" customWidth="1"/>
    <col min="6" max="6" width="19.625" hidden="1" customWidth="1"/>
    <col min="7" max="7" width="0" hidden="1" customWidth="1"/>
    <col min="8" max="8" width="12.375" hidden="1" customWidth="1"/>
  </cols>
  <sheetData>
    <row r="1" spans="1:8" ht="15" x14ac:dyDescent="0.25">
      <c r="A1" s="140" t="s">
        <v>242</v>
      </c>
      <c r="C1" s="152" t="s">
        <v>263</v>
      </c>
      <c r="D1" s="152"/>
      <c r="E1" s="152"/>
    </row>
    <row r="2" spans="1:8" x14ac:dyDescent="0.2">
      <c r="A2" s="140"/>
    </row>
    <row r="3" spans="1:8" ht="15" x14ac:dyDescent="0.25">
      <c r="A3" s="138"/>
      <c r="C3" s="144" t="s">
        <v>256</v>
      </c>
      <c r="D3" s="144" t="s">
        <v>260</v>
      </c>
      <c r="E3" s="144" t="s">
        <v>264</v>
      </c>
      <c r="F3" s="144" t="s">
        <v>268</v>
      </c>
      <c r="G3" s="144" t="s">
        <v>269</v>
      </c>
      <c r="H3" s="144" t="s">
        <v>270</v>
      </c>
    </row>
    <row r="4" spans="1:8" x14ac:dyDescent="0.2">
      <c r="A4" s="137" t="s">
        <v>29</v>
      </c>
      <c r="B4" s="142" t="str">
        <f>A4</f>
        <v>מי גליל</v>
      </c>
      <c r="C4" s="138">
        <f>+HLOOKUP(B4,'שנת 2011'!$2:$213,205,0)+HLOOKUP(B4,'שנת 2011'!$2:$213,207,0)</f>
        <v>1.4047159064846553</v>
      </c>
      <c r="D4" s="151">
        <f>+'עלות תפעול ביוב'!G5+'עלות תפעול מים'!G5</f>
        <v>2.3189683380162047</v>
      </c>
      <c r="E4" s="138">
        <f>+VLOOKUP(A4,'עלות תפעול מים'!$A:$H,8,0)+VLOOKUP(A4,'עלות תפעול ביוב'!$A:$H,8,0)</f>
        <v>2.1892254789065673</v>
      </c>
      <c r="F4">
        <v>1.5820000000000001</v>
      </c>
      <c r="G4" s="138">
        <f>+E4-F4</f>
        <v>0.6072254789065672</v>
      </c>
      <c r="H4" s="154">
        <f>+E4/F4-1</f>
        <v>0.38383405746306387</v>
      </c>
    </row>
    <row r="5" spans="1:8" x14ac:dyDescent="0.2">
      <c r="A5" s="137" t="s">
        <v>171</v>
      </c>
      <c r="B5" s="8" t="str">
        <f>+A5</f>
        <v>עין כרמים</v>
      </c>
      <c r="C5" s="138">
        <f>+HLOOKUP(B5,'שנת 2011'!$2:$213,205,0)+HLOOKUP(B5,'שנת 2011'!$2:$213,207,0)</f>
        <v>1.942415658822561</v>
      </c>
      <c r="E5" s="138">
        <f>+VLOOKUP(A5,'עלות תפעול מים'!$A:$H,8,0)+VLOOKUP(A5,'עלות תפעול ביוב'!$A:$H,8,0)</f>
        <v>1.7595551382595613</v>
      </c>
      <c r="F5">
        <v>1.5820000000000001</v>
      </c>
      <c r="G5" s="138">
        <f t="shared" ref="G5:G52" si="0">+E5-F5</f>
        <v>0.17755513825956126</v>
      </c>
      <c r="H5" s="154">
        <f t="shared" ref="H5:H52" si="1">+E5/F5-1</f>
        <v>0.11223460066976054</v>
      </c>
    </row>
    <row r="6" spans="1:8" x14ac:dyDescent="0.2">
      <c r="A6" s="137" t="s">
        <v>205</v>
      </c>
      <c r="B6" s="142" t="str">
        <f>A6</f>
        <v>מי אשקלון</v>
      </c>
      <c r="C6" s="138">
        <f>+HLOOKUP(B6,'שנת 2011'!$2:$213,205,0)+HLOOKUP(B6,'שנת 2011'!$2:$213,207,0)</f>
        <v>1.6440220581035194</v>
      </c>
      <c r="E6" s="138">
        <f>+VLOOKUP(A6,'עלות תפעול מים'!$A:$H,8,0)+VLOOKUP(A6,'עלות תפעול ביוב'!$A:$H,8,0)</f>
        <v>1.8337670788950875</v>
      </c>
      <c r="F6">
        <v>1.5820000000000001</v>
      </c>
      <c r="G6" s="138">
        <f t="shared" si="0"/>
        <v>0.25176707889508743</v>
      </c>
      <c r="H6" s="154">
        <f t="shared" si="1"/>
        <v>0.15914480334708436</v>
      </c>
    </row>
    <row r="7" spans="1:8" x14ac:dyDescent="0.2">
      <c r="A7" s="137" t="s">
        <v>230</v>
      </c>
      <c r="B7" s="122" t="s">
        <v>173</v>
      </c>
      <c r="C7" s="138">
        <f>+HLOOKUP(B7,'שנת 2011'!$2:$213,205,0)+HLOOKUP(B7,'שנת 2011'!$2:$213,207,0)</f>
        <v>1.6601247583301113</v>
      </c>
      <c r="E7" s="138">
        <f>+VLOOKUP(A7,'עלות תפעול מים'!$A:$H,8,0)+VLOOKUP(A7,'עלות תפעול ביוב'!$A:$H,8,0)</f>
        <v>1.7874105992406837</v>
      </c>
      <c r="F7">
        <v>1.5820000000000001</v>
      </c>
      <c r="G7" s="138">
        <f t="shared" si="0"/>
        <v>0.20541059924068361</v>
      </c>
      <c r="H7" s="154">
        <f t="shared" si="1"/>
        <v>0.12984235097388352</v>
      </c>
    </row>
    <row r="8" spans="1:8" x14ac:dyDescent="0.2">
      <c r="A8" s="137" t="s">
        <v>238</v>
      </c>
      <c r="B8" s="8" t="s">
        <v>15</v>
      </c>
      <c r="C8" s="138">
        <f>+HLOOKUP(B8,'שנת 2011'!$2:$213,205,0)+HLOOKUP(B8,'שנת 2011'!$2:$213,207,0)</f>
        <v>1.7064012426391009</v>
      </c>
      <c r="E8" s="138">
        <f>+VLOOKUP(A8,'עלות תפעול מים'!$A:$H,8,0)+VLOOKUP(A8,'עלות תפעול ביוב'!$A:$H,8,0)</f>
        <v>1.657161855039202</v>
      </c>
      <c r="F8">
        <v>1.5820000000000001</v>
      </c>
      <c r="G8" s="138">
        <f t="shared" si="0"/>
        <v>7.5161855039201919E-2</v>
      </c>
      <c r="H8" s="154">
        <f t="shared" si="1"/>
        <v>4.7510654259925289E-2</v>
      </c>
    </row>
    <row r="9" spans="1:8" x14ac:dyDescent="0.2">
      <c r="A9" s="137" t="s">
        <v>250</v>
      </c>
      <c r="B9" s="8" t="s">
        <v>18</v>
      </c>
      <c r="C9" s="138">
        <f>+HLOOKUP(B9,'שנת 2011'!$2:$213,205,0)+HLOOKUP(B9,'שנת 2011'!$2:$213,207,0)</f>
        <v>1.7173633504792616</v>
      </c>
      <c r="E9" s="138">
        <f>+VLOOKUP(A9,'עלות תפעול מים'!$A:$H,8,0)+VLOOKUP(A9,'עלות תפעול ביוב'!$A:$H,8,0)</f>
        <v>1.9613997234096439</v>
      </c>
      <c r="F9">
        <v>1.5820000000000001</v>
      </c>
      <c r="G9" s="138">
        <f t="shared" si="0"/>
        <v>0.37939972340964379</v>
      </c>
      <c r="H9" s="154">
        <f t="shared" si="1"/>
        <v>0.23982283401368121</v>
      </c>
    </row>
    <row r="10" spans="1:8" x14ac:dyDescent="0.2">
      <c r="A10" s="137" t="s">
        <v>232</v>
      </c>
      <c r="B10" s="8" t="s">
        <v>7</v>
      </c>
      <c r="C10" s="138">
        <f>+HLOOKUP(B10,'שנת 2011'!$2:$213,205,0)+HLOOKUP(B10,'שנת 2011'!$2:$213,207,0)</f>
        <v>1.786346258593162</v>
      </c>
      <c r="E10" s="138">
        <f>+VLOOKUP(A10,'עלות תפעול מים'!$A:$H,8,0)+VLOOKUP(A10,'עלות תפעול ביוב'!$A:$H,8,0)</f>
        <v>1.7949402131139967</v>
      </c>
      <c r="F10">
        <v>1.5820000000000001</v>
      </c>
      <c r="G10" s="138">
        <f t="shared" si="0"/>
        <v>0.21294021311399658</v>
      </c>
      <c r="H10" s="154">
        <f t="shared" si="1"/>
        <v>0.13460190462325961</v>
      </c>
    </row>
    <row r="11" spans="1:8" x14ac:dyDescent="0.2">
      <c r="A11" s="137" t="s">
        <v>23</v>
      </c>
      <c r="B11" s="142" t="str">
        <f>A11</f>
        <v>ימים</v>
      </c>
      <c r="C11" s="138">
        <f>+HLOOKUP(B11,'שנת 2011'!$2:$213,205,0)+HLOOKUP(B11,'שנת 2011'!$2:$213,207,0)</f>
        <v>1.7994194207354957</v>
      </c>
      <c r="E11" s="138">
        <f>+VLOOKUP(A11,'עלות תפעול מים'!$A:$H,8,0)+VLOOKUP(A11,'עלות תפעול ביוב'!$A:$H,8,0)</f>
        <v>1.8458458788018417</v>
      </c>
      <c r="F11">
        <v>1.5820000000000001</v>
      </c>
      <c r="G11" s="138">
        <f t="shared" si="0"/>
        <v>0.26384587880184163</v>
      </c>
      <c r="H11" s="154">
        <f t="shared" si="1"/>
        <v>0.16677994867373047</v>
      </c>
    </row>
    <row r="12" spans="1:8" x14ac:dyDescent="0.2">
      <c r="A12" s="137" t="s">
        <v>234</v>
      </c>
      <c r="B12" s="139" t="s">
        <v>10</v>
      </c>
      <c r="C12" s="138">
        <f>+HLOOKUP(B12,'שנת 2011'!$2:$213,205,0)+HLOOKUP(B12,'שנת 2011'!$2:$213,207,0)</f>
        <v>1.809436111899748</v>
      </c>
      <c r="E12" s="138">
        <f>+VLOOKUP(A12,'עלות תפעול מים'!$A:$H,8,0)+VLOOKUP(A12,'עלות תפעול ביוב'!$A:$H,8,0)</f>
        <v>1.826817395834224</v>
      </c>
      <c r="F12">
        <v>1.5820000000000001</v>
      </c>
      <c r="G12" s="138">
        <f t="shared" si="0"/>
        <v>0.24481739583422391</v>
      </c>
      <c r="H12" s="154">
        <f t="shared" si="1"/>
        <v>0.15475183048939556</v>
      </c>
    </row>
    <row r="13" spans="1:8" x14ac:dyDescent="0.2">
      <c r="A13" s="137" t="s">
        <v>227</v>
      </c>
      <c r="B13" s="8" t="s">
        <v>9</v>
      </c>
      <c r="C13" s="138">
        <f>+HLOOKUP(B13,'שנת 2011'!$2:$213,205,0)+HLOOKUP(B13,'שנת 2011'!$2:$213,207,0)</f>
        <v>1.914053426268725</v>
      </c>
      <c r="E13" s="138">
        <f>+VLOOKUP(A13,'עלות תפעול מים'!$A:$H,8,0)+VLOOKUP(A13,'עלות תפעול ביוב'!$A:$H,8,0)</f>
        <v>1.7627785091020896</v>
      </c>
      <c r="F13">
        <v>1.5820000000000001</v>
      </c>
      <c r="G13" s="138">
        <f t="shared" si="0"/>
        <v>0.18077850910208948</v>
      </c>
      <c r="H13" s="154">
        <f t="shared" si="1"/>
        <v>0.11427212964733857</v>
      </c>
    </row>
    <row r="14" spans="1:8" x14ac:dyDescent="0.2">
      <c r="A14" s="137" t="s">
        <v>31</v>
      </c>
      <c r="B14" s="142" t="str">
        <f>A14</f>
        <v>אל עין</v>
      </c>
      <c r="C14" s="138">
        <f>+HLOOKUP(B14,'שנת 2011'!$2:$213,205,0)+HLOOKUP(B14,'שנת 2011'!$2:$213,207,0)</f>
        <v>1.9244091830588832</v>
      </c>
      <c r="E14" s="138">
        <f>+VLOOKUP(A14,'עלות תפעול מים'!$A:$H,8,0)+VLOOKUP(A14,'עלות תפעול ביוב'!$A:$H,8,0)</f>
        <v>2.2498818176458455</v>
      </c>
      <c r="F14">
        <v>1.5820000000000001</v>
      </c>
      <c r="G14" s="138">
        <f t="shared" si="0"/>
        <v>0.66788181764584542</v>
      </c>
      <c r="H14" s="154">
        <f t="shared" si="1"/>
        <v>0.42217561165982631</v>
      </c>
    </row>
    <row r="15" spans="1:8" x14ac:dyDescent="0.2">
      <c r="A15" s="137" t="s">
        <v>221</v>
      </c>
      <c r="B15" s="8" t="s">
        <v>175</v>
      </c>
      <c r="C15" s="138">
        <f>+HLOOKUP(B15,'שנת 2011'!$2:$213,205,0)+HLOOKUP(B15,'שנת 2011'!$2:$213,207,0)</f>
        <v>1.9743962181542787</v>
      </c>
      <c r="E15" s="138">
        <f>+VLOOKUP(A15,'עלות תפעול מים'!$A:$H,8,0)+VLOOKUP(A15,'עלות תפעול ביוב'!$A:$H,8,0)</f>
        <v>2.0503669126738533</v>
      </c>
      <c r="F15">
        <v>1.5820000000000001</v>
      </c>
      <c r="G15" s="138">
        <f t="shared" si="0"/>
        <v>0.46836691267385322</v>
      </c>
      <c r="H15" s="154">
        <f t="shared" si="1"/>
        <v>0.29605999536906014</v>
      </c>
    </row>
    <row r="16" spans="1:8" x14ac:dyDescent="0.2">
      <c r="A16" s="143" t="s">
        <v>241</v>
      </c>
      <c r="B16" s="8" t="s">
        <v>241</v>
      </c>
      <c r="C16" s="138">
        <f>+HLOOKUP(B16,'שנת 2011'!$2:$213,205,0)+HLOOKUP(B16,'שנת 2011'!$2:$213,207,0)</f>
        <v>2.1496256023414544</v>
      </c>
      <c r="E16" s="138">
        <f>+VLOOKUP(A16,'עלות תפעול מים'!$A:$H,8,0)+VLOOKUP(A16,'עלות תפעול ביוב'!$A:$H,8,0)</f>
        <v>2.8298240111520006</v>
      </c>
      <c r="F16">
        <v>1.5820000000000001</v>
      </c>
      <c r="G16" s="138">
        <f t="shared" si="0"/>
        <v>1.2478240111520005</v>
      </c>
      <c r="H16" s="154">
        <f t="shared" si="1"/>
        <v>0.78876359744121394</v>
      </c>
    </row>
    <row r="17" spans="1:8" x14ac:dyDescent="0.2">
      <c r="A17" s="137" t="s">
        <v>223</v>
      </c>
      <c r="B17" s="8" t="s">
        <v>174</v>
      </c>
      <c r="C17" s="138">
        <f>+HLOOKUP(B17,'שנת 2011'!$2:$213,205,0)+HLOOKUP(B17,'שנת 2011'!$2:$213,207,0)</f>
        <v>2.03057983882954</v>
      </c>
      <c r="E17" s="138">
        <f>+VLOOKUP(A17,'עלות תפעול מים'!$A:$H,8,0)+VLOOKUP(A17,'עלות תפעול ביוב'!$A:$H,8,0)</f>
        <v>1.7569771526564995</v>
      </c>
      <c r="F17">
        <v>1.5820000000000001</v>
      </c>
      <c r="G17" s="138">
        <f t="shared" si="0"/>
        <v>0.17497715265649938</v>
      </c>
      <c r="H17" s="154">
        <f t="shared" si="1"/>
        <v>0.11060502696365315</v>
      </c>
    </row>
    <row r="18" spans="1:8" x14ac:dyDescent="0.2">
      <c r="A18" s="137" t="s">
        <v>219</v>
      </c>
      <c r="B18" s="142" t="str">
        <f>A18</f>
        <v>מעיינות המשולש</v>
      </c>
      <c r="C18" s="138">
        <f>+HLOOKUP(B18,'שנת 2011'!$2:$213,205,0)+HLOOKUP(B18,'שנת 2011'!$2:$213,207,0)</f>
        <v>2.0364143584343966</v>
      </c>
      <c r="E18" s="138">
        <f>+VLOOKUP(A18,'עלות תפעול מים'!$A:$H,8,0)+VLOOKUP(A18,'עלות תפעול ביוב'!$A:$H,8,0)</f>
        <v>1.9068572631888798</v>
      </c>
      <c r="F18">
        <v>1.5820000000000001</v>
      </c>
      <c r="G18" s="138">
        <f t="shared" si="0"/>
        <v>0.32485726318887975</v>
      </c>
      <c r="H18" s="154">
        <f t="shared" si="1"/>
        <v>0.20534593121926648</v>
      </c>
    </row>
    <row r="19" spans="1:8" x14ac:dyDescent="0.2">
      <c r="A19" s="137" t="s">
        <v>249</v>
      </c>
      <c r="B19" s="8" t="s">
        <v>20</v>
      </c>
      <c r="C19" s="138">
        <f>+HLOOKUP(B19,'שנת 2011'!$2:$213,205,0)+HLOOKUP(B19,'שנת 2011'!$2:$213,207,0)</f>
        <v>2.0563215192992099</v>
      </c>
      <c r="E19" s="138">
        <f>+VLOOKUP(A19,'עלות תפעול מים'!$A:$H,8,0)+VLOOKUP(A19,'עלות תפעול ביוב'!$A:$H,8,0)</f>
        <v>1.7064003893432682</v>
      </c>
      <c r="F19">
        <v>1.5820000000000001</v>
      </c>
      <c r="G19" s="138">
        <f t="shared" si="0"/>
        <v>0.12440038934326814</v>
      </c>
      <c r="H19" s="154">
        <f t="shared" si="1"/>
        <v>7.8634885804847121E-2</v>
      </c>
    </row>
    <row r="20" spans="1:8" x14ac:dyDescent="0.2">
      <c r="A20" s="137" t="s">
        <v>246</v>
      </c>
      <c r="B20" s="8" t="s">
        <v>17</v>
      </c>
      <c r="C20" s="138">
        <f>+HLOOKUP(B20,'שנת 2011'!$2:$213,205,0)+HLOOKUP(B20,'שנת 2011'!$2:$213,207,0)</f>
        <v>2.0773658305656384</v>
      </c>
      <c r="E20" s="138">
        <f>+VLOOKUP(A20,'עלות תפעול מים'!$A:$H,8,0)+VLOOKUP(A20,'עלות תפעול ביוב'!$A:$H,8,0)</f>
        <v>1.6854813155517721</v>
      </c>
      <c r="F20">
        <v>1.5820000000000001</v>
      </c>
      <c r="G20" s="138">
        <f t="shared" si="0"/>
        <v>0.10348131555177198</v>
      </c>
      <c r="H20" s="154">
        <f t="shared" si="1"/>
        <v>6.5411703888604178E-2</v>
      </c>
    </row>
    <row r="21" spans="1:8" x14ac:dyDescent="0.2">
      <c r="A21" s="137" t="s">
        <v>226</v>
      </c>
      <c r="B21" s="8" t="s">
        <v>24</v>
      </c>
      <c r="C21" s="138">
        <f>+HLOOKUP(B21,'שנת 2011'!$2:$213,205,0)+HLOOKUP(B21,'שנת 2011'!$2:$213,207,0)</f>
        <v>2.0882105359047043</v>
      </c>
      <c r="E21" s="138">
        <f>+VLOOKUP(A21,'עלות תפעול מים'!$A:$H,8,0)+VLOOKUP(A21,'עלות תפעול ביוב'!$A:$H,8,0)</f>
        <v>1.7901808038107538</v>
      </c>
      <c r="F21">
        <v>1.5820000000000001</v>
      </c>
      <c r="G21" s="138">
        <f t="shared" si="0"/>
        <v>0.20818080381075377</v>
      </c>
      <c r="H21" s="154">
        <f t="shared" si="1"/>
        <v>0.13159342845180388</v>
      </c>
    </row>
    <row r="22" spans="1:8" x14ac:dyDescent="0.2">
      <c r="A22" s="137" t="s">
        <v>237</v>
      </c>
      <c r="B22" s="8" t="s">
        <v>12</v>
      </c>
      <c r="C22" s="138">
        <f>+HLOOKUP(B22,'שנת 2011'!$2:$213,205,0)+HLOOKUP(B22,'שנת 2011'!$2:$213,207,0)</f>
        <v>2.0861460000148262</v>
      </c>
      <c r="E22" s="138">
        <f>+VLOOKUP(A22,'עלות תפעול מים'!$A:$H,8,0)+VLOOKUP(A22,'עלות תפעול ביוב'!$A:$H,8,0)</f>
        <v>1.7113919786994145</v>
      </c>
      <c r="F22">
        <v>1.5820000000000001</v>
      </c>
      <c r="G22" s="138">
        <f t="shared" si="0"/>
        <v>0.12939197869941443</v>
      </c>
      <c r="H22" s="154">
        <f t="shared" si="1"/>
        <v>8.1790125600135433E-2</v>
      </c>
    </row>
    <row r="23" spans="1:8" x14ac:dyDescent="0.2">
      <c r="A23" s="137" t="s">
        <v>222</v>
      </c>
      <c r="B23" s="141" t="s">
        <v>35</v>
      </c>
      <c r="C23" s="138">
        <f>+HLOOKUP(B23,'שנת 2011'!$2:$213,205,0)+HLOOKUP(B23,'שנת 2011'!$2:$213,207,0)</f>
        <v>1.8543278342132057</v>
      </c>
      <c r="E23" s="138">
        <f>+VLOOKUP(A23,'עלות תפעול מים'!$A:$H,8,0)+VLOOKUP(A23,'עלות תפעול ביוב'!$A:$H,8,0)</f>
        <v>2.210013500135362</v>
      </c>
      <c r="F23">
        <v>1.5820000000000001</v>
      </c>
      <c r="G23" s="138">
        <f t="shared" si="0"/>
        <v>0.62801350013536195</v>
      </c>
      <c r="H23" s="154">
        <f t="shared" si="1"/>
        <v>0.39697439957987468</v>
      </c>
    </row>
    <row r="24" spans="1:8" x14ac:dyDescent="0.2">
      <c r="A24" s="137" t="s">
        <v>253</v>
      </c>
      <c r="B24" s="8" t="s">
        <v>39</v>
      </c>
      <c r="C24" s="138">
        <f>+HLOOKUP(B24,'שנת 2011'!$2:$213,205,0)+HLOOKUP(B24,'שנת 2011'!$2:$213,207,0)</f>
        <v>2.1204161103583274</v>
      </c>
      <c r="E24" s="138">
        <f>+VLOOKUP(A24,'עלות תפעול מים'!$A:$H,8,0)+VLOOKUP(A24,'עלות תפעול ביוב'!$A:$H,8,0)</f>
        <v>1.8575488731040188</v>
      </c>
      <c r="F24">
        <v>1.5820000000000001</v>
      </c>
      <c r="G24" s="138">
        <f t="shared" si="0"/>
        <v>0.27554887310401877</v>
      </c>
      <c r="H24" s="154">
        <f t="shared" si="1"/>
        <v>0.17417754304931643</v>
      </c>
    </row>
    <row r="25" spans="1:8" x14ac:dyDescent="0.2">
      <c r="A25" s="137" t="s">
        <v>233</v>
      </c>
      <c r="B25" s="139" t="s">
        <v>19</v>
      </c>
      <c r="C25" s="138">
        <f>+HLOOKUP(B25,'שנת 2011'!$2:$213,205,0)+HLOOKUP(B25,'שנת 2011'!$2:$213,207,0)</f>
        <v>2.1378794160100645</v>
      </c>
      <c r="E25" s="138">
        <f>+VLOOKUP(A25,'עלות תפעול מים'!$A:$H,8,0)+VLOOKUP(A25,'עלות תפעול ביוב'!$A:$H,8,0)</f>
        <v>2.0382474630799017</v>
      </c>
      <c r="F25">
        <v>1.5820000000000001</v>
      </c>
      <c r="G25" s="138">
        <f t="shared" si="0"/>
        <v>0.45624746307990161</v>
      </c>
      <c r="H25" s="154">
        <f t="shared" si="1"/>
        <v>0.28839915491776336</v>
      </c>
    </row>
    <row r="26" spans="1:8" x14ac:dyDescent="0.2">
      <c r="A26" s="137" t="s">
        <v>245</v>
      </c>
      <c r="B26" s="8" t="s">
        <v>41</v>
      </c>
      <c r="C26" s="138">
        <f>+HLOOKUP(B26,'שנת 2011'!$2:$213,205,0)+HLOOKUP(B26,'שנת 2011'!$2:$213,207,0)</f>
        <v>2.1914832740330596</v>
      </c>
      <c r="E26" s="138">
        <f>+VLOOKUP(A26,'עלות תפעול מים'!$A:$H,8,0)+VLOOKUP(A26,'עלות תפעול ביוב'!$A:$H,8,0)</f>
        <v>1.7277464767535478</v>
      </c>
      <c r="F26">
        <v>1.5820000000000001</v>
      </c>
      <c r="G26" s="138">
        <f t="shared" si="0"/>
        <v>0.14574647675354768</v>
      </c>
      <c r="H26" s="154">
        <f t="shared" si="1"/>
        <v>9.2127987834101033E-2</v>
      </c>
    </row>
    <row r="27" spans="1:8" x14ac:dyDescent="0.2">
      <c r="A27" s="137" t="s">
        <v>231</v>
      </c>
      <c r="B27" s="8" t="s">
        <v>3</v>
      </c>
      <c r="C27" s="138">
        <f>+HLOOKUP(B27,'שנת 2011'!$2:$213,205,0)+HLOOKUP(B27,'שנת 2011'!$2:$213,207,0)</f>
        <v>2.2036574492679284</v>
      </c>
      <c r="E27" s="138">
        <f>+VLOOKUP(A27,'עלות תפעול מים'!$A:$H,8,0)+VLOOKUP(A27,'עלות תפעול ביוב'!$A:$H,8,0)</f>
        <v>2.2715316542178274</v>
      </c>
      <c r="F27">
        <v>1.5820000000000001</v>
      </c>
      <c r="G27" s="138">
        <f t="shared" si="0"/>
        <v>0.68953165421782736</v>
      </c>
      <c r="H27" s="154">
        <f t="shared" si="1"/>
        <v>0.43586071695185047</v>
      </c>
    </row>
    <row r="28" spans="1:8" x14ac:dyDescent="0.2">
      <c r="A28" s="137" t="s">
        <v>235</v>
      </c>
      <c r="B28" s="8" t="s">
        <v>14</v>
      </c>
      <c r="C28" s="138">
        <f>+HLOOKUP(B28,'שנת 2011'!$2:$213,205,0)+HLOOKUP(B28,'שנת 2011'!$2:$213,207,0)</f>
        <v>2.2058276520212843</v>
      </c>
      <c r="E28" s="138">
        <f>+VLOOKUP(A28,'עלות תפעול מים'!$A:$H,8,0)+VLOOKUP(A28,'עלות תפעול ביוב'!$A:$H,8,0)</f>
        <v>1.9109738200847803</v>
      </c>
      <c r="F28">
        <v>1.5820000000000001</v>
      </c>
      <c r="G28" s="138">
        <f t="shared" si="0"/>
        <v>0.32897382008478027</v>
      </c>
      <c r="H28" s="154">
        <f t="shared" si="1"/>
        <v>0.20794805315093567</v>
      </c>
    </row>
    <row r="29" spans="1:8" x14ac:dyDescent="0.2">
      <c r="A29" s="137" t="s">
        <v>26</v>
      </c>
      <c r="B29" s="8" t="s">
        <v>26</v>
      </c>
      <c r="C29" s="138">
        <f>+HLOOKUP(B29,'שנת 2011'!$2:$213,205,0)+HLOOKUP(B29,'שנת 2011'!$2:$213,207,0)</f>
        <v>2.2312715429300103</v>
      </c>
      <c r="E29" s="138">
        <f>+VLOOKUP(A29,'עלות תפעול מים'!$A:$H,8,0)+VLOOKUP(A29,'עלות תפעול ביוב'!$A:$H,8,0)</f>
        <v>2.4046577913014744</v>
      </c>
      <c r="F29">
        <v>1.5820000000000001</v>
      </c>
      <c r="G29" s="138">
        <f t="shared" si="0"/>
        <v>0.82265779130147432</v>
      </c>
      <c r="H29" s="154">
        <f t="shared" si="1"/>
        <v>0.52001124608184224</v>
      </c>
    </row>
    <row r="30" spans="1:8" x14ac:dyDescent="0.2">
      <c r="A30" s="137" t="s">
        <v>228</v>
      </c>
      <c r="B30" s="8" t="s">
        <v>13</v>
      </c>
      <c r="C30" s="138">
        <f>+HLOOKUP(B30,'שנת 2011'!$2:$213,205,0)+HLOOKUP(B30,'שנת 2011'!$2:$213,207,0)</f>
        <v>2.2348121252596442</v>
      </c>
      <c r="E30" s="138">
        <f>+VLOOKUP(A30,'עלות תפעול מים'!$A:$H,8,0)+VLOOKUP(A30,'עלות תפעול ביוב'!$A:$H,8,0)</f>
        <v>1.8175659270762163</v>
      </c>
      <c r="F30">
        <v>1.5820000000000001</v>
      </c>
      <c r="G30" s="138">
        <f t="shared" si="0"/>
        <v>0.23556592707621626</v>
      </c>
      <c r="H30" s="154">
        <f t="shared" si="1"/>
        <v>0.14890387299381569</v>
      </c>
    </row>
    <row r="31" spans="1:8" x14ac:dyDescent="0.2">
      <c r="A31" s="137" t="s">
        <v>229</v>
      </c>
      <c r="B31" s="8" t="s">
        <v>37</v>
      </c>
      <c r="C31" s="138">
        <f>+HLOOKUP(B31,'שנת 2011'!$2:$213,205,0)+HLOOKUP(B31,'שנת 2011'!$2:$213,207,0)</f>
        <v>2.2490912164434915</v>
      </c>
      <c r="E31" s="138">
        <f>+VLOOKUP(A31,'עלות תפעול מים'!$A:$H,8,0)+VLOOKUP(A31,'עלות תפעול ביוב'!$A:$H,8,0)</f>
        <v>1.843884871958382</v>
      </c>
      <c r="F31">
        <v>1.5820000000000001</v>
      </c>
      <c r="G31" s="138">
        <f t="shared" si="0"/>
        <v>0.26188487195838195</v>
      </c>
      <c r="H31" s="154">
        <f t="shared" si="1"/>
        <v>0.16554037418355372</v>
      </c>
    </row>
    <row r="32" spans="1:8" x14ac:dyDescent="0.2">
      <c r="A32" s="137" t="s">
        <v>254</v>
      </c>
      <c r="B32" s="8" t="s">
        <v>34</v>
      </c>
      <c r="C32" s="138">
        <f>+HLOOKUP(B32,'שנת 2011'!$2:$213,205,0)+HLOOKUP(B32,'שנת 2011'!$2:$213,207,0)</f>
        <v>2.2556299819155532</v>
      </c>
      <c r="E32" s="138">
        <f>+VLOOKUP(A32,'עלות תפעול מים'!$A:$H,8,0)+VLOOKUP(A32,'עלות תפעול ביוב'!$A:$H,8,0)</f>
        <v>2.0235642343073934</v>
      </c>
      <c r="F32">
        <v>1.5820000000000001</v>
      </c>
      <c r="G32" s="138">
        <f t="shared" si="0"/>
        <v>0.44156423430739333</v>
      </c>
      <c r="H32" s="154">
        <f t="shared" si="1"/>
        <v>0.27911772080113351</v>
      </c>
    </row>
    <row r="33" spans="1:8" x14ac:dyDescent="0.2">
      <c r="A33" s="137" t="s">
        <v>206</v>
      </c>
      <c r="B33" s="142" t="str">
        <f>A33</f>
        <v>מעיינות העמקים</v>
      </c>
      <c r="C33" s="138">
        <f>+HLOOKUP(B33,'שנת 2011'!$2:$213,205,0)+HLOOKUP(B33,'שנת 2011'!$2:$213,207,0)</f>
        <v>2.2907230502811897</v>
      </c>
      <c r="E33" s="138">
        <f>+VLOOKUP(A33,'עלות תפעול מים'!$A:$H,8,0)+VLOOKUP(A33,'עלות תפעול ביוב'!$A:$H,8,0)</f>
        <v>1.9068572631888798</v>
      </c>
      <c r="F33">
        <v>1.5820000000000001</v>
      </c>
      <c r="G33" s="138">
        <f t="shared" si="0"/>
        <v>0.32485726318887975</v>
      </c>
      <c r="H33" s="154">
        <f t="shared" si="1"/>
        <v>0.20534593121926648</v>
      </c>
    </row>
    <row r="34" spans="1:8" x14ac:dyDescent="0.2">
      <c r="A34" s="137" t="s">
        <v>25</v>
      </c>
      <c r="B34" s="8" t="s">
        <v>25</v>
      </c>
      <c r="C34" s="138">
        <f>+HLOOKUP(B34,'שנת 2011'!$2:$213,205,0)+HLOOKUP(B34,'שנת 2011'!$2:$213,207,0)</f>
        <v>2.318214500687251</v>
      </c>
      <c r="E34" s="138">
        <f>+VLOOKUP(A34,'עלות תפעול מים'!$A:$H,8,0)+VLOOKUP(A34,'עלות תפעול ביוב'!$A:$H,8,0)</f>
        <v>1.725524294444118</v>
      </c>
      <c r="F34">
        <v>1.5820000000000001</v>
      </c>
      <c r="G34" s="138">
        <f t="shared" si="0"/>
        <v>0.14352429444411796</v>
      </c>
      <c r="H34" s="154">
        <f t="shared" si="1"/>
        <v>9.072332139324768E-2</v>
      </c>
    </row>
    <row r="35" spans="1:8" x14ac:dyDescent="0.2">
      <c r="A35" s="137" t="s">
        <v>30</v>
      </c>
      <c r="B35" s="8" t="s">
        <v>30</v>
      </c>
      <c r="C35" s="138">
        <f>+HLOOKUP(B35,'שנת 2011'!$2:$213,205,0)+HLOOKUP(B35,'שנת 2011'!$2:$213,207,0)</f>
        <v>2.3346401294272381</v>
      </c>
      <c r="E35" s="138">
        <f>+VLOOKUP(A35,'עלות תפעול מים'!$A:$H,8,0)+VLOOKUP(A35,'עלות תפעול ביוב'!$A:$H,8,0)</f>
        <v>1.8222067004245608</v>
      </c>
      <c r="F35">
        <v>1.5820000000000001</v>
      </c>
      <c r="G35" s="138">
        <f t="shared" si="0"/>
        <v>0.24020670042456072</v>
      </c>
      <c r="H35" s="154">
        <f t="shared" si="1"/>
        <v>0.15183735804333809</v>
      </c>
    </row>
    <row r="36" spans="1:8" x14ac:dyDescent="0.2">
      <c r="A36" s="137" t="s">
        <v>243</v>
      </c>
      <c r="B36" s="8" t="s">
        <v>11</v>
      </c>
      <c r="C36" s="138">
        <f>+HLOOKUP(B36,'שנת 2011'!$2:$213,205,0)+HLOOKUP(B36,'שנת 2011'!$2:$213,207,0)</f>
        <v>2.3399580774639839</v>
      </c>
      <c r="E36" s="138">
        <f>+VLOOKUP(A36,'עלות תפעול מים'!$A:$H,8,0)+VLOOKUP(A36,'עלות תפעול ביוב'!$A:$H,8,0)</f>
        <v>1.8309714380391151</v>
      </c>
      <c r="F36">
        <v>1.5820000000000001</v>
      </c>
      <c r="G36" s="138">
        <f t="shared" si="0"/>
        <v>0.24897143803911503</v>
      </c>
      <c r="H36" s="154">
        <f t="shared" si="1"/>
        <v>0.15737764730664661</v>
      </c>
    </row>
    <row r="37" spans="1:8" x14ac:dyDescent="0.2">
      <c r="A37" s="137" t="s">
        <v>172</v>
      </c>
      <c r="B37" s="122" t="s">
        <v>172</v>
      </c>
      <c r="C37" s="138">
        <f>+HLOOKUP(B37,'שנת 2011'!$2:$213,205,0)+HLOOKUP(B37,'שנת 2011'!$2:$213,207,0)</f>
        <v>2.3477353861733983</v>
      </c>
      <c r="E37" s="138">
        <f>+VLOOKUP(A37,'עלות תפעול מים'!$A:$H,8,0)+VLOOKUP(A37,'עלות תפעול ביוב'!$A:$H,8,0)</f>
        <v>2.0506190864252174</v>
      </c>
      <c r="F37">
        <v>1.5820000000000001</v>
      </c>
      <c r="G37" s="138">
        <f t="shared" si="0"/>
        <v>0.46861908642521732</v>
      </c>
      <c r="H37" s="154">
        <f t="shared" si="1"/>
        <v>0.29621939723465074</v>
      </c>
    </row>
    <row r="38" spans="1:8" x14ac:dyDescent="0.2">
      <c r="A38" s="137" t="s">
        <v>240</v>
      </c>
      <c r="B38" s="8" t="s">
        <v>6</v>
      </c>
      <c r="C38" s="138">
        <f>+HLOOKUP(B38,'שנת 2011'!$2:$213,205,0)+HLOOKUP(B38,'שנת 2011'!$2:$213,207,0)</f>
        <v>2.3998178613966012</v>
      </c>
      <c r="E38" s="138">
        <f>+VLOOKUP(A38,'עלות תפעול מים'!$A:$H,8,0)+VLOOKUP(A38,'עלות תפעול ביוב'!$A:$H,8,0)</f>
        <v>1.699583988894056</v>
      </c>
      <c r="F38">
        <v>1.5820000000000001</v>
      </c>
      <c r="G38" s="138">
        <f t="shared" si="0"/>
        <v>0.11758398889405597</v>
      </c>
      <c r="H38" s="154">
        <f t="shared" si="1"/>
        <v>7.4326162385623284E-2</v>
      </c>
    </row>
    <row r="39" spans="1:8" x14ac:dyDescent="0.2">
      <c r="A39" s="137" t="s">
        <v>251</v>
      </c>
      <c r="B39" s="8" t="s">
        <v>27</v>
      </c>
      <c r="C39" s="138">
        <f>+HLOOKUP(B39,'שנת 2011'!$2:$213,205,0)+HLOOKUP(B39,'שנת 2011'!$2:$213,207,0)</f>
        <v>2.4267450820328533</v>
      </c>
      <c r="E39" s="138">
        <f>+VLOOKUP(A39,'עלות תפעול מים'!$A:$H,8,0)+VLOOKUP(A39,'עלות תפעול ביוב'!$A:$H,8,0)</f>
        <v>1.7793108929495705</v>
      </c>
      <c r="F39">
        <v>1.5820000000000001</v>
      </c>
      <c r="G39" s="138">
        <f t="shared" si="0"/>
        <v>0.19731089294957038</v>
      </c>
      <c r="H39" s="154">
        <f t="shared" si="1"/>
        <v>0.12472243549277517</v>
      </c>
    </row>
    <row r="40" spans="1:8" x14ac:dyDescent="0.2">
      <c r="A40" s="137" t="s">
        <v>244</v>
      </c>
      <c r="B40" s="8" t="s">
        <v>40</v>
      </c>
      <c r="C40" s="138">
        <f>+HLOOKUP(B40,'שנת 2011'!$2:$213,205,0)+HLOOKUP(B40,'שנת 2011'!$2:$213,207,0)</f>
        <v>2.5313564392012378</v>
      </c>
      <c r="E40" s="138">
        <f>+VLOOKUP(A40,'עלות תפעול מים'!$A:$H,8,0)+VLOOKUP(A40,'עלות תפעול ביוב'!$A:$H,8,0)</f>
        <v>1.694456050126347</v>
      </c>
      <c r="F40">
        <v>1.5820000000000001</v>
      </c>
      <c r="G40" s="138">
        <f t="shared" si="0"/>
        <v>0.11245605012634696</v>
      </c>
      <c r="H40" s="154">
        <f t="shared" si="1"/>
        <v>7.1084734593139576E-2</v>
      </c>
    </row>
    <row r="41" spans="1:8" x14ac:dyDescent="0.2">
      <c r="A41" s="137" t="s">
        <v>225</v>
      </c>
      <c r="B41" s="8" t="s">
        <v>32</v>
      </c>
      <c r="C41" s="138">
        <f>+HLOOKUP(B41,'שנת 2011'!$2:$213,205,0)+HLOOKUP(B41,'שנת 2011'!$2:$213,207,0)</f>
        <v>2.6594895349294543</v>
      </c>
      <c r="E41" s="138">
        <f>+VLOOKUP(A41,'עלות תפעול מים'!$A:$H,8,0)+VLOOKUP(A41,'עלות תפעול ביוב'!$A:$H,8,0)</f>
        <v>2.2894457921177964</v>
      </c>
      <c r="F41">
        <v>1.5820000000000001</v>
      </c>
      <c r="G41" s="138">
        <f t="shared" si="0"/>
        <v>0.70744579211779635</v>
      </c>
      <c r="H41" s="154">
        <f t="shared" si="1"/>
        <v>0.44718444508078159</v>
      </c>
    </row>
    <row r="42" spans="1:8" x14ac:dyDescent="0.2">
      <c r="A42" s="137" t="s">
        <v>236</v>
      </c>
      <c r="B42" s="8" t="s">
        <v>177</v>
      </c>
      <c r="C42" s="138">
        <f>+HLOOKUP(B42,'שנת 2011'!$2:$213,205,0)+HLOOKUP(B42,'שנת 2011'!$2:$213,207,0)</f>
        <v>2.6655067621161961</v>
      </c>
      <c r="E42" s="138">
        <f>+VLOOKUP(A42,'עלות תפעול מים'!$A:$H,8,0)+VLOOKUP(A42,'עלות תפעול ביוב'!$A:$H,8,0)</f>
        <v>1.9015233838241397</v>
      </c>
      <c r="F42">
        <v>1.5820000000000001</v>
      </c>
      <c r="G42" s="138">
        <f t="shared" si="0"/>
        <v>0.31952338382413958</v>
      </c>
      <c r="H42" s="154">
        <f t="shared" si="1"/>
        <v>0.2019743260582425</v>
      </c>
    </row>
    <row r="43" spans="1:8" x14ac:dyDescent="0.2">
      <c r="A43" s="137" t="s">
        <v>180</v>
      </c>
      <c r="B43" s="8" t="str">
        <f>+A43</f>
        <v>מי אביבים</v>
      </c>
      <c r="C43" s="138">
        <f>+HLOOKUP(B43,'שנת 2011'!$2:$213,205,0)+HLOOKUP(B43,'שנת 2011'!$2:$213,207,0)</f>
        <v>2.6947861483156377</v>
      </c>
      <c r="E43" s="138">
        <f>+VLOOKUP(A43,'עלות תפעול מים'!$A:$H,8,0)+VLOOKUP(A43,'עלות תפעול ביוב'!$A:$H,8,0)</f>
        <v>1.7674029938871314</v>
      </c>
      <c r="F43">
        <v>1.5820000000000001</v>
      </c>
      <c r="G43" s="138">
        <f t="shared" si="0"/>
        <v>0.18540299388713133</v>
      </c>
      <c r="H43" s="154">
        <f t="shared" si="1"/>
        <v>0.11719531851272524</v>
      </c>
    </row>
    <row r="44" spans="1:8" x14ac:dyDescent="0.2">
      <c r="A44" s="137" t="s">
        <v>220</v>
      </c>
      <c r="B44" s="139" t="s">
        <v>21</v>
      </c>
      <c r="C44" s="138">
        <f>+HLOOKUP(B44,'שנת 2011'!$2:$213,205,0)+HLOOKUP(B44,'שנת 2011'!$2:$213,207,0)</f>
        <v>2.7125026193556594</v>
      </c>
      <c r="E44" s="138">
        <f>+VLOOKUP(A44,'עלות תפעול מים'!$A:$H,8,0)+VLOOKUP(A44,'עלות תפעול ביוב'!$A:$H,8,0)</f>
        <v>1.8468510666600051</v>
      </c>
      <c r="F44">
        <v>1.5820000000000001</v>
      </c>
      <c r="G44" s="138">
        <f t="shared" si="0"/>
        <v>0.26485106666000502</v>
      </c>
      <c r="H44" s="154">
        <f t="shared" si="1"/>
        <v>0.16741533922882734</v>
      </c>
    </row>
    <row r="45" spans="1:8" x14ac:dyDescent="0.2">
      <c r="A45" s="137" t="s">
        <v>247</v>
      </c>
      <c r="B45" s="8" t="s">
        <v>16</v>
      </c>
      <c r="C45" s="138">
        <f>+HLOOKUP(B45,'שנת 2011'!$2:$213,205,0)+HLOOKUP(B45,'שנת 2011'!$2:$213,207,0)</f>
        <v>2.7244763140902242</v>
      </c>
      <c r="E45" s="138">
        <f>+VLOOKUP(A45,'עלות תפעול מים'!$A:$H,8,0)+VLOOKUP(A45,'עלות תפעול ביוב'!$A:$H,8,0)</f>
        <v>1.7488648262541517</v>
      </c>
      <c r="F45">
        <v>1.5820000000000001</v>
      </c>
      <c r="G45" s="138">
        <f t="shared" si="0"/>
        <v>0.16686482625415167</v>
      </c>
      <c r="H45" s="154">
        <f t="shared" si="1"/>
        <v>0.10547713416823745</v>
      </c>
    </row>
    <row r="46" spans="1:8" x14ac:dyDescent="0.2">
      <c r="A46" s="137" t="s">
        <v>248</v>
      </c>
      <c r="B46" s="8" t="s">
        <v>22</v>
      </c>
      <c r="C46" s="138">
        <f>+HLOOKUP(B46,'שנת 2011'!$2:$213,205,0)+HLOOKUP(B46,'שנת 2011'!$2:$213,207,0)</f>
        <v>2.7429698699981779</v>
      </c>
      <c r="E46" s="138">
        <f>+VLOOKUP(A46,'עלות תפעול מים'!$A:$H,8,0)+VLOOKUP(A46,'עלות תפעול ביוב'!$A:$H,8,0)</f>
        <v>1.8941217268073283</v>
      </c>
      <c r="F46">
        <v>1.7350000000000001</v>
      </c>
      <c r="G46" s="138">
        <f t="shared" si="0"/>
        <v>0.15912172680732817</v>
      </c>
      <c r="H46" s="154">
        <f t="shared" si="1"/>
        <v>9.1712810839958525E-2</v>
      </c>
    </row>
    <row r="47" spans="1:8" x14ac:dyDescent="0.2">
      <c r="A47" s="137" t="s">
        <v>255</v>
      </c>
      <c r="B47" s="142" t="s">
        <v>33</v>
      </c>
      <c r="C47" s="138">
        <f>+HLOOKUP(B47,'שנת 2011'!$2:$213,205,0)+HLOOKUP(B47,'שנת 2011'!$2:$213,207,0)</f>
        <v>2.7808887067662549</v>
      </c>
      <c r="E47" s="138">
        <f>+VLOOKUP(A47,'עלות תפעול מים'!$A:$H,8,0)+VLOOKUP(A47,'עלות תפעול ביוב'!$A:$H,8,0)</f>
        <v>1.8042714433276998</v>
      </c>
      <c r="F47">
        <v>1.5820000000000001</v>
      </c>
      <c r="G47" s="138">
        <f t="shared" si="0"/>
        <v>0.22227144332769977</v>
      </c>
      <c r="H47" s="154">
        <f t="shared" si="1"/>
        <v>0.14050028023242711</v>
      </c>
    </row>
    <row r="48" spans="1:8" x14ac:dyDescent="0.2">
      <c r="A48" s="137" t="s">
        <v>178</v>
      </c>
      <c r="B48" s="142" t="str">
        <f>A48</f>
        <v>מי הוד השרון</v>
      </c>
      <c r="C48" s="138">
        <f>+HLOOKUP(B48,'שנת 2011'!$2:$213,205,0)+HLOOKUP(B48,'שנת 2011'!$2:$213,207,0)</f>
        <v>2.8785364941910174</v>
      </c>
      <c r="E48" s="138">
        <f>+VLOOKUP(A48,'עלות תפעול מים'!$A:$H,8,0)+VLOOKUP(A48,'עלות תפעול ביוב'!$A:$H,8,0)</f>
        <v>1.7182021049798839</v>
      </c>
      <c r="F48">
        <v>1.5820000000000001</v>
      </c>
      <c r="G48" s="138">
        <f t="shared" si="0"/>
        <v>0.13620210497988383</v>
      </c>
      <c r="H48" s="154">
        <f t="shared" si="1"/>
        <v>8.6094883046702764E-2</v>
      </c>
    </row>
    <row r="49" spans="1:8" x14ac:dyDescent="0.2">
      <c r="A49" s="137" t="s">
        <v>239</v>
      </c>
      <c r="B49" s="8" t="s">
        <v>4</v>
      </c>
      <c r="C49" s="138">
        <f>+HLOOKUP(B49,'שנת 2011'!$2:$213,205,0)+HLOOKUP(B49,'שנת 2011'!$2:$213,207,0)</f>
        <v>3.0771900819867914</v>
      </c>
      <c r="E49" s="138">
        <f>+VLOOKUP(A49,'עלות תפעול מים'!$A:$H,8,0)+VLOOKUP(A49,'עלות תפעול ביוב'!$A:$H,8,0)</f>
        <v>2.6851896880418167</v>
      </c>
      <c r="F49">
        <v>1.5820000000000001</v>
      </c>
      <c r="G49" s="138">
        <f t="shared" si="0"/>
        <v>1.1031896880418166</v>
      </c>
      <c r="H49" s="154">
        <f t="shared" si="1"/>
        <v>0.69733861443856915</v>
      </c>
    </row>
    <row r="50" spans="1:8" x14ac:dyDescent="0.2">
      <c r="A50" s="137" t="s">
        <v>252</v>
      </c>
      <c r="B50" s="8" t="s">
        <v>8</v>
      </c>
      <c r="C50" s="138">
        <f>+HLOOKUP(B50,'שנת 2011'!$2:$213,205,0)+HLOOKUP(B50,'שנת 2011'!$2:$213,207,0)</f>
        <v>3.4767099885125248</v>
      </c>
      <c r="E50" s="138">
        <f>+VLOOKUP(A50,'עלות תפעול מים'!$A:$H,8,0)+VLOOKUP(A50,'עלות תפעול ביוב'!$A:$H,8,0)</f>
        <v>1.7078807496926183</v>
      </c>
      <c r="F50">
        <v>1.5820000000000001</v>
      </c>
      <c r="G50" s="138">
        <f t="shared" si="0"/>
        <v>0.1258807496926182</v>
      </c>
      <c r="H50" s="154">
        <f t="shared" si="1"/>
        <v>7.9570638238064539E-2</v>
      </c>
    </row>
    <row r="51" spans="1:8" x14ac:dyDescent="0.2">
      <c r="A51" s="137" t="s">
        <v>261</v>
      </c>
      <c r="B51" s="8" t="s">
        <v>36</v>
      </c>
      <c r="C51" s="138">
        <f>+HLOOKUP(B51,'שנת 2011'!$2:$213,205,0)+HLOOKUP(B51,'שנת 2011'!$2:$213,207,0)</f>
        <v>3.5953070044571196</v>
      </c>
      <c r="E51" s="138">
        <f>+VLOOKUP(A51,'עלות תפעול מים'!$A:$H,8,0)+VLOOKUP(A51,'עלות תפעול ביוב'!$A:$H,8,0)</f>
        <v>1.8016333843998713</v>
      </c>
      <c r="F51">
        <v>1.5820000000000001</v>
      </c>
      <c r="G51" s="138">
        <f t="shared" si="0"/>
        <v>0.21963338439987123</v>
      </c>
      <c r="H51" s="154">
        <f t="shared" si="1"/>
        <v>0.13883273350181491</v>
      </c>
    </row>
    <row r="52" spans="1:8" x14ac:dyDescent="0.2">
      <c r="A52" s="137" t="s">
        <v>224</v>
      </c>
      <c r="B52" s="8" t="s">
        <v>2</v>
      </c>
      <c r="C52" s="138">
        <f>+HLOOKUP(B52,'שנת 2011'!$2:$213,205,0)+HLOOKUP(B52,'שנת 2011'!$2:$213,207,0)</f>
        <v>4.5680679878975532</v>
      </c>
      <c r="E52" s="138">
        <f>+VLOOKUP(A52,'עלות תפעול מים'!$A:$H,8,0)+VLOOKUP(A52,'עלות תפעול ביוב'!$A:$H,8,0)</f>
        <v>1.8735882860945956</v>
      </c>
      <c r="F52">
        <v>1.5820000000000001</v>
      </c>
      <c r="G52" s="138">
        <f t="shared" si="0"/>
        <v>0.29158828609459553</v>
      </c>
      <c r="H52" s="154">
        <f t="shared" si="1"/>
        <v>0.18431623646940287</v>
      </c>
    </row>
  </sheetData>
  <autoFilter ref="A3:C52">
    <sortState ref="A3:C52">
      <sortCondition ref="C2:C52"/>
    </sortState>
  </autoFilter>
  <dataValidations disablePrompts="1" count="1">
    <dataValidation type="list" showInputMessage="1" showErrorMessage="1" sqref="A983088 A917552 A852016 A786480 A720944 A655408 A589872 A524336 A458800 A393264 A327728 A262192 A196656 A131120 A65584">
      <formula1>$A$4:$A$45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E215"/>
  <sheetViews>
    <sheetView rightToLeft="1" topLeftCell="C1" workbookViewId="0">
      <pane xSplit="4" ySplit="10" topLeftCell="AR201" activePane="bottomRight" state="frozen"/>
      <selection activeCell="C1" sqref="C1"/>
      <selection pane="topRight" activeCell="G1" sqref="G1"/>
      <selection pane="bottomLeft" activeCell="C11" sqref="C11"/>
      <selection pane="bottomRight" activeCell="AU2" sqref="AU2"/>
    </sheetView>
  </sheetViews>
  <sheetFormatPr defaultRowHeight="14.25" x14ac:dyDescent="0.2"/>
  <cols>
    <col min="1" max="1" width="5.25" style="1" hidden="1" customWidth="1"/>
    <col min="2" max="2" width="5" style="1" hidden="1" customWidth="1"/>
    <col min="3" max="3" width="9" style="1"/>
    <col min="4" max="4" width="33" style="1" customWidth="1"/>
    <col min="5" max="5" width="0" style="1" hidden="1" customWidth="1"/>
    <col min="6" max="6" width="3.875" style="1" customWidth="1"/>
    <col min="7" max="7" width="9" style="1"/>
    <col min="8" max="8" width="10.125" style="100" bestFit="1" customWidth="1"/>
    <col min="9" max="9" width="9" style="1"/>
    <col min="10" max="10" width="9" style="2"/>
    <col min="11" max="11" width="9" style="100"/>
    <col min="12" max="12" width="9" style="1"/>
    <col min="13" max="13" width="9" style="2"/>
    <col min="14" max="16" width="9" style="100"/>
    <col min="17" max="17" width="9" style="2"/>
    <col min="18" max="19" width="9" style="100"/>
    <col min="20" max="20" width="9" style="2"/>
    <col min="21" max="22" width="9" style="1"/>
    <col min="23" max="23" width="11" style="100" customWidth="1"/>
    <col min="24" max="24" width="9" style="1"/>
    <col min="25" max="26" width="9" style="100"/>
    <col min="27" max="27" width="9" style="1"/>
    <col min="28" max="28" width="9" style="2"/>
    <col min="29" max="29" width="9" style="1"/>
    <col min="30" max="30" width="9" style="2"/>
    <col min="31" max="31" width="9" style="100" customWidth="1"/>
    <col min="32" max="34" width="9" style="1" customWidth="1"/>
    <col min="35" max="38" width="12.125" style="1" bestFit="1" customWidth="1"/>
    <col min="39" max="39" width="9" style="100"/>
    <col min="40" max="40" width="9.875" style="1" bestFit="1" customWidth="1"/>
    <col min="41" max="41" width="9.875" style="100" bestFit="1" customWidth="1"/>
    <col min="42" max="43" width="9.875" style="1" bestFit="1" customWidth="1"/>
    <col min="44" max="44" width="9.875" style="100" bestFit="1" customWidth="1"/>
    <col min="45" max="46" width="9.875" style="1" bestFit="1" customWidth="1"/>
    <col min="47" max="50" width="9.875" style="100" bestFit="1" customWidth="1"/>
    <col min="51" max="51" width="9.875" style="1" bestFit="1" customWidth="1"/>
    <col min="52" max="52" width="9.875" style="100" bestFit="1" customWidth="1"/>
    <col min="53" max="57" width="9.875" style="1" bestFit="1" customWidth="1"/>
    <col min="58" max="16384" width="9" style="1"/>
  </cols>
  <sheetData>
    <row r="2" spans="1:57" s="13" customFormat="1" ht="26.25" x14ac:dyDescent="0.25">
      <c r="A2" s="5"/>
      <c r="B2" s="6"/>
      <c r="C2" s="6" t="s">
        <v>1</v>
      </c>
      <c r="D2" s="6"/>
      <c r="E2" s="6"/>
      <c r="F2" s="6"/>
      <c r="G2" s="7" t="s">
        <v>2</v>
      </c>
      <c r="H2" s="122" t="s">
        <v>3</v>
      </c>
      <c r="I2" s="6" t="s">
        <v>4</v>
      </c>
      <c r="J2" s="9" t="s">
        <v>6</v>
      </c>
      <c r="K2" s="102" t="s">
        <v>7</v>
      </c>
      <c r="L2" s="6" t="s">
        <v>8</v>
      </c>
      <c r="M2" s="10" t="s">
        <v>9</v>
      </c>
      <c r="N2" s="102" t="s">
        <v>10</v>
      </c>
      <c r="O2" s="122" t="s">
        <v>11</v>
      </c>
      <c r="P2" s="122" t="s">
        <v>12</v>
      </c>
      <c r="Q2" s="10" t="s">
        <v>13</v>
      </c>
      <c r="R2" s="122" t="s">
        <v>14</v>
      </c>
      <c r="S2" s="122" t="s">
        <v>15</v>
      </c>
      <c r="T2" s="9" t="s">
        <v>16</v>
      </c>
      <c r="U2" s="8" t="s">
        <v>17</v>
      </c>
      <c r="V2" s="8" t="s">
        <v>18</v>
      </c>
      <c r="W2" s="122" t="s">
        <v>19</v>
      </c>
      <c r="X2" s="8" t="s">
        <v>20</v>
      </c>
      <c r="Y2" s="122" t="s">
        <v>21</v>
      </c>
      <c r="Z2" s="122" t="s">
        <v>22</v>
      </c>
      <c r="AA2" s="8" t="s">
        <v>23</v>
      </c>
      <c r="AB2" s="9" t="s">
        <v>25</v>
      </c>
      <c r="AC2" s="8" t="s">
        <v>26</v>
      </c>
      <c r="AD2" s="9" t="s">
        <v>27</v>
      </c>
      <c r="AE2" s="122" t="s">
        <v>180</v>
      </c>
      <c r="AF2" s="8" t="s">
        <v>29</v>
      </c>
      <c r="AG2" s="8" t="s">
        <v>30</v>
      </c>
      <c r="AH2" s="8" t="s">
        <v>31</v>
      </c>
      <c r="AI2" s="8" t="s">
        <v>32</v>
      </c>
      <c r="AJ2" s="8" t="s">
        <v>33</v>
      </c>
      <c r="AK2" s="8" t="s">
        <v>34</v>
      </c>
      <c r="AL2" s="8" t="s">
        <v>25</v>
      </c>
      <c r="AM2" s="122" t="s">
        <v>35</v>
      </c>
      <c r="AN2" s="8" t="s">
        <v>36</v>
      </c>
      <c r="AO2" s="122" t="s">
        <v>37</v>
      </c>
      <c r="AP2" s="8" t="s">
        <v>177</v>
      </c>
      <c r="AQ2" s="8" t="s">
        <v>39</v>
      </c>
      <c r="AR2" s="122" t="s">
        <v>24</v>
      </c>
      <c r="AS2" s="8" t="s">
        <v>40</v>
      </c>
      <c r="AT2" s="8" t="s">
        <v>41</v>
      </c>
      <c r="AU2" s="122" t="s">
        <v>171</v>
      </c>
      <c r="AV2" s="122" t="s">
        <v>172</v>
      </c>
      <c r="AW2" s="122" t="s">
        <v>173</v>
      </c>
      <c r="AX2" s="122" t="s">
        <v>174</v>
      </c>
      <c r="AY2" s="8" t="s">
        <v>175</v>
      </c>
      <c r="AZ2" s="122" t="s">
        <v>176</v>
      </c>
      <c r="BA2" s="8" t="s">
        <v>178</v>
      </c>
      <c r="BB2" s="8" t="s">
        <v>206</v>
      </c>
      <c r="BC2" s="8" t="s">
        <v>205</v>
      </c>
      <c r="BD2" s="8" t="s">
        <v>219</v>
      </c>
      <c r="BE2" s="8" t="s">
        <v>241</v>
      </c>
    </row>
    <row r="3" spans="1:57" s="13" customFormat="1" ht="16.5" thickBot="1" x14ac:dyDescent="0.3">
      <c r="A3" s="5"/>
      <c r="B3" s="14"/>
      <c r="C3" s="15" t="s">
        <v>42</v>
      </c>
      <c r="D3" s="16"/>
      <c r="E3" s="6"/>
      <c r="F3" s="6"/>
      <c r="G3" s="17">
        <v>2011</v>
      </c>
      <c r="H3" s="101">
        <v>2011</v>
      </c>
      <c r="I3" s="17">
        <v>2011</v>
      </c>
      <c r="J3" s="17">
        <v>2011</v>
      </c>
      <c r="K3" s="101">
        <v>2011</v>
      </c>
      <c r="L3" s="17">
        <v>2011</v>
      </c>
      <c r="M3" s="17">
        <v>2011</v>
      </c>
      <c r="N3" s="101">
        <v>2011</v>
      </c>
      <c r="O3" s="101">
        <v>2011</v>
      </c>
      <c r="P3" s="101">
        <v>2011</v>
      </c>
      <c r="Q3" s="17">
        <v>2011</v>
      </c>
      <c r="R3" s="101">
        <v>2011</v>
      </c>
      <c r="S3" s="101">
        <v>2011</v>
      </c>
      <c r="T3" s="17">
        <v>2011</v>
      </c>
      <c r="U3" s="17">
        <v>2011</v>
      </c>
      <c r="V3" s="17">
        <v>2011</v>
      </c>
      <c r="W3" s="101">
        <v>2011</v>
      </c>
      <c r="X3" s="17">
        <v>2011</v>
      </c>
      <c r="Y3" s="101">
        <v>2011</v>
      </c>
      <c r="Z3" s="101">
        <v>2011</v>
      </c>
      <c r="AA3" s="17">
        <v>2011</v>
      </c>
      <c r="AB3" s="17">
        <v>2011</v>
      </c>
      <c r="AC3" s="17">
        <v>2011</v>
      </c>
      <c r="AD3" s="17">
        <v>2011</v>
      </c>
      <c r="AE3" s="101">
        <v>2011</v>
      </c>
      <c r="AF3" s="17">
        <v>2011</v>
      </c>
      <c r="AG3" s="17">
        <v>2011</v>
      </c>
      <c r="AH3" s="17">
        <v>2011</v>
      </c>
      <c r="AI3" s="17">
        <v>2011</v>
      </c>
      <c r="AJ3" s="17">
        <v>2011</v>
      </c>
      <c r="AK3" s="17">
        <v>2011</v>
      </c>
      <c r="AL3" s="17">
        <v>2011</v>
      </c>
      <c r="AM3" s="101">
        <v>2011</v>
      </c>
      <c r="AN3" s="17">
        <v>2011</v>
      </c>
      <c r="AO3" s="101">
        <v>2011</v>
      </c>
      <c r="AP3" s="17">
        <v>2011</v>
      </c>
      <c r="AQ3" s="17">
        <v>2011</v>
      </c>
      <c r="AR3" s="101">
        <v>2011</v>
      </c>
      <c r="AS3" s="17">
        <v>2011</v>
      </c>
      <c r="AT3" s="17">
        <v>2011</v>
      </c>
      <c r="AU3" s="101">
        <v>2011</v>
      </c>
      <c r="AV3" s="101">
        <v>2011</v>
      </c>
      <c r="AW3" s="101">
        <v>2011</v>
      </c>
      <c r="AX3" s="101">
        <v>2011</v>
      </c>
      <c r="AY3" s="17">
        <v>2011</v>
      </c>
      <c r="AZ3" s="101">
        <v>2011</v>
      </c>
      <c r="BA3" s="17">
        <v>2011</v>
      </c>
      <c r="BB3" s="17">
        <v>2011</v>
      </c>
      <c r="BC3" s="17">
        <v>2011</v>
      </c>
      <c r="BD3" s="17">
        <v>2011</v>
      </c>
      <c r="BE3" s="17">
        <v>2011</v>
      </c>
    </row>
    <row r="4" spans="1:57" s="13" customFormat="1" ht="18" x14ac:dyDescent="0.4">
      <c r="A4" s="20" t="s">
        <v>43</v>
      </c>
      <c r="B4" s="6"/>
      <c r="C4" s="21" t="s">
        <v>44</v>
      </c>
      <c r="D4" s="6"/>
      <c r="E4" s="6"/>
      <c r="F4" s="6"/>
      <c r="G4" s="6"/>
      <c r="H4" s="102"/>
      <c r="I4" s="6"/>
      <c r="J4" s="10"/>
      <c r="K4" s="102"/>
      <c r="L4" s="6"/>
      <c r="M4" s="10"/>
      <c r="N4" s="102"/>
      <c r="O4" s="102"/>
      <c r="P4" s="102"/>
      <c r="Q4" s="10"/>
      <c r="R4" s="102"/>
      <c r="S4" s="102"/>
      <c r="T4" s="10"/>
      <c r="U4" s="6"/>
      <c r="V4" s="6"/>
      <c r="W4" s="102"/>
      <c r="X4" s="6"/>
      <c r="Y4" s="102"/>
      <c r="Z4" s="102"/>
      <c r="AA4" s="6"/>
      <c r="AB4" s="6"/>
      <c r="AC4" s="6"/>
      <c r="AD4" s="10"/>
      <c r="AE4" s="102"/>
      <c r="AF4" s="6"/>
      <c r="AG4" s="6"/>
      <c r="AH4" s="6"/>
      <c r="AI4" s="6"/>
      <c r="AJ4" s="6"/>
      <c r="AK4" s="6"/>
      <c r="AL4" s="6"/>
      <c r="AM4" s="102"/>
      <c r="AN4" s="6"/>
      <c r="AO4" s="102"/>
      <c r="AP4" s="6"/>
      <c r="AQ4" s="6"/>
      <c r="AR4" s="102"/>
      <c r="AS4" s="6"/>
      <c r="AT4" s="6"/>
      <c r="AU4" s="102"/>
      <c r="AV4" s="102"/>
      <c r="AW4" s="102"/>
      <c r="AX4" s="102"/>
      <c r="AY4" s="6"/>
      <c r="AZ4" s="102"/>
      <c r="BA4" s="6"/>
      <c r="BB4" s="6"/>
      <c r="BC4" s="6"/>
      <c r="BD4" s="6"/>
      <c r="BE4" s="6"/>
    </row>
    <row r="5" spans="1:57" s="13" customFormat="1" ht="16.5" hidden="1" thickBot="1" x14ac:dyDescent="0.3">
      <c r="A5" s="5"/>
      <c r="B5" s="14"/>
      <c r="C5" s="15" t="s">
        <v>42</v>
      </c>
      <c r="D5" s="16" t="s">
        <v>45</v>
      </c>
      <c r="E5" s="6"/>
      <c r="F5" s="6"/>
      <c r="G5" s="17">
        <v>2010</v>
      </c>
      <c r="H5" s="101">
        <v>2010</v>
      </c>
      <c r="I5" s="17">
        <v>2010</v>
      </c>
      <c r="J5" s="18">
        <v>2010</v>
      </c>
      <c r="K5" s="101">
        <v>2010</v>
      </c>
      <c r="L5" s="17">
        <v>2010</v>
      </c>
      <c r="M5" s="18">
        <v>2010</v>
      </c>
      <c r="N5" s="101">
        <v>2010</v>
      </c>
      <c r="O5" s="101">
        <v>2010</v>
      </c>
      <c r="P5" s="101">
        <v>2010</v>
      </c>
      <c r="Q5" s="18">
        <v>2010</v>
      </c>
      <c r="R5" s="101">
        <v>2010</v>
      </c>
      <c r="S5" s="101">
        <v>2010</v>
      </c>
      <c r="T5" s="18">
        <v>2010</v>
      </c>
      <c r="U5" s="17"/>
      <c r="V5" s="17"/>
      <c r="W5" s="101"/>
      <c r="X5" s="17"/>
      <c r="Y5" s="102"/>
      <c r="Z5" s="102"/>
      <c r="AA5" s="6"/>
      <c r="AB5" s="6"/>
      <c r="AC5" s="17"/>
      <c r="AD5" s="18"/>
      <c r="AE5" s="101"/>
      <c r="AF5" s="17"/>
      <c r="AG5" s="17"/>
      <c r="AH5" s="17"/>
      <c r="AI5" s="17"/>
      <c r="AJ5" s="17"/>
      <c r="AK5" s="17"/>
      <c r="AL5" s="17"/>
      <c r="AM5" s="101"/>
      <c r="AN5" s="17"/>
      <c r="AO5" s="101"/>
      <c r="AP5" s="17"/>
      <c r="AQ5" s="17"/>
      <c r="AR5" s="101"/>
      <c r="AS5" s="17"/>
      <c r="AT5" s="17"/>
      <c r="AU5" s="101"/>
      <c r="AV5" s="101"/>
      <c r="AW5" s="101"/>
      <c r="AX5" s="101"/>
      <c r="AY5" s="17"/>
      <c r="AZ5" s="101"/>
      <c r="BA5" s="17"/>
      <c r="BB5" s="17"/>
      <c r="BC5" s="17"/>
      <c r="BD5" s="17"/>
      <c r="BE5" s="17"/>
    </row>
    <row r="6" spans="1:57" s="13" customFormat="1" ht="15.75" hidden="1" x14ac:dyDescent="0.25">
      <c r="A6" s="5"/>
      <c r="B6" s="6"/>
      <c r="C6" s="6"/>
      <c r="D6" s="6" t="s">
        <v>46</v>
      </c>
      <c r="E6" s="6"/>
      <c r="F6" s="6"/>
      <c r="G6" s="23"/>
      <c r="H6" s="103"/>
      <c r="I6" s="23"/>
      <c r="J6" s="24"/>
      <c r="K6" s="103"/>
      <c r="L6" s="23"/>
      <c r="M6" s="24"/>
      <c r="N6" s="103"/>
      <c r="O6" s="103"/>
      <c r="P6" s="103"/>
      <c r="Q6" s="24"/>
      <c r="R6" s="103"/>
      <c r="S6" s="103"/>
      <c r="T6" s="24"/>
      <c r="U6" s="23"/>
      <c r="V6" s="23"/>
      <c r="W6" s="103"/>
      <c r="X6" s="23"/>
      <c r="Y6" s="102"/>
      <c r="Z6" s="102"/>
      <c r="AA6" s="6"/>
      <c r="AB6" s="6"/>
      <c r="AC6" s="23"/>
      <c r="AD6" s="24"/>
      <c r="AE6" s="103"/>
      <c r="AF6" s="23"/>
      <c r="AG6" s="23"/>
      <c r="AH6" s="23"/>
      <c r="AI6" s="23"/>
      <c r="AJ6" s="23"/>
      <c r="AK6" s="23"/>
      <c r="AL6" s="23"/>
      <c r="AM6" s="103"/>
      <c r="AN6" s="23"/>
      <c r="AO6" s="103"/>
      <c r="AP6" s="23"/>
      <c r="AQ6" s="23"/>
      <c r="AR6" s="103"/>
      <c r="AS6" s="23"/>
      <c r="AT6" s="23"/>
      <c r="AU6" s="103"/>
      <c r="AV6" s="103"/>
      <c r="AW6" s="103"/>
      <c r="AX6" s="103"/>
      <c r="AY6" s="23"/>
      <c r="AZ6" s="103"/>
      <c r="BA6" s="23"/>
      <c r="BB6" s="23"/>
      <c r="BC6" s="23"/>
      <c r="BD6" s="23"/>
      <c r="BE6" s="23"/>
    </row>
    <row r="7" spans="1:57" s="13" customFormat="1" ht="15.75" hidden="1" x14ac:dyDescent="0.25">
      <c r="A7" s="5"/>
      <c r="B7" s="6"/>
      <c r="C7" s="6"/>
      <c r="D7" s="6" t="s">
        <v>47</v>
      </c>
      <c r="E7" s="6"/>
      <c r="F7" s="6"/>
      <c r="G7" s="26"/>
      <c r="H7" s="104"/>
      <c r="I7" s="26"/>
      <c r="J7" s="27"/>
      <c r="K7" s="104"/>
      <c r="L7" s="26"/>
      <c r="M7" s="27"/>
      <c r="N7" s="104"/>
      <c r="O7" s="104"/>
      <c r="P7" s="104"/>
      <c r="Q7" s="27"/>
      <c r="R7" s="104"/>
      <c r="S7" s="104"/>
      <c r="T7" s="27"/>
      <c r="U7" s="26"/>
      <c r="V7" s="26"/>
      <c r="W7" s="104"/>
      <c r="X7" s="26"/>
      <c r="Y7" s="102"/>
      <c r="Z7" s="102"/>
      <c r="AA7" s="6"/>
      <c r="AB7" s="6"/>
      <c r="AC7" s="26"/>
      <c r="AD7" s="27"/>
      <c r="AE7" s="104"/>
      <c r="AF7" s="26"/>
      <c r="AG7" s="26"/>
      <c r="AH7" s="26"/>
      <c r="AI7" s="26"/>
      <c r="AJ7" s="26"/>
      <c r="AK7" s="26"/>
      <c r="AL7" s="26"/>
      <c r="AM7" s="104"/>
      <c r="AN7" s="26"/>
      <c r="AO7" s="104"/>
      <c r="AP7" s="26"/>
      <c r="AQ7" s="26"/>
      <c r="AR7" s="104"/>
      <c r="AS7" s="26"/>
      <c r="AT7" s="26"/>
      <c r="AU7" s="104"/>
      <c r="AV7" s="104"/>
      <c r="AW7" s="104"/>
      <c r="AX7" s="104"/>
      <c r="AY7" s="26"/>
      <c r="AZ7" s="104"/>
      <c r="BA7" s="26"/>
      <c r="BB7" s="26"/>
      <c r="BC7" s="26"/>
      <c r="BD7" s="26"/>
      <c r="BE7" s="26"/>
    </row>
    <row r="8" spans="1:57" s="13" customFormat="1" ht="15.75" hidden="1" x14ac:dyDescent="0.25">
      <c r="A8" s="5"/>
      <c r="B8" s="6"/>
      <c r="C8" s="6"/>
      <c r="D8" s="6" t="s">
        <v>48</v>
      </c>
      <c r="E8" s="6"/>
      <c r="F8" s="6"/>
      <c r="G8" s="26"/>
      <c r="H8" s="104"/>
      <c r="I8" s="26"/>
      <c r="J8" s="27"/>
      <c r="K8" s="104"/>
      <c r="L8" s="26"/>
      <c r="M8" s="27"/>
      <c r="N8" s="104"/>
      <c r="O8" s="104"/>
      <c r="P8" s="104"/>
      <c r="Q8" s="27"/>
      <c r="R8" s="104"/>
      <c r="S8" s="104"/>
      <c r="T8" s="27"/>
      <c r="U8" s="26"/>
      <c r="V8" s="26"/>
      <c r="W8" s="104"/>
      <c r="X8" s="26"/>
      <c r="Y8" s="102"/>
      <c r="Z8" s="102"/>
      <c r="AA8" s="6"/>
      <c r="AB8" s="6"/>
      <c r="AC8" s="26"/>
      <c r="AD8" s="27"/>
      <c r="AE8" s="104"/>
      <c r="AF8" s="26"/>
      <c r="AG8" s="26"/>
      <c r="AH8" s="26"/>
      <c r="AI8" s="26"/>
      <c r="AJ8" s="26"/>
      <c r="AK8" s="26"/>
      <c r="AL8" s="26"/>
      <c r="AM8" s="104"/>
      <c r="AN8" s="26"/>
      <c r="AO8" s="104"/>
      <c r="AP8" s="26"/>
      <c r="AQ8" s="26"/>
      <c r="AR8" s="104"/>
      <c r="AS8" s="26"/>
      <c r="AT8" s="26"/>
      <c r="AU8" s="104"/>
      <c r="AV8" s="104"/>
      <c r="AW8" s="104"/>
      <c r="AX8" s="104"/>
      <c r="AY8" s="26"/>
      <c r="AZ8" s="104"/>
      <c r="BA8" s="26"/>
      <c r="BB8" s="26"/>
      <c r="BC8" s="26"/>
      <c r="BD8" s="26"/>
      <c r="BE8" s="26"/>
    </row>
    <row r="9" spans="1:57" s="13" customFormat="1" ht="15.75" hidden="1" x14ac:dyDescent="0.25">
      <c r="A9" s="5"/>
      <c r="B9" s="6"/>
      <c r="C9" s="6"/>
      <c r="D9" s="6"/>
      <c r="E9" s="6"/>
      <c r="F9" s="6"/>
      <c r="G9" s="29">
        <f>SUM(G6:G8)</f>
        <v>0</v>
      </c>
      <c r="H9" s="105">
        <f t="shared" ref="H9:T9" si="0">SUM(H6:H8)</f>
        <v>0</v>
      </c>
      <c r="I9" s="29">
        <f t="shared" si="0"/>
        <v>0</v>
      </c>
      <c r="J9" s="30">
        <f t="shared" si="0"/>
        <v>0</v>
      </c>
      <c r="K9" s="105">
        <f t="shared" si="0"/>
        <v>0</v>
      </c>
      <c r="L9" s="29">
        <f t="shared" si="0"/>
        <v>0</v>
      </c>
      <c r="M9" s="30">
        <f t="shared" si="0"/>
        <v>0</v>
      </c>
      <c r="N9" s="105">
        <f t="shared" si="0"/>
        <v>0</v>
      </c>
      <c r="O9" s="105">
        <f t="shared" si="0"/>
        <v>0</v>
      </c>
      <c r="P9" s="105">
        <f t="shared" si="0"/>
        <v>0</v>
      </c>
      <c r="Q9" s="30">
        <f t="shared" si="0"/>
        <v>0</v>
      </c>
      <c r="R9" s="105">
        <f t="shared" si="0"/>
        <v>0</v>
      </c>
      <c r="S9" s="105">
        <f t="shared" si="0"/>
        <v>0</v>
      </c>
      <c r="T9" s="30">
        <f t="shared" si="0"/>
        <v>0</v>
      </c>
      <c r="U9" s="29"/>
      <c r="V9" s="29"/>
      <c r="W9" s="105"/>
      <c r="X9" s="29"/>
      <c r="Y9" s="102"/>
      <c r="Z9" s="102"/>
      <c r="AA9" s="6"/>
      <c r="AB9" s="6"/>
      <c r="AC9" s="29"/>
      <c r="AD9" s="30"/>
      <c r="AE9" s="105"/>
      <c r="AF9" s="29"/>
      <c r="AG9" s="29"/>
      <c r="AH9" s="29"/>
      <c r="AI9" s="29"/>
      <c r="AJ9" s="29"/>
      <c r="AK9" s="29"/>
      <c r="AL9" s="29"/>
      <c r="AM9" s="105"/>
      <c r="AN9" s="29"/>
      <c r="AO9" s="105"/>
      <c r="AP9" s="29"/>
      <c r="AQ9" s="29"/>
      <c r="AR9" s="105"/>
      <c r="AS9" s="29"/>
      <c r="AT9" s="29"/>
      <c r="AU9" s="105"/>
      <c r="AV9" s="105"/>
      <c r="AW9" s="105"/>
      <c r="AX9" s="105"/>
      <c r="AY9" s="29"/>
      <c r="AZ9" s="105"/>
      <c r="BA9" s="29"/>
      <c r="BB9" s="29"/>
      <c r="BC9" s="29"/>
      <c r="BD9" s="29"/>
      <c r="BE9" s="29"/>
    </row>
    <row r="10" spans="1:57" s="13" customFormat="1" ht="15.75" x14ac:dyDescent="0.25">
      <c r="A10" s="5"/>
      <c r="B10" s="6"/>
      <c r="C10" s="32" t="s">
        <v>49</v>
      </c>
      <c r="D10" s="16" t="s">
        <v>50</v>
      </c>
      <c r="E10" s="6"/>
      <c r="F10" s="6"/>
      <c r="G10" s="33"/>
      <c r="H10" s="106"/>
      <c r="I10" s="33"/>
      <c r="J10" s="34"/>
      <c r="K10" s="106"/>
      <c r="L10" s="33"/>
      <c r="M10" s="34"/>
      <c r="N10" s="106"/>
      <c r="O10" s="106"/>
      <c r="P10" s="106"/>
      <c r="Q10" s="34"/>
      <c r="R10" s="106"/>
      <c r="S10" s="106"/>
      <c r="T10" s="34"/>
      <c r="U10" s="33"/>
      <c r="V10" s="33"/>
      <c r="W10" s="106"/>
      <c r="X10" s="33"/>
      <c r="Y10" s="102"/>
      <c r="Z10" s="102"/>
      <c r="AA10" s="6"/>
      <c r="AB10" s="6"/>
      <c r="AC10" s="33"/>
      <c r="AD10" s="34"/>
      <c r="AE10" s="106"/>
      <c r="AF10" s="33"/>
      <c r="AG10" s="33"/>
      <c r="AH10" s="33"/>
      <c r="AI10" s="33"/>
      <c r="AJ10" s="33"/>
      <c r="AK10" s="33"/>
      <c r="AL10" s="33"/>
      <c r="AM10" s="106"/>
      <c r="AN10" s="33"/>
      <c r="AO10" s="106"/>
      <c r="AP10" s="33"/>
      <c r="AQ10" s="33"/>
      <c r="AR10" s="106"/>
      <c r="AS10" s="33"/>
      <c r="AT10" s="33"/>
      <c r="AU10" s="106"/>
      <c r="AV10" s="106"/>
      <c r="AW10" s="106"/>
      <c r="AX10" s="106"/>
      <c r="AY10" s="33"/>
      <c r="AZ10" s="106"/>
      <c r="BA10" s="33"/>
      <c r="BB10" s="33"/>
      <c r="BC10" s="33"/>
      <c r="BD10" s="33"/>
      <c r="BE10" s="33"/>
    </row>
    <row r="11" spans="1:57" s="13" customFormat="1" ht="15.75" x14ac:dyDescent="0.25">
      <c r="A11" s="5"/>
      <c r="B11" s="6"/>
      <c r="C11" s="32"/>
      <c r="D11" s="36" t="s">
        <v>51</v>
      </c>
      <c r="E11" s="6"/>
      <c r="F11" s="6"/>
      <c r="G11" s="23">
        <v>447</v>
      </c>
      <c r="H11" s="103">
        <v>942</v>
      </c>
      <c r="I11" s="23">
        <v>4434</v>
      </c>
      <c r="J11" s="24">
        <v>715</v>
      </c>
      <c r="K11" s="103">
        <v>603</v>
      </c>
      <c r="L11" s="23">
        <v>488</v>
      </c>
      <c r="M11" s="24">
        <v>1455</v>
      </c>
      <c r="N11" s="103">
        <v>1748</v>
      </c>
      <c r="O11" s="103">
        <v>875</v>
      </c>
      <c r="P11" s="103">
        <v>2403</v>
      </c>
      <c r="Q11" s="24">
        <v>299</v>
      </c>
      <c r="R11" s="103">
        <v>1018</v>
      </c>
      <c r="S11" s="103">
        <v>596</v>
      </c>
      <c r="T11" s="24">
        <v>1793</v>
      </c>
      <c r="U11" s="23">
        <v>1674</v>
      </c>
      <c r="V11" s="23">
        <v>117</v>
      </c>
      <c r="W11" s="103">
        <v>303</v>
      </c>
      <c r="X11" s="23">
        <v>367</v>
      </c>
      <c r="Y11" s="103">
        <v>26088</v>
      </c>
      <c r="Z11" s="103">
        <v>11122</v>
      </c>
      <c r="AA11" s="23">
        <v>768</v>
      </c>
      <c r="AB11" s="24">
        <v>616</v>
      </c>
      <c r="AC11" s="23">
        <v>545</v>
      </c>
      <c r="AD11" s="24">
        <v>1374</v>
      </c>
      <c r="AE11" s="103">
        <v>15277</v>
      </c>
      <c r="AF11" s="23">
        <v>1031</v>
      </c>
      <c r="AG11" s="23"/>
      <c r="AH11" s="23">
        <v>568</v>
      </c>
      <c r="AI11" s="23">
        <v>1098</v>
      </c>
      <c r="AJ11" s="23">
        <v>371</v>
      </c>
      <c r="AK11" s="23">
        <v>1530</v>
      </c>
      <c r="AL11" s="23">
        <v>616</v>
      </c>
      <c r="AM11" s="103">
        <v>630</v>
      </c>
      <c r="AN11" s="23">
        <v>1929</v>
      </c>
      <c r="AO11" s="103">
        <v>726</v>
      </c>
      <c r="AP11" s="23">
        <v>2123</v>
      </c>
      <c r="AQ11" s="23">
        <v>626</v>
      </c>
      <c r="AR11" s="103">
        <v>2597</v>
      </c>
      <c r="AS11" s="23">
        <v>1419</v>
      </c>
      <c r="AT11" s="23">
        <v>487</v>
      </c>
      <c r="AU11" s="103">
        <v>880</v>
      </c>
      <c r="AV11" s="103">
        <v>1547</v>
      </c>
      <c r="AW11" s="103">
        <v>931</v>
      </c>
      <c r="AX11" s="103">
        <v>1297</v>
      </c>
      <c r="AY11" s="23">
        <v>1498</v>
      </c>
      <c r="AZ11" s="103">
        <v>1188</v>
      </c>
      <c r="BA11" s="23">
        <v>1434</v>
      </c>
      <c r="BB11" s="23">
        <v>432</v>
      </c>
      <c r="BC11" s="23">
        <v>4323</v>
      </c>
      <c r="BD11" s="23">
        <f>744226/1000</f>
        <v>744.226</v>
      </c>
      <c r="BE11" s="23">
        <v>155</v>
      </c>
    </row>
    <row r="12" spans="1:57" s="13" customFormat="1" ht="15.75" x14ac:dyDescent="0.25">
      <c r="A12" s="5"/>
      <c r="B12" s="6"/>
      <c r="C12" s="32"/>
      <c r="D12" s="36" t="s">
        <v>52</v>
      </c>
      <c r="E12" s="6"/>
      <c r="F12" s="6"/>
      <c r="G12" s="23"/>
      <c r="H12" s="103">
        <v>17188</v>
      </c>
      <c r="I12" s="23"/>
      <c r="J12" s="24"/>
      <c r="K12" s="103"/>
      <c r="L12" s="23"/>
      <c r="M12" s="24"/>
      <c r="N12" s="103"/>
      <c r="O12" s="103"/>
      <c r="P12" s="103"/>
      <c r="Q12" s="24">
        <v>20439</v>
      </c>
      <c r="R12" s="103">
        <v>56938</v>
      </c>
      <c r="S12" s="103"/>
      <c r="T12" s="24"/>
      <c r="U12" s="23"/>
      <c r="V12" s="23"/>
      <c r="W12" s="103"/>
      <c r="X12" s="23"/>
      <c r="Y12" s="103"/>
      <c r="Z12" s="103"/>
      <c r="AA12" s="23"/>
      <c r="AB12" s="24"/>
      <c r="AC12" s="23"/>
      <c r="AD12" s="24"/>
      <c r="AE12" s="103"/>
      <c r="AF12" s="23"/>
      <c r="AG12" s="23"/>
      <c r="AH12" s="23"/>
      <c r="AI12" s="23"/>
      <c r="AJ12" s="23"/>
      <c r="AK12" s="23"/>
      <c r="AL12" s="23"/>
      <c r="AM12" s="103"/>
      <c r="AN12" s="23"/>
      <c r="AO12" s="103">
        <v>16272</v>
      </c>
      <c r="AP12" s="23"/>
      <c r="AQ12" s="23"/>
      <c r="AR12" s="103"/>
      <c r="AS12" s="23"/>
      <c r="AT12" s="23"/>
      <c r="AU12" s="103"/>
      <c r="AV12" s="103"/>
      <c r="AW12" s="103"/>
      <c r="AX12" s="103"/>
      <c r="AY12" s="23"/>
      <c r="AZ12" s="103"/>
      <c r="BA12" s="23">
        <v>12854</v>
      </c>
      <c r="BB12" s="23"/>
      <c r="BC12" s="23"/>
      <c r="BD12" s="23"/>
      <c r="BE12" s="23"/>
    </row>
    <row r="13" spans="1:57" s="13" customFormat="1" ht="15.75" x14ac:dyDescent="0.25">
      <c r="A13" s="5"/>
      <c r="B13" s="6"/>
      <c r="C13" s="32"/>
      <c r="D13" s="36" t="s">
        <v>53</v>
      </c>
      <c r="E13" s="6"/>
      <c r="F13" s="6"/>
      <c r="G13" s="23"/>
      <c r="H13" s="103"/>
      <c r="I13" s="23">
        <v>4682</v>
      </c>
      <c r="J13" s="24">
        <v>2946</v>
      </c>
      <c r="K13" s="103"/>
      <c r="L13" s="23">
        <v>569</v>
      </c>
      <c r="M13" s="24"/>
      <c r="N13" s="103"/>
      <c r="O13" s="103"/>
      <c r="P13" s="103">
        <v>819</v>
      </c>
      <c r="Q13" s="24"/>
      <c r="R13" s="103">
        <v>2580</v>
      </c>
      <c r="S13" s="103"/>
      <c r="T13" s="24"/>
      <c r="U13" s="23">
        <v>2185</v>
      </c>
      <c r="V13" s="23">
        <v>2780</v>
      </c>
      <c r="W13" s="103"/>
      <c r="X13" s="23">
        <v>1342</v>
      </c>
      <c r="Y13" s="103"/>
      <c r="Z13" s="103">
        <v>2178</v>
      </c>
      <c r="AA13" s="23">
        <v>137</v>
      </c>
      <c r="AB13" s="24"/>
      <c r="AC13" s="23"/>
      <c r="AD13" s="24">
        <v>1645</v>
      </c>
      <c r="AE13" s="103"/>
      <c r="AF13" s="23"/>
      <c r="AG13" s="23"/>
      <c r="AH13" s="23"/>
      <c r="AI13" s="23"/>
      <c r="AJ13" s="23"/>
      <c r="AK13" s="23"/>
      <c r="AL13" s="23"/>
      <c r="AM13" s="103"/>
      <c r="AN13" s="23"/>
      <c r="AO13" s="103">
        <v>109</v>
      </c>
      <c r="AP13" s="23"/>
      <c r="AQ13" s="23"/>
      <c r="AR13" s="103"/>
      <c r="AS13" s="23"/>
      <c r="AT13" s="23"/>
      <c r="AU13" s="103">
        <v>352</v>
      </c>
      <c r="AV13" s="103"/>
      <c r="AW13" s="103">
        <v>3557</v>
      </c>
      <c r="AX13" s="103"/>
      <c r="AY13" s="23">
        <v>2814</v>
      </c>
      <c r="AZ13" s="103"/>
      <c r="BA13" s="23">
        <v>1945</v>
      </c>
      <c r="BB13" s="23"/>
      <c r="BC13" s="23"/>
      <c r="BD13" s="23">
        <f>1793261/1000</f>
        <v>1793.261</v>
      </c>
      <c r="BE13" s="23"/>
    </row>
    <row r="14" spans="1:57" s="13" customFormat="1" ht="15.75" x14ac:dyDescent="0.25">
      <c r="A14" s="5"/>
      <c r="B14" s="6"/>
      <c r="C14" s="32"/>
      <c r="D14" s="36" t="s">
        <v>54</v>
      </c>
      <c r="E14" s="6"/>
      <c r="F14" s="6"/>
      <c r="G14" s="23"/>
      <c r="H14" s="103"/>
      <c r="I14" s="23"/>
      <c r="J14" s="24"/>
      <c r="K14" s="103"/>
      <c r="L14" s="23"/>
      <c r="M14" s="24"/>
      <c r="N14" s="103"/>
      <c r="O14" s="103"/>
      <c r="P14" s="103"/>
      <c r="Q14" s="24"/>
      <c r="R14" s="103"/>
      <c r="S14" s="103"/>
      <c r="T14" s="24"/>
      <c r="U14" s="23"/>
      <c r="V14" s="23"/>
      <c r="W14" s="103"/>
      <c r="X14" s="23"/>
      <c r="Y14" s="103"/>
      <c r="Z14" s="103"/>
      <c r="AA14" s="23"/>
      <c r="AB14" s="24"/>
      <c r="AC14" s="23"/>
      <c r="AD14" s="24"/>
      <c r="AE14" s="103"/>
      <c r="AF14" s="23"/>
      <c r="AG14" s="23"/>
      <c r="AH14" s="23"/>
      <c r="AI14" s="23"/>
      <c r="AJ14" s="23"/>
      <c r="AK14" s="23"/>
      <c r="AL14" s="23"/>
      <c r="AM14" s="103"/>
      <c r="AN14" s="23"/>
      <c r="AO14" s="103"/>
      <c r="AP14" s="23"/>
      <c r="AQ14" s="23"/>
      <c r="AR14" s="103"/>
      <c r="AS14" s="23"/>
      <c r="AT14" s="23"/>
      <c r="AU14" s="103"/>
      <c r="AV14" s="103"/>
      <c r="AW14" s="103">
        <v>15680</v>
      </c>
      <c r="AX14" s="103"/>
      <c r="AY14" s="23"/>
      <c r="AZ14" s="103"/>
      <c r="BA14" s="23"/>
      <c r="BB14" s="23"/>
      <c r="BC14" s="23"/>
      <c r="BD14" s="23"/>
      <c r="BE14" s="23"/>
    </row>
    <row r="15" spans="1:57" s="13" customFormat="1" ht="15.75" x14ac:dyDescent="0.25">
      <c r="A15" s="5"/>
      <c r="B15" s="6"/>
      <c r="C15" s="32"/>
      <c r="D15" s="36" t="s">
        <v>55</v>
      </c>
      <c r="E15" s="6"/>
      <c r="F15" s="6"/>
      <c r="G15" s="23">
        <v>61</v>
      </c>
      <c r="H15" s="103">
        <v>469</v>
      </c>
      <c r="I15" s="23"/>
      <c r="J15" s="24">
        <v>238</v>
      </c>
      <c r="K15" s="103">
        <v>144</v>
      </c>
      <c r="L15" s="23"/>
      <c r="M15" s="24">
        <v>156</v>
      </c>
      <c r="N15" s="103">
        <v>991</v>
      </c>
      <c r="O15" s="103">
        <v>91</v>
      </c>
      <c r="P15" s="103">
        <v>1141</v>
      </c>
      <c r="Q15" s="24"/>
      <c r="R15" s="103">
        <v>264</v>
      </c>
      <c r="S15" s="103"/>
      <c r="T15" s="24">
        <v>418</v>
      </c>
      <c r="U15" s="23"/>
      <c r="V15" s="23"/>
      <c r="W15" s="103">
        <v>94</v>
      </c>
      <c r="X15" s="23">
        <v>175</v>
      </c>
      <c r="Y15" s="103">
        <v>1578</v>
      </c>
      <c r="Z15" s="103">
        <v>4906</v>
      </c>
      <c r="AA15" s="23">
        <v>9</v>
      </c>
      <c r="AB15" s="24">
        <v>216</v>
      </c>
      <c r="AC15" s="23">
        <v>1110</v>
      </c>
      <c r="AD15" s="24"/>
      <c r="AE15" s="103">
        <v>1026</v>
      </c>
      <c r="AF15" s="23"/>
      <c r="AG15" s="23">
        <v>273</v>
      </c>
      <c r="AH15" s="23">
        <v>146</v>
      </c>
      <c r="AI15" s="23">
        <v>192</v>
      </c>
      <c r="AJ15" s="23">
        <v>59</v>
      </c>
      <c r="AK15" s="23">
        <v>203</v>
      </c>
      <c r="AL15" s="23">
        <v>216</v>
      </c>
      <c r="AM15" s="103">
        <v>61</v>
      </c>
      <c r="AN15" s="23"/>
      <c r="AO15" s="103">
        <v>440</v>
      </c>
      <c r="AP15" s="23">
        <v>690</v>
      </c>
      <c r="AQ15" s="23">
        <v>174</v>
      </c>
      <c r="AR15" s="103"/>
      <c r="AS15" s="23"/>
      <c r="AT15" s="23"/>
      <c r="AU15" s="103">
        <v>73</v>
      </c>
      <c r="AV15" s="103"/>
      <c r="AW15" s="103">
        <v>1508</v>
      </c>
      <c r="AX15" s="103">
        <v>875</v>
      </c>
      <c r="AY15" s="23"/>
      <c r="AZ15" s="103"/>
      <c r="BA15" s="23">
        <v>229</v>
      </c>
      <c r="BB15" s="23">
        <v>210</v>
      </c>
      <c r="BC15" s="23">
        <v>68</v>
      </c>
      <c r="BD15" s="23">
        <f>929329/1000</f>
        <v>929.32899999999995</v>
      </c>
      <c r="BE15" s="23"/>
    </row>
    <row r="16" spans="1:57" s="13" customFormat="1" ht="15.75" x14ac:dyDescent="0.25">
      <c r="A16" s="5"/>
      <c r="B16" s="6"/>
      <c r="C16" s="32"/>
      <c r="D16" s="36" t="s">
        <v>56</v>
      </c>
      <c r="E16" s="6"/>
      <c r="F16" s="6"/>
      <c r="G16" s="23">
        <v>1470</v>
      </c>
      <c r="H16" s="103">
        <v>901</v>
      </c>
      <c r="I16" s="23"/>
      <c r="J16" s="24">
        <v>57</v>
      </c>
      <c r="K16" s="103"/>
      <c r="L16" s="23"/>
      <c r="M16" s="24">
        <v>2228</v>
      </c>
      <c r="N16" s="103">
        <v>6494</v>
      </c>
      <c r="O16" s="103">
        <v>512</v>
      </c>
      <c r="P16" s="103">
        <v>939</v>
      </c>
      <c r="Q16" s="24">
        <v>1729</v>
      </c>
      <c r="R16" s="103">
        <v>4056</v>
      </c>
      <c r="S16" s="103">
        <v>4278</v>
      </c>
      <c r="T16" s="24">
        <v>1757</v>
      </c>
      <c r="U16" s="23"/>
      <c r="V16" s="23"/>
      <c r="W16" s="103">
        <v>2664</v>
      </c>
      <c r="X16" s="23"/>
      <c r="Y16" s="103">
        <v>17444</v>
      </c>
      <c r="Z16" s="103">
        <v>10128</v>
      </c>
      <c r="AA16" s="23"/>
      <c r="AB16" s="24">
        <v>1169</v>
      </c>
      <c r="AC16" s="23">
        <v>4885</v>
      </c>
      <c r="AD16" s="24"/>
      <c r="AE16" s="103">
        <v>19703</v>
      </c>
      <c r="AF16" s="23">
        <v>1949</v>
      </c>
      <c r="AG16" s="23">
        <v>2770</v>
      </c>
      <c r="AH16" s="23">
        <v>1421</v>
      </c>
      <c r="AI16" s="23">
        <v>1344</v>
      </c>
      <c r="AJ16" s="23">
        <v>1730</v>
      </c>
      <c r="AK16" s="23">
        <v>1679</v>
      </c>
      <c r="AL16" s="23">
        <v>1169</v>
      </c>
      <c r="AM16" s="103"/>
      <c r="AN16" s="23">
        <v>1685</v>
      </c>
      <c r="AO16" s="103">
        <v>1770</v>
      </c>
      <c r="AP16" s="23">
        <v>2602</v>
      </c>
      <c r="AQ16" s="23"/>
      <c r="AR16" s="103">
        <v>2364</v>
      </c>
      <c r="AS16" s="23">
        <v>1204</v>
      </c>
      <c r="AT16" s="23">
        <v>2783</v>
      </c>
      <c r="AU16" s="103"/>
      <c r="AV16" s="103"/>
      <c r="AW16" s="103">
        <v>1163</v>
      </c>
      <c r="AX16" s="103">
        <v>1078</v>
      </c>
      <c r="AY16" s="23"/>
      <c r="AZ16" s="103">
        <v>281</v>
      </c>
      <c r="BA16" s="23">
        <v>69</v>
      </c>
      <c r="BB16" s="23"/>
      <c r="BC16" s="23"/>
      <c r="BD16" s="23"/>
      <c r="BE16" s="23"/>
    </row>
    <row r="17" spans="1:57" s="13" customFormat="1" ht="15.75" x14ac:dyDescent="0.25">
      <c r="A17" s="5"/>
      <c r="B17" s="6"/>
      <c r="C17" s="32"/>
      <c r="D17" s="36" t="s">
        <v>57</v>
      </c>
      <c r="E17" s="6"/>
      <c r="F17" s="6"/>
      <c r="G17" s="23"/>
      <c r="H17" s="103">
        <v>476</v>
      </c>
      <c r="I17" s="23"/>
      <c r="J17" s="24"/>
      <c r="K17" s="103">
        <v>86</v>
      </c>
      <c r="L17" s="23">
        <v>117</v>
      </c>
      <c r="M17" s="24"/>
      <c r="N17" s="103"/>
      <c r="O17" s="103">
        <v>172</v>
      </c>
      <c r="P17" s="103">
        <v>270</v>
      </c>
      <c r="Q17" s="24"/>
      <c r="R17" s="103"/>
      <c r="S17" s="103"/>
      <c r="T17" s="24"/>
      <c r="U17" s="23"/>
      <c r="V17" s="23"/>
      <c r="W17" s="103"/>
      <c r="X17" s="23">
        <v>6</v>
      </c>
      <c r="Y17" s="103">
        <v>4629</v>
      </c>
      <c r="Z17" s="103">
        <v>306</v>
      </c>
      <c r="AA17" s="23">
        <v>81</v>
      </c>
      <c r="AB17" s="24"/>
      <c r="AC17" s="23"/>
      <c r="AD17" s="24"/>
      <c r="AE17" s="103">
        <v>879</v>
      </c>
      <c r="AF17" s="23"/>
      <c r="AG17" s="23"/>
      <c r="AH17" s="23">
        <v>76</v>
      </c>
      <c r="AI17" s="23">
        <v>81</v>
      </c>
      <c r="AJ17" s="23"/>
      <c r="AK17" s="23">
        <v>438</v>
      </c>
      <c r="AL17" s="23"/>
      <c r="AM17" s="103">
        <v>81</v>
      </c>
      <c r="AN17" s="23">
        <v>25</v>
      </c>
      <c r="AO17" s="103">
        <v>533</v>
      </c>
      <c r="AP17" s="23">
        <v>777</v>
      </c>
      <c r="AQ17" s="23"/>
      <c r="AR17" s="103">
        <v>311</v>
      </c>
      <c r="AS17" s="23">
        <v>412</v>
      </c>
      <c r="AT17" s="23"/>
      <c r="AU17" s="103">
        <v>53</v>
      </c>
      <c r="AV17" s="103"/>
      <c r="AW17" s="103"/>
      <c r="AX17" s="103">
        <v>1211</v>
      </c>
      <c r="AY17" s="23">
        <v>275</v>
      </c>
      <c r="AZ17" s="103"/>
      <c r="BA17" s="23"/>
      <c r="BB17" s="23"/>
      <c r="BC17" s="23"/>
      <c r="BD17" s="23">
        <f>240465/1000</f>
        <v>240.465</v>
      </c>
      <c r="BE17" s="23"/>
    </row>
    <row r="18" spans="1:57" s="13" customFormat="1" ht="15.75" x14ac:dyDescent="0.25">
      <c r="A18" s="5"/>
      <c r="B18" s="6"/>
      <c r="C18" s="32"/>
      <c r="D18" s="36" t="s">
        <v>58</v>
      </c>
      <c r="E18" s="6"/>
      <c r="F18" s="6"/>
      <c r="G18" s="23">
        <v>74</v>
      </c>
      <c r="H18" s="103"/>
      <c r="I18" s="23"/>
      <c r="J18" s="24">
        <v>73</v>
      </c>
      <c r="K18" s="103"/>
      <c r="L18" s="23">
        <v>52</v>
      </c>
      <c r="M18" s="24">
        <v>341</v>
      </c>
      <c r="N18" s="103">
        <v>1811</v>
      </c>
      <c r="O18" s="103">
        <v>120</v>
      </c>
      <c r="P18" s="103">
        <v>1884</v>
      </c>
      <c r="Q18" s="24">
        <v>127</v>
      </c>
      <c r="R18" s="103"/>
      <c r="S18" s="103">
        <v>81</v>
      </c>
      <c r="T18" s="24">
        <v>480</v>
      </c>
      <c r="U18" s="23"/>
      <c r="V18" s="23"/>
      <c r="W18" s="103">
        <v>284</v>
      </c>
      <c r="X18" s="23">
        <v>146</v>
      </c>
      <c r="Y18" s="103">
        <v>3312</v>
      </c>
      <c r="Z18" s="103">
        <v>1826</v>
      </c>
      <c r="AA18" s="23"/>
      <c r="AB18" s="24"/>
      <c r="AC18" s="23">
        <v>219</v>
      </c>
      <c r="AD18" s="24"/>
      <c r="AE18" s="103">
        <v>1452</v>
      </c>
      <c r="AF18" s="23"/>
      <c r="AG18" s="23"/>
      <c r="AH18" s="23"/>
      <c r="AI18" s="23">
        <v>75</v>
      </c>
      <c r="AJ18" s="23">
        <v>206</v>
      </c>
      <c r="AK18" s="23">
        <v>210</v>
      </c>
      <c r="AL18" s="23"/>
      <c r="AM18" s="103">
        <v>112</v>
      </c>
      <c r="AN18" s="23">
        <v>222</v>
      </c>
      <c r="AO18" s="103">
        <v>61</v>
      </c>
      <c r="AP18" s="23">
        <v>1091</v>
      </c>
      <c r="AQ18" s="23">
        <v>56</v>
      </c>
      <c r="AR18" s="103">
        <v>711</v>
      </c>
      <c r="AS18" s="23"/>
      <c r="AT18" s="23">
        <v>85</v>
      </c>
      <c r="AU18" s="103">
        <v>326</v>
      </c>
      <c r="AV18" s="103"/>
      <c r="AW18" s="103">
        <v>309</v>
      </c>
      <c r="AX18" s="103">
        <v>690</v>
      </c>
      <c r="AY18" s="23"/>
      <c r="AZ18" s="103"/>
      <c r="BA18" s="23">
        <v>61</v>
      </c>
      <c r="BB18" s="23">
        <v>196</v>
      </c>
      <c r="BC18" s="23">
        <v>520</v>
      </c>
      <c r="BD18" s="23"/>
      <c r="BE18" s="23"/>
    </row>
    <row r="19" spans="1:57" s="13" customFormat="1" ht="15.75" x14ac:dyDescent="0.25">
      <c r="A19" s="5"/>
      <c r="B19" s="6"/>
      <c r="C19" s="32"/>
      <c r="D19" s="36" t="s">
        <v>59</v>
      </c>
      <c r="E19" s="6"/>
      <c r="F19" s="6"/>
      <c r="G19" s="23"/>
      <c r="H19" s="103"/>
      <c r="I19" s="23"/>
      <c r="J19" s="24">
        <v>184</v>
      </c>
      <c r="K19" s="103"/>
      <c r="L19" s="23"/>
      <c r="M19" s="24"/>
      <c r="N19" s="103">
        <v>227</v>
      </c>
      <c r="O19" s="103">
        <v>62</v>
      </c>
      <c r="P19" s="103"/>
      <c r="Q19" s="24">
        <v>65</v>
      </c>
      <c r="R19" s="103"/>
      <c r="S19" s="103">
        <v>201</v>
      </c>
      <c r="T19" s="24"/>
      <c r="U19" s="23">
        <v>133</v>
      </c>
      <c r="V19" s="23">
        <v>182</v>
      </c>
      <c r="W19" s="103">
        <v>28</v>
      </c>
      <c r="X19" s="23">
        <v>105</v>
      </c>
      <c r="Y19" s="103">
        <v>89</v>
      </c>
      <c r="Z19" s="103"/>
      <c r="AA19" s="23">
        <v>25</v>
      </c>
      <c r="AB19" s="24"/>
      <c r="AC19" s="23"/>
      <c r="AD19" s="24"/>
      <c r="AE19" s="103"/>
      <c r="AF19" s="23"/>
      <c r="AG19" s="23"/>
      <c r="AH19" s="23"/>
      <c r="AI19" s="23">
        <v>71</v>
      </c>
      <c r="AJ19" s="23"/>
      <c r="AK19" s="23">
        <v>40</v>
      </c>
      <c r="AL19" s="23"/>
      <c r="AM19" s="103"/>
      <c r="AN19" s="23"/>
      <c r="AO19" s="103">
        <v>112</v>
      </c>
      <c r="AP19" s="23">
        <v>104</v>
      </c>
      <c r="AQ19" s="23">
        <v>47</v>
      </c>
      <c r="AR19" s="103">
        <v>43</v>
      </c>
      <c r="AS19" s="23">
        <v>49</v>
      </c>
      <c r="AT19" s="23">
        <v>65</v>
      </c>
      <c r="AU19" s="103">
        <v>85</v>
      </c>
      <c r="AV19" s="103"/>
      <c r="AW19" s="103">
        <v>197</v>
      </c>
      <c r="AX19" s="103">
        <v>168</v>
      </c>
      <c r="AY19" s="23"/>
      <c r="AZ19" s="103"/>
      <c r="BA19" s="23">
        <v>63</v>
      </c>
      <c r="BB19" s="23">
        <v>67</v>
      </c>
      <c r="BC19" s="23">
        <v>85</v>
      </c>
      <c r="BD19" s="23"/>
      <c r="BE19" s="23"/>
    </row>
    <row r="20" spans="1:57" s="13" customFormat="1" ht="15.75" x14ac:dyDescent="0.25">
      <c r="A20" s="5"/>
      <c r="B20" s="6"/>
      <c r="C20" s="32"/>
      <c r="D20" s="36" t="s">
        <v>60</v>
      </c>
      <c r="E20" s="14"/>
      <c r="F20" s="14"/>
      <c r="G20" s="23"/>
      <c r="H20" s="103">
        <v>108</v>
      </c>
      <c r="I20" s="23"/>
      <c r="J20" s="24">
        <f>40+118</f>
        <v>158</v>
      </c>
      <c r="K20" s="103">
        <v>509</v>
      </c>
      <c r="L20" s="23">
        <v>100</v>
      </c>
      <c r="M20" s="24">
        <v>116</v>
      </c>
      <c r="N20" s="103">
        <v>428</v>
      </c>
      <c r="O20" s="103">
        <v>23</v>
      </c>
      <c r="P20" s="103"/>
      <c r="Q20" s="24">
        <v>110</v>
      </c>
      <c r="R20" s="103">
        <v>280</v>
      </c>
      <c r="S20" s="103"/>
      <c r="T20" s="24">
        <v>166</v>
      </c>
      <c r="U20" s="23"/>
      <c r="V20" s="23"/>
      <c r="W20" s="103">
        <v>51</v>
      </c>
      <c r="X20" s="23"/>
      <c r="Y20" s="103">
        <v>912</v>
      </c>
      <c r="Z20" s="103">
        <v>316</v>
      </c>
      <c r="AA20" s="23"/>
      <c r="AB20" s="24">
        <v>20</v>
      </c>
      <c r="AC20" s="23"/>
      <c r="AD20" s="24"/>
      <c r="AE20" s="103">
        <v>3257</v>
      </c>
      <c r="AF20" s="23">
        <v>15</v>
      </c>
      <c r="AG20" s="23"/>
      <c r="AH20" s="23">
        <v>461</v>
      </c>
      <c r="AI20" s="23"/>
      <c r="AJ20" s="23">
        <v>212</v>
      </c>
      <c r="AK20" s="23"/>
      <c r="AL20" s="23">
        <v>20</v>
      </c>
      <c r="AM20" s="103">
        <v>506</v>
      </c>
      <c r="AN20" s="23">
        <v>295</v>
      </c>
      <c r="AO20" s="103">
        <v>107</v>
      </c>
      <c r="AP20" s="23">
        <v>100</v>
      </c>
      <c r="AQ20" s="23">
        <v>658</v>
      </c>
      <c r="AR20" s="103">
        <f>500+311</f>
        <v>811</v>
      </c>
      <c r="AS20" s="23">
        <v>35</v>
      </c>
      <c r="AT20" s="23">
        <v>1478</v>
      </c>
      <c r="AU20" s="103"/>
      <c r="AV20" s="103"/>
      <c r="AW20" s="103">
        <v>999</v>
      </c>
      <c r="AX20" s="103">
        <v>205</v>
      </c>
      <c r="AY20" s="23">
        <v>510</v>
      </c>
      <c r="AZ20" s="103"/>
      <c r="BA20" s="23"/>
      <c r="BB20" s="23">
        <v>628</v>
      </c>
      <c r="BC20" s="23">
        <v>1242</v>
      </c>
      <c r="BD20" s="23">
        <f>104444/1000</f>
        <v>104.444</v>
      </c>
      <c r="BE20" s="23">
        <v>276</v>
      </c>
    </row>
    <row r="21" spans="1:57" s="13" customFormat="1" ht="15.75" x14ac:dyDescent="0.25">
      <c r="A21" s="5"/>
      <c r="B21" s="6"/>
      <c r="C21" s="32"/>
      <c r="D21" s="36" t="s">
        <v>61</v>
      </c>
      <c r="E21" s="14"/>
      <c r="F21" s="14"/>
      <c r="G21" s="23">
        <v>1157</v>
      </c>
      <c r="H21" s="103">
        <v>1614</v>
      </c>
      <c r="I21" s="23"/>
      <c r="J21" s="24">
        <v>1629</v>
      </c>
      <c r="K21" s="103">
        <v>1091</v>
      </c>
      <c r="L21" s="23">
        <v>302</v>
      </c>
      <c r="M21" s="24">
        <v>3775</v>
      </c>
      <c r="N21" s="103">
        <v>8589</v>
      </c>
      <c r="O21" s="103">
        <v>3121</v>
      </c>
      <c r="P21" s="103">
        <v>8233</v>
      </c>
      <c r="Q21" s="24">
        <v>1501</v>
      </c>
      <c r="R21" s="103">
        <v>8126</v>
      </c>
      <c r="S21" s="103">
        <v>2688</v>
      </c>
      <c r="T21" s="24">
        <v>1905</v>
      </c>
      <c r="U21" s="23">
        <v>5284</v>
      </c>
      <c r="V21" s="23">
        <v>3966</v>
      </c>
      <c r="W21" s="103">
        <v>2728</v>
      </c>
      <c r="X21" s="23">
        <v>1573</v>
      </c>
      <c r="Y21" s="103">
        <v>34042</v>
      </c>
      <c r="Z21" s="103">
        <v>17482</v>
      </c>
      <c r="AA21" s="23">
        <v>739</v>
      </c>
      <c r="AB21" s="24">
        <v>2274</v>
      </c>
      <c r="AC21" s="23">
        <v>7353</v>
      </c>
      <c r="AD21" s="24">
        <v>1692</v>
      </c>
      <c r="AE21" s="103">
        <v>11817</v>
      </c>
      <c r="AF21" s="23">
        <v>5778</v>
      </c>
      <c r="AG21" s="23">
        <v>2225</v>
      </c>
      <c r="AH21" s="23">
        <v>3118</v>
      </c>
      <c r="AI21" s="23">
        <v>2469</v>
      </c>
      <c r="AJ21" s="23">
        <v>2408</v>
      </c>
      <c r="AK21" s="23">
        <v>2636</v>
      </c>
      <c r="AL21" s="23">
        <v>2274</v>
      </c>
      <c r="AM21" s="103">
        <v>1862</v>
      </c>
      <c r="AN21" s="23">
        <v>2575</v>
      </c>
      <c r="AO21" s="103">
        <v>3303</v>
      </c>
      <c r="AP21" s="23">
        <v>11314</v>
      </c>
      <c r="AQ21" s="23">
        <v>2911</v>
      </c>
      <c r="AR21" s="103">
        <v>3739</v>
      </c>
      <c r="AS21" s="23">
        <v>6026</v>
      </c>
      <c r="AT21" s="23">
        <v>2094</v>
      </c>
      <c r="AU21" s="103">
        <v>1934</v>
      </c>
      <c r="AV21" s="103"/>
      <c r="AW21" s="103">
        <v>5496</v>
      </c>
      <c r="AX21" s="103">
        <v>5897</v>
      </c>
      <c r="AY21" s="23">
        <v>3260</v>
      </c>
      <c r="AZ21" s="103">
        <v>2232</v>
      </c>
      <c r="BA21" s="23">
        <v>2546</v>
      </c>
      <c r="BB21" s="23">
        <v>2752</v>
      </c>
      <c r="BC21" s="23">
        <v>5476</v>
      </c>
      <c r="BD21" s="23">
        <f>1082510/1000</f>
        <v>1082.51</v>
      </c>
      <c r="BE21" s="23">
        <v>679</v>
      </c>
    </row>
    <row r="22" spans="1:57" s="13" customFormat="1" ht="15.75" x14ac:dyDescent="0.25">
      <c r="A22" s="5"/>
      <c r="B22" s="6"/>
      <c r="C22" s="32"/>
      <c r="D22" s="37" t="s">
        <v>62</v>
      </c>
      <c r="E22" s="38"/>
      <c r="F22" s="38"/>
      <c r="G22" s="23">
        <v>1</v>
      </c>
      <c r="H22" s="103">
        <v>113</v>
      </c>
      <c r="I22" s="23"/>
      <c r="J22" s="24">
        <v>274</v>
      </c>
      <c r="K22" s="103">
        <v>50</v>
      </c>
      <c r="L22" s="23">
        <v>83</v>
      </c>
      <c r="M22" s="24">
        <v>184</v>
      </c>
      <c r="N22" s="103">
        <v>505</v>
      </c>
      <c r="O22" s="103">
        <v>137</v>
      </c>
      <c r="P22" s="103">
        <v>693</v>
      </c>
      <c r="Q22" s="24"/>
      <c r="R22" s="103"/>
      <c r="S22" s="103">
        <v>229</v>
      </c>
      <c r="T22" s="24">
        <v>286</v>
      </c>
      <c r="U22" s="23">
        <v>375</v>
      </c>
      <c r="V22" s="23">
        <v>65</v>
      </c>
      <c r="W22" s="103">
        <v>60</v>
      </c>
      <c r="X22" s="23">
        <v>40</v>
      </c>
      <c r="Y22" s="103"/>
      <c r="Z22" s="103">
        <v>952</v>
      </c>
      <c r="AA22" s="23">
        <v>43</v>
      </c>
      <c r="AB22" s="24">
        <v>151</v>
      </c>
      <c r="AC22" s="23"/>
      <c r="AD22" s="24"/>
      <c r="AE22" s="103">
        <v>793</v>
      </c>
      <c r="AF22" s="23"/>
      <c r="AG22" s="23"/>
      <c r="AH22" s="23">
        <v>69</v>
      </c>
      <c r="AI22" s="23">
        <v>179</v>
      </c>
      <c r="AJ22" s="23">
        <v>71</v>
      </c>
      <c r="AK22" s="23">
        <v>173</v>
      </c>
      <c r="AL22" s="23">
        <v>151</v>
      </c>
      <c r="AM22" s="103">
        <v>215</v>
      </c>
      <c r="AN22" s="23">
        <v>157</v>
      </c>
      <c r="AO22" s="103">
        <v>206</v>
      </c>
      <c r="AP22" s="23">
        <v>347</v>
      </c>
      <c r="AQ22" s="23">
        <v>269</v>
      </c>
      <c r="AR22" s="103">
        <v>528</v>
      </c>
      <c r="AS22" s="23">
        <v>399</v>
      </c>
      <c r="AT22" s="23">
        <v>198</v>
      </c>
      <c r="AU22" s="103"/>
      <c r="AV22" s="103">
        <v>344</v>
      </c>
      <c r="AW22" s="103"/>
      <c r="AX22" s="103">
        <v>488</v>
      </c>
      <c r="AY22" s="23">
        <v>160</v>
      </c>
      <c r="AZ22" s="103">
        <v>61</v>
      </c>
      <c r="BA22" s="23">
        <v>234</v>
      </c>
      <c r="BB22" s="23">
        <v>37</v>
      </c>
      <c r="BC22" s="23">
        <v>189</v>
      </c>
      <c r="BD22" s="23">
        <f>73938/1000</f>
        <v>73.938000000000002</v>
      </c>
      <c r="BE22" s="23">
        <v>14</v>
      </c>
    </row>
    <row r="23" spans="1:57" s="13" customFormat="1" ht="15.75" x14ac:dyDescent="0.25">
      <c r="A23" s="5"/>
      <c r="B23" s="6"/>
      <c r="C23" s="32"/>
      <c r="D23" s="37" t="s">
        <v>63</v>
      </c>
      <c r="E23" s="38"/>
      <c r="F23" s="38"/>
      <c r="G23" s="23"/>
      <c r="H23" s="103"/>
      <c r="I23" s="23"/>
      <c r="J23" s="24"/>
      <c r="K23" s="103"/>
      <c r="L23" s="23"/>
      <c r="M23" s="24"/>
      <c r="N23" s="103"/>
      <c r="O23" s="103"/>
      <c r="P23" s="103"/>
      <c r="Q23" s="24"/>
      <c r="R23" s="103"/>
      <c r="S23" s="103"/>
      <c r="T23" s="24"/>
      <c r="U23" s="23"/>
      <c r="V23" s="23"/>
      <c r="W23" s="103"/>
      <c r="X23" s="23"/>
      <c r="Y23" s="103"/>
      <c r="Z23" s="103"/>
      <c r="AA23" s="23"/>
      <c r="AB23" s="24"/>
      <c r="AC23" s="23"/>
      <c r="AD23" s="24"/>
      <c r="AE23" s="103"/>
      <c r="AF23" s="23"/>
      <c r="AG23" s="23"/>
      <c r="AH23" s="23"/>
      <c r="AI23" s="23"/>
      <c r="AJ23" s="23"/>
      <c r="AK23" s="23"/>
      <c r="AL23" s="23"/>
      <c r="AM23" s="103"/>
      <c r="AN23" s="23"/>
      <c r="AO23" s="103"/>
      <c r="AP23" s="23"/>
      <c r="AQ23" s="23"/>
      <c r="AR23" s="103"/>
      <c r="AS23" s="23"/>
      <c r="AT23" s="23"/>
      <c r="AU23" s="103"/>
      <c r="AV23" s="103"/>
      <c r="AW23" s="103"/>
      <c r="AX23" s="103"/>
      <c r="AY23" s="23"/>
      <c r="AZ23" s="103"/>
      <c r="BA23" s="23"/>
      <c r="BB23" s="23"/>
      <c r="BC23" s="23"/>
      <c r="BD23" s="23"/>
      <c r="BE23" s="23"/>
    </row>
    <row r="24" spans="1:57" s="13" customFormat="1" ht="15.75" x14ac:dyDescent="0.25">
      <c r="A24" s="5"/>
      <c r="B24" s="6"/>
      <c r="C24" s="32"/>
      <c r="D24" s="37" t="s">
        <v>179</v>
      </c>
      <c r="E24" s="38"/>
      <c r="F24" s="38"/>
      <c r="G24" s="26"/>
      <c r="H24" s="104"/>
      <c r="I24" s="26"/>
      <c r="J24" s="27">
        <v>913</v>
      </c>
      <c r="K24" s="104"/>
      <c r="L24" s="26">
        <v>115</v>
      </c>
      <c r="M24" s="27"/>
      <c r="N24" s="104"/>
      <c r="O24" s="104"/>
      <c r="P24" s="104"/>
      <c r="Q24" s="27"/>
      <c r="R24" s="104"/>
      <c r="S24" s="104"/>
      <c r="T24" s="27"/>
      <c r="U24" s="26"/>
      <c r="V24" s="26">
        <v>8</v>
      </c>
      <c r="W24" s="104"/>
      <c r="X24" s="26"/>
      <c r="Y24" s="104"/>
      <c r="Z24" s="104"/>
      <c r="AA24" s="26"/>
      <c r="AB24" s="27"/>
      <c r="AC24" s="26"/>
      <c r="AD24" s="27"/>
      <c r="AE24" s="104"/>
      <c r="AF24" s="26"/>
      <c r="AG24" s="26"/>
      <c r="AH24" s="26"/>
      <c r="AI24" s="26"/>
      <c r="AJ24" s="26"/>
      <c r="AK24" s="26">
        <v>147</v>
      </c>
      <c r="AL24" s="26"/>
      <c r="AM24" s="104"/>
      <c r="AN24" s="26"/>
      <c r="AO24" s="104"/>
      <c r="AP24" s="26"/>
      <c r="AQ24" s="26"/>
      <c r="AR24" s="104"/>
      <c r="AS24" s="26"/>
      <c r="AT24" s="26"/>
      <c r="AU24" s="104">
        <v>125</v>
      </c>
      <c r="AV24" s="104"/>
      <c r="AW24" s="104"/>
      <c r="AX24" s="104"/>
      <c r="AY24" s="26">
        <v>443</v>
      </c>
      <c r="AZ24" s="104"/>
      <c r="BA24" s="26"/>
      <c r="BB24" s="26"/>
      <c r="BC24" s="26"/>
      <c r="BD24" s="26"/>
      <c r="BE24" s="26"/>
    </row>
    <row r="25" spans="1:57" s="13" customFormat="1" ht="15.75" x14ac:dyDescent="0.25">
      <c r="A25" s="5"/>
      <c r="B25" s="6"/>
      <c r="C25" s="32"/>
      <c r="D25" s="6"/>
      <c r="E25" s="6"/>
      <c r="F25" s="6"/>
      <c r="G25" s="39">
        <f>SUM(G11:G24)</f>
        <v>3210</v>
      </c>
      <c r="H25" s="107">
        <f t="shared" ref="H25:BA25" si="1">SUM(H11:H24)</f>
        <v>21811</v>
      </c>
      <c r="I25" s="39">
        <f t="shared" si="1"/>
        <v>9116</v>
      </c>
      <c r="J25" s="40">
        <f t="shared" si="1"/>
        <v>7187</v>
      </c>
      <c r="K25" s="107">
        <f t="shared" si="1"/>
        <v>2483</v>
      </c>
      <c r="L25" s="39">
        <f t="shared" si="1"/>
        <v>1826</v>
      </c>
      <c r="M25" s="40">
        <f t="shared" si="1"/>
        <v>8255</v>
      </c>
      <c r="N25" s="107">
        <f t="shared" si="1"/>
        <v>20793</v>
      </c>
      <c r="O25" s="107">
        <f t="shared" si="1"/>
        <v>5113</v>
      </c>
      <c r="P25" s="107">
        <f t="shared" si="1"/>
        <v>16382</v>
      </c>
      <c r="Q25" s="40">
        <f t="shared" si="1"/>
        <v>24270</v>
      </c>
      <c r="R25" s="107">
        <f t="shared" si="1"/>
        <v>73262</v>
      </c>
      <c r="S25" s="107">
        <f t="shared" si="1"/>
        <v>8073</v>
      </c>
      <c r="T25" s="40">
        <f t="shared" si="1"/>
        <v>6805</v>
      </c>
      <c r="U25" s="39">
        <f t="shared" si="1"/>
        <v>9651</v>
      </c>
      <c r="V25" s="39">
        <f t="shared" si="1"/>
        <v>7118</v>
      </c>
      <c r="W25" s="107">
        <f t="shared" si="1"/>
        <v>6212</v>
      </c>
      <c r="X25" s="39">
        <f t="shared" si="1"/>
        <v>3754</v>
      </c>
      <c r="Y25" s="107">
        <f t="shared" si="1"/>
        <v>88094</v>
      </c>
      <c r="Z25" s="107">
        <f t="shared" si="1"/>
        <v>49216</v>
      </c>
      <c r="AA25" s="39">
        <f t="shared" si="1"/>
        <v>1802</v>
      </c>
      <c r="AB25" s="40">
        <f t="shared" si="1"/>
        <v>4446</v>
      </c>
      <c r="AC25" s="39">
        <f t="shared" si="1"/>
        <v>14112</v>
      </c>
      <c r="AD25" s="40">
        <f t="shared" si="1"/>
        <v>4711</v>
      </c>
      <c r="AE25" s="107">
        <f t="shared" si="1"/>
        <v>54204</v>
      </c>
      <c r="AF25" s="39">
        <f t="shared" si="1"/>
        <v>8773</v>
      </c>
      <c r="AG25" s="39">
        <f t="shared" si="1"/>
        <v>5268</v>
      </c>
      <c r="AH25" s="39">
        <f t="shared" si="1"/>
        <v>5859</v>
      </c>
      <c r="AI25" s="39">
        <f t="shared" si="1"/>
        <v>5509</v>
      </c>
      <c r="AJ25" s="39">
        <f t="shared" si="1"/>
        <v>5057</v>
      </c>
      <c r="AK25" s="39">
        <f t="shared" si="1"/>
        <v>7056</v>
      </c>
      <c r="AL25" s="39">
        <f t="shared" si="1"/>
        <v>4446</v>
      </c>
      <c r="AM25" s="107">
        <f t="shared" si="1"/>
        <v>3467</v>
      </c>
      <c r="AN25" s="39">
        <f t="shared" si="1"/>
        <v>6888</v>
      </c>
      <c r="AO25" s="107">
        <f t="shared" si="1"/>
        <v>23639</v>
      </c>
      <c r="AP25" s="39">
        <f t="shared" si="1"/>
        <v>19148</v>
      </c>
      <c r="AQ25" s="39">
        <f t="shared" si="1"/>
        <v>4741</v>
      </c>
      <c r="AR25" s="107">
        <f t="shared" si="1"/>
        <v>11104</v>
      </c>
      <c r="AS25" s="39">
        <f t="shared" si="1"/>
        <v>9544</v>
      </c>
      <c r="AT25" s="39">
        <f t="shared" si="1"/>
        <v>7190</v>
      </c>
      <c r="AU25" s="107">
        <f t="shared" si="1"/>
        <v>3828</v>
      </c>
      <c r="AV25" s="107">
        <f t="shared" si="1"/>
        <v>1891</v>
      </c>
      <c r="AW25" s="107">
        <f t="shared" si="1"/>
        <v>29840</v>
      </c>
      <c r="AX25" s="107">
        <f t="shared" si="1"/>
        <v>11909</v>
      </c>
      <c r="AY25" s="39">
        <f t="shared" si="1"/>
        <v>8960</v>
      </c>
      <c r="AZ25" s="107">
        <f t="shared" si="1"/>
        <v>3762</v>
      </c>
      <c r="BA25" s="39">
        <f t="shared" si="1"/>
        <v>19435</v>
      </c>
      <c r="BB25" s="39">
        <f t="shared" ref="BB25" si="2">SUM(BB11:BB24)</f>
        <v>4322</v>
      </c>
      <c r="BC25" s="39">
        <f t="shared" ref="BC25" si="3">SUM(BC11:BC24)</f>
        <v>11903</v>
      </c>
      <c r="BD25" s="39">
        <f>SUM(BD11:BD24)</f>
        <v>4968.1729999999998</v>
      </c>
      <c r="BE25" s="39">
        <f t="shared" ref="BE25" si="4">SUM(BE11:BE24)</f>
        <v>1124</v>
      </c>
    </row>
    <row r="26" spans="1:57" s="13" customFormat="1" ht="15.75" x14ac:dyDescent="0.25">
      <c r="A26" s="5"/>
      <c r="B26" s="6"/>
      <c r="C26" s="32"/>
      <c r="D26" s="6"/>
      <c r="E26" s="6"/>
      <c r="F26" s="6"/>
      <c r="G26" s="42"/>
      <c r="H26" s="108"/>
      <c r="I26" s="42"/>
      <c r="J26" s="43"/>
      <c r="K26" s="108"/>
      <c r="L26" s="42"/>
      <c r="M26" s="43"/>
      <c r="N26" s="108"/>
      <c r="O26" s="108"/>
      <c r="P26" s="108"/>
      <c r="Q26" s="43"/>
      <c r="R26" s="108"/>
      <c r="S26" s="108"/>
      <c r="T26" s="43"/>
      <c r="U26" s="42"/>
      <c r="V26" s="42"/>
      <c r="W26" s="108"/>
      <c r="X26" s="42"/>
      <c r="Y26" s="108"/>
      <c r="Z26" s="108"/>
      <c r="AA26" s="42"/>
      <c r="AB26" s="43"/>
      <c r="AC26" s="42"/>
      <c r="AD26" s="43"/>
      <c r="AE26" s="108"/>
      <c r="AF26" s="42"/>
      <c r="AG26" s="42"/>
      <c r="AH26" s="42"/>
      <c r="AI26" s="42"/>
      <c r="AJ26" s="42"/>
      <c r="AK26" s="42"/>
      <c r="AL26" s="42"/>
      <c r="AM26" s="108"/>
      <c r="AN26" s="42"/>
      <c r="AO26" s="108"/>
      <c r="AP26" s="42"/>
      <c r="AQ26" s="42"/>
      <c r="AR26" s="108"/>
      <c r="AS26" s="42"/>
      <c r="AT26" s="42"/>
      <c r="AU26" s="108"/>
      <c r="AV26" s="108"/>
      <c r="AW26" s="108"/>
      <c r="AX26" s="108"/>
      <c r="AY26" s="42"/>
      <c r="AZ26" s="108">
        <f>+AZ25-AZ21</f>
        <v>1530</v>
      </c>
      <c r="BA26" s="42"/>
      <c r="BB26" s="42"/>
      <c r="BC26" s="42"/>
      <c r="BD26" s="42"/>
      <c r="BE26" s="42"/>
    </row>
    <row r="27" spans="1:57" s="13" customFormat="1" ht="15.75" x14ac:dyDescent="0.25">
      <c r="A27" s="5"/>
      <c r="B27" s="6"/>
      <c r="C27" s="32" t="s">
        <v>65</v>
      </c>
      <c r="D27" s="16" t="s">
        <v>66</v>
      </c>
      <c r="E27" s="6"/>
      <c r="F27" s="6"/>
      <c r="G27" s="33"/>
      <c r="H27" s="106"/>
      <c r="I27" s="33"/>
      <c r="J27" s="34"/>
      <c r="K27" s="106"/>
      <c r="L27" s="33"/>
      <c r="M27" s="34"/>
      <c r="N27" s="106"/>
      <c r="O27" s="106"/>
      <c r="P27" s="106"/>
      <c r="Q27" s="34"/>
      <c r="R27" s="106"/>
      <c r="S27" s="106"/>
      <c r="T27" s="34"/>
      <c r="U27" s="33"/>
      <c r="V27" s="33"/>
      <c r="W27" s="106"/>
      <c r="X27" s="33"/>
      <c r="Y27" s="106"/>
      <c r="Z27" s="106"/>
      <c r="AA27" s="33"/>
      <c r="AB27" s="34"/>
      <c r="AC27" s="33"/>
      <c r="AD27" s="34"/>
      <c r="AE27" s="106"/>
      <c r="AF27" s="33"/>
      <c r="AG27" s="33"/>
      <c r="AH27" s="33"/>
      <c r="AI27" s="33"/>
      <c r="AJ27" s="33"/>
      <c r="AK27" s="33"/>
      <c r="AL27" s="33"/>
      <c r="AM27" s="106"/>
      <c r="AN27" s="33"/>
      <c r="AO27" s="106"/>
      <c r="AP27" s="33"/>
      <c r="AQ27" s="33"/>
      <c r="AR27" s="106"/>
      <c r="AS27" s="33"/>
      <c r="AT27" s="33"/>
      <c r="AU27" s="106"/>
      <c r="AV27" s="106"/>
      <c r="AW27" s="106"/>
      <c r="AX27" s="106"/>
      <c r="AY27" s="33"/>
      <c r="AZ27" s="106"/>
      <c r="BA27" s="33"/>
      <c r="BB27" s="33"/>
      <c r="BC27" s="33"/>
      <c r="BD27" s="33"/>
      <c r="BE27" s="33"/>
    </row>
    <row r="28" spans="1:57" s="13" customFormat="1" ht="15.75" x14ac:dyDescent="0.25">
      <c r="A28" s="5"/>
      <c r="B28" s="6"/>
      <c r="C28" s="6"/>
      <c r="D28" s="6" t="s">
        <v>67</v>
      </c>
      <c r="E28" s="6"/>
      <c r="F28" s="6"/>
      <c r="G28" s="23">
        <v>4818</v>
      </c>
      <c r="H28" s="103"/>
      <c r="I28" s="23">
        <v>22297</v>
      </c>
      <c r="J28" s="24">
        <v>17595</v>
      </c>
      <c r="K28" s="103">
        <v>2258</v>
      </c>
      <c r="L28" s="23">
        <v>5628</v>
      </c>
      <c r="M28" s="24">
        <v>15648</v>
      </c>
      <c r="N28" s="103">
        <v>78350</v>
      </c>
      <c r="O28" s="103">
        <v>11910</v>
      </c>
      <c r="P28" s="103">
        <v>31981</v>
      </c>
      <c r="Q28" s="24"/>
      <c r="R28" s="103"/>
      <c r="S28" s="103">
        <v>42955</v>
      </c>
      <c r="T28" s="24">
        <v>19698</v>
      </c>
      <c r="U28" s="23">
        <v>23765</v>
      </c>
      <c r="V28" s="23">
        <v>15971</v>
      </c>
      <c r="W28" s="103"/>
      <c r="X28" s="23">
        <v>6166</v>
      </c>
      <c r="Y28" s="103">
        <v>246728</v>
      </c>
      <c r="Z28" s="103">
        <v>75003</v>
      </c>
      <c r="AA28" s="23">
        <v>11102</v>
      </c>
      <c r="AB28" s="24">
        <v>13106</v>
      </c>
      <c r="AC28" s="23">
        <v>21214</v>
      </c>
      <c r="AD28" s="24">
        <v>4015</v>
      </c>
      <c r="AE28" s="103">
        <v>161654</v>
      </c>
      <c r="AF28" s="23">
        <v>25012</v>
      </c>
      <c r="AG28" s="23">
        <v>18098</v>
      </c>
      <c r="AH28" s="23">
        <v>16002</v>
      </c>
      <c r="AI28" s="23">
        <v>10723</v>
      </c>
      <c r="AJ28" s="23">
        <v>14180</v>
      </c>
      <c r="AK28" s="23">
        <v>17010</v>
      </c>
      <c r="AL28" s="23">
        <v>13106</v>
      </c>
      <c r="AM28" s="103">
        <v>9332</v>
      </c>
      <c r="AN28" s="23">
        <v>9563</v>
      </c>
      <c r="AO28" s="103"/>
      <c r="AP28" s="23">
        <v>42111</v>
      </c>
      <c r="AQ28" s="23">
        <v>6126</v>
      </c>
      <c r="AR28" s="103">
        <v>16299</v>
      </c>
      <c r="AS28" s="23">
        <v>5199</v>
      </c>
      <c r="AT28" s="23">
        <v>11137</v>
      </c>
      <c r="AU28" s="103">
        <v>15463</v>
      </c>
      <c r="AV28" s="103">
        <v>5407</v>
      </c>
      <c r="AW28" s="103">
        <v>32234</v>
      </c>
      <c r="AX28" s="103">
        <v>41987</v>
      </c>
      <c r="AY28" s="23">
        <v>26538</v>
      </c>
      <c r="AZ28" s="103">
        <v>14587</v>
      </c>
      <c r="BA28" s="23"/>
      <c r="BB28" s="23">
        <v>9604</v>
      </c>
      <c r="BC28" s="23">
        <v>37197</v>
      </c>
      <c r="BD28" s="23">
        <f>(11316784+29840-150000)/1000</f>
        <v>11196.624</v>
      </c>
      <c r="BE28" s="23">
        <v>4834</v>
      </c>
    </row>
    <row r="29" spans="1:57" s="13" customFormat="1" ht="15.75" x14ac:dyDescent="0.25">
      <c r="A29" s="5"/>
      <c r="B29" s="6"/>
      <c r="C29" s="6"/>
      <c r="D29" s="36" t="s">
        <v>51</v>
      </c>
      <c r="E29" s="6"/>
      <c r="F29" s="6"/>
      <c r="G29" s="23"/>
      <c r="H29" s="103"/>
      <c r="I29" s="23"/>
      <c r="J29" s="24"/>
      <c r="K29" s="103"/>
      <c r="L29" s="23">
        <v>488</v>
      </c>
      <c r="M29" s="24">
        <v>50</v>
      </c>
      <c r="N29" s="103"/>
      <c r="O29" s="103"/>
      <c r="P29" s="103">
        <v>187</v>
      </c>
      <c r="Q29" s="24"/>
      <c r="R29" s="103"/>
      <c r="S29" s="103"/>
      <c r="T29" s="24"/>
      <c r="U29" s="23">
        <v>770</v>
      </c>
      <c r="V29" s="23"/>
      <c r="W29" s="103">
        <v>897</v>
      </c>
      <c r="X29" s="23"/>
      <c r="Y29" s="103"/>
      <c r="Z29" s="103"/>
      <c r="AA29" s="23"/>
      <c r="AB29" s="24"/>
      <c r="AC29" s="23"/>
      <c r="AD29" s="24"/>
      <c r="AE29" s="103"/>
      <c r="AF29" s="23"/>
      <c r="AG29" s="23"/>
      <c r="AH29" s="23"/>
      <c r="AI29" s="23"/>
      <c r="AJ29" s="23"/>
      <c r="AK29" s="23"/>
      <c r="AL29" s="23"/>
      <c r="AM29" s="103"/>
      <c r="AN29" s="23">
        <v>1177</v>
      </c>
      <c r="AO29" s="103"/>
      <c r="AP29" s="23"/>
      <c r="AQ29" s="23"/>
      <c r="AR29" s="103">
        <v>717</v>
      </c>
      <c r="AS29" s="23">
        <v>1419</v>
      </c>
      <c r="AT29" s="23"/>
      <c r="AU29" s="103"/>
      <c r="AV29" s="103"/>
      <c r="AW29" s="103"/>
      <c r="AX29" s="103"/>
      <c r="AY29" s="23"/>
      <c r="AZ29" s="103"/>
      <c r="BA29" s="23"/>
      <c r="BB29" s="23"/>
      <c r="BC29" s="23"/>
      <c r="BD29" s="23"/>
      <c r="BE29" s="23"/>
    </row>
    <row r="30" spans="1:57" s="13" customFormat="1" ht="15.75" x14ac:dyDescent="0.25">
      <c r="A30" s="5"/>
      <c r="B30" s="6"/>
      <c r="C30" s="6"/>
      <c r="D30" s="36" t="s">
        <v>55</v>
      </c>
      <c r="E30" s="6"/>
      <c r="F30" s="6"/>
      <c r="G30" s="23"/>
      <c r="H30" s="103"/>
      <c r="I30" s="23"/>
      <c r="J30" s="24"/>
      <c r="K30" s="103">
        <v>452</v>
      </c>
      <c r="L30" s="23">
        <v>484</v>
      </c>
      <c r="M30" s="24">
        <v>552</v>
      </c>
      <c r="N30" s="103"/>
      <c r="O30" s="103"/>
      <c r="P30" s="103">
        <v>2161</v>
      </c>
      <c r="Q30" s="24"/>
      <c r="R30" s="103"/>
      <c r="S30" s="103"/>
      <c r="T30" s="24"/>
      <c r="U30" s="23">
        <v>842</v>
      </c>
      <c r="V30" s="23">
        <v>579</v>
      </c>
      <c r="W30" s="103">
        <v>2137</v>
      </c>
      <c r="X30" s="23"/>
      <c r="Y30" s="103"/>
      <c r="Z30" s="103"/>
      <c r="AA30" s="23"/>
      <c r="AB30" s="24"/>
      <c r="AC30" s="23"/>
      <c r="AD30" s="24">
        <v>440</v>
      </c>
      <c r="AE30" s="103"/>
      <c r="AF30" s="23"/>
      <c r="AG30" s="23"/>
      <c r="AH30" s="23"/>
      <c r="AI30" s="23"/>
      <c r="AJ30" s="23"/>
      <c r="AK30" s="23"/>
      <c r="AL30" s="23"/>
      <c r="AM30" s="103"/>
      <c r="AN30" s="23">
        <v>1352</v>
      </c>
      <c r="AO30" s="103"/>
      <c r="AP30" s="23">
        <v>1287</v>
      </c>
      <c r="AQ30" s="23"/>
      <c r="AR30" s="103">
        <v>850</v>
      </c>
      <c r="AS30" s="23"/>
      <c r="AT30" s="23"/>
      <c r="AU30" s="103"/>
      <c r="AV30" s="103"/>
      <c r="AW30" s="103"/>
      <c r="AX30" s="103"/>
      <c r="AY30" s="23"/>
      <c r="AZ30" s="103"/>
      <c r="BA30" s="23"/>
      <c r="BB30" s="23"/>
      <c r="BC30" s="23"/>
      <c r="BD30" s="23"/>
      <c r="BE30" s="23"/>
    </row>
    <row r="31" spans="1:57" s="13" customFormat="1" ht="15.75" x14ac:dyDescent="0.25">
      <c r="A31" s="5"/>
      <c r="B31" s="6"/>
      <c r="C31" s="6"/>
      <c r="D31" s="36" t="s">
        <v>56</v>
      </c>
      <c r="E31" s="6"/>
      <c r="F31" s="6"/>
      <c r="G31" s="23"/>
      <c r="H31" s="103"/>
      <c r="I31" s="23"/>
      <c r="J31" s="24"/>
      <c r="K31" s="103">
        <v>2337</v>
      </c>
      <c r="L31" s="23"/>
      <c r="M31" s="24"/>
      <c r="N31" s="103"/>
      <c r="O31" s="103"/>
      <c r="P31" s="103">
        <v>909</v>
      </c>
      <c r="Q31" s="24"/>
      <c r="R31" s="103"/>
      <c r="S31" s="103"/>
      <c r="T31" s="24"/>
      <c r="U31" s="23">
        <v>437</v>
      </c>
      <c r="V31" s="23"/>
      <c r="W31" s="103">
        <v>4234</v>
      </c>
      <c r="X31" s="23"/>
      <c r="Y31" s="103"/>
      <c r="Z31" s="103"/>
      <c r="AA31" s="23"/>
      <c r="AB31" s="24"/>
      <c r="AC31" s="23"/>
      <c r="AD31" s="24"/>
      <c r="AE31" s="103"/>
      <c r="AF31" s="23"/>
      <c r="AG31" s="23"/>
      <c r="AH31" s="23"/>
      <c r="AI31" s="23"/>
      <c r="AJ31" s="23"/>
      <c r="AK31" s="23"/>
      <c r="AL31" s="23"/>
      <c r="AM31" s="103"/>
      <c r="AN31" s="23">
        <v>1526</v>
      </c>
      <c r="AO31" s="103"/>
      <c r="AP31" s="23"/>
      <c r="AQ31" s="23"/>
      <c r="AR31" s="103">
        <v>394</v>
      </c>
      <c r="AS31" s="23">
        <v>1204</v>
      </c>
      <c r="AT31" s="23"/>
      <c r="AU31" s="103"/>
      <c r="AV31" s="103"/>
      <c r="AW31" s="103"/>
      <c r="AX31" s="103"/>
      <c r="AY31" s="23"/>
      <c r="AZ31" s="103"/>
      <c r="BA31" s="23"/>
      <c r="BB31" s="23"/>
      <c r="BC31" s="23"/>
      <c r="BD31" s="23"/>
      <c r="BE31" s="23"/>
    </row>
    <row r="32" spans="1:57" s="13" customFormat="1" ht="15.75" x14ac:dyDescent="0.25">
      <c r="A32" s="5"/>
      <c r="B32" s="6"/>
      <c r="C32" s="6"/>
      <c r="D32" s="36" t="s">
        <v>57</v>
      </c>
      <c r="E32" s="6"/>
      <c r="F32" s="6"/>
      <c r="G32" s="23"/>
      <c r="H32" s="103"/>
      <c r="I32" s="23"/>
      <c r="J32" s="24"/>
      <c r="K32" s="103"/>
      <c r="L32" s="23"/>
      <c r="M32" s="24"/>
      <c r="N32" s="103"/>
      <c r="O32" s="103"/>
      <c r="P32" s="103">
        <v>407</v>
      </c>
      <c r="Q32" s="24"/>
      <c r="R32" s="103"/>
      <c r="S32" s="103"/>
      <c r="T32" s="24"/>
      <c r="U32" s="23"/>
      <c r="V32" s="23"/>
      <c r="W32" s="103">
        <v>310</v>
      </c>
      <c r="X32" s="23"/>
      <c r="Y32" s="103"/>
      <c r="Z32" s="103"/>
      <c r="AA32" s="23"/>
      <c r="AB32" s="24"/>
      <c r="AC32" s="23"/>
      <c r="AD32" s="24"/>
      <c r="AE32" s="103"/>
      <c r="AF32" s="23"/>
      <c r="AG32" s="23"/>
      <c r="AH32" s="23"/>
      <c r="AI32" s="23"/>
      <c r="AJ32" s="23"/>
      <c r="AK32" s="23"/>
      <c r="AL32" s="23"/>
      <c r="AM32" s="103"/>
      <c r="AN32" s="23">
        <v>97</v>
      </c>
      <c r="AO32" s="103"/>
      <c r="AP32" s="23"/>
      <c r="AQ32" s="23"/>
      <c r="AR32" s="103">
        <v>832</v>
      </c>
      <c r="AS32" s="23">
        <v>412</v>
      </c>
      <c r="AT32" s="23"/>
      <c r="AU32" s="103"/>
      <c r="AV32" s="103"/>
      <c r="AW32" s="103"/>
      <c r="AX32" s="103"/>
      <c r="AY32" s="23"/>
      <c r="AZ32" s="103"/>
      <c r="BA32" s="23"/>
      <c r="BB32" s="23"/>
      <c r="BC32" s="23"/>
      <c r="BD32" s="23"/>
      <c r="BE32" s="23"/>
    </row>
    <row r="33" spans="1:57" s="13" customFormat="1" ht="15.75" x14ac:dyDescent="0.25">
      <c r="A33" s="5"/>
      <c r="B33" s="6"/>
      <c r="C33" s="6"/>
      <c r="D33" s="36" t="s">
        <v>58</v>
      </c>
      <c r="E33" s="6"/>
      <c r="F33" s="6"/>
      <c r="G33" s="23"/>
      <c r="H33" s="103"/>
      <c r="I33" s="23"/>
      <c r="J33" s="24"/>
      <c r="K33" s="103">
        <v>80</v>
      </c>
      <c r="L33" s="23">
        <v>185</v>
      </c>
      <c r="M33" s="24">
        <v>103</v>
      </c>
      <c r="N33" s="103"/>
      <c r="O33" s="103"/>
      <c r="P33" s="103">
        <v>487</v>
      </c>
      <c r="Q33" s="24"/>
      <c r="R33" s="103"/>
      <c r="S33" s="103"/>
      <c r="T33" s="24"/>
      <c r="U33" s="23">
        <v>288</v>
      </c>
      <c r="V33" s="23">
        <v>817</v>
      </c>
      <c r="W33" s="103">
        <v>851</v>
      </c>
      <c r="X33" s="23"/>
      <c r="Y33" s="103"/>
      <c r="Z33" s="103"/>
      <c r="AA33" s="23"/>
      <c r="AB33" s="24"/>
      <c r="AC33" s="23"/>
      <c r="AD33" s="24">
        <v>208</v>
      </c>
      <c r="AE33" s="103"/>
      <c r="AF33" s="23"/>
      <c r="AG33" s="23"/>
      <c r="AH33" s="23"/>
      <c r="AI33" s="23"/>
      <c r="AJ33" s="23"/>
      <c r="AK33" s="23"/>
      <c r="AL33" s="23"/>
      <c r="AM33" s="103"/>
      <c r="AN33" s="23">
        <v>228</v>
      </c>
      <c r="AO33" s="103"/>
      <c r="AP33" s="23">
        <v>124</v>
      </c>
      <c r="AQ33" s="23"/>
      <c r="AR33" s="103">
        <v>482</v>
      </c>
      <c r="AS33" s="23"/>
      <c r="AT33" s="23"/>
      <c r="AU33" s="103"/>
      <c r="AV33" s="103"/>
      <c r="AW33" s="103"/>
      <c r="AX33" s="103"/>
      <c r="AY33" s="23"/>
      <c r="AZ33" s="103"/>
      <c r="BA33" s="23"/>
      <c r="BB33" s="23"/>
      <c r="BC33" s="23"/>
      <c r="BD33" s="23"/>
      <c r="BE33" s="23"/>
    </row>
    <row r="34" spans="1:57" s="13" customFormat="1" ht="15.75" x14ac:dyDescent="0.25">
      <c r="A34" s="5"/>
      <c r="B34" s="6"/>
      <c r="C34" s="6"/>
      <c r="D34" s="36" t="s">
        <v>59</v>
      </c>
      <c r="E34" s="6"/>
      <c r="F34" s="6"/>
      <c r="G34" s="23"/>
      <c r="H34" s="103"/>
      <c r="I34" s="23"/>
      <c r="J34" s="24"/>
      <c r="K34" s="103">
        <v>44</v>
      </c>
      <c r="L34" s="23">
        <v>-75</v>
      </c>
      <c r="M34" s="24"/>
      <c r="N34" s="103"/>
      <c r="O34" s="103"/>
      <c r="P34" s="103"/>
      <c r="Q34" s="24"/>
      <c r="R34" s="103"/>
      <c r="S34" s="103"/>
      <c r="T34" s="24"/>
      <c r="U34" s="23"/>
      <c r="V34" s="23"/>
      <c r="W34" s="103">
        <v>87</v>
      </c>
      <c r="X34" s="23"/>
      <c r="Y34" s="103"/>
      <c r="Z34" s="103"/>
      <c r="AA34" s="23"/>
      <c r="AB34" s="24"/>
      <c r="AC34" s="23"/>
      <c r="AD34" s="24">
        <v>128</v>
      </c>
      <c r="AE34" s="103"/>
      <c r="AF34" s="23"/>
      <c r="AG34" s="23"/>
      <c r="AH34" s="23"/>
      <c r="AI34" s="23"/>
      <c r="AJ34" s="23"/>
      <c r="AK34" s="23"/>
      <c r="AL34" s="23"/>
      <c r="AM34" s="103"/>
      <c r="AN34" s="23"/>
      <c r="AO34" s="103"/>
      <c r="AP34" s="23">
        <v>170</v>
      </c>
      <c r="AQ34" s="23"/>
      <c r="AR34" s="103"/>
      <c r="AS34" s="23">
        <v>49</v>
      </c>
      <c r="AT34" s="23"/>
      <c r="AU34" s="103"/>
      <c r="AV34" s="103"/>
      <c r="AW34" s="103"/>
      <c r="AX34" s="103"/>
      <c r="AY34" s="23"/>
      <c r="AZ34" s="103"/>
      <c r="BA34" s="23"/>
      <c r="BB34" s="23"/>
      <c r="BC34" s="23"/>
      <c r="BD34" s="23"/>
      <c r="BE34" s="23"/>
    </row>
    <row r="35" spans="1:57" s="13" customFormat="1" ht="15.75" x14ac:dyDescent="0.25">
      <c r="A35" s="5"/>
      <c r="B35" s="6"/>
      <c r="C35" s="6"/>
      <c r="D35" s="36" t="s">
        <v>170</v>
      </c>
      <c r="E35" s="6"/>
      <c r="F35" s="6"/>
      <c r="G35" s="23"/>
      <c r="H35" s="103"/>
      <c r="I35" s="23"/>
      <c r="J35" s="24"/>
      <c r="K35" s="103"/>
      <c r="L35" s="23"/>
      <c r="M35" s="24">
        <v>1995</v>
      </c>
      <c r="N35" s="103"/>
      <c r="O35" s="103"/>
      <c r="P35" s="103">
        <v>702</v>
      </c>
      <c r="Q35" s="24"/>
      <c r="R35" s="103"/>
      <c r="S35" s="103"/>
      <c r="T35" s="24"/>
      <c r="U35" s="23"/>
      <c r="V35" s="23"/>
      <c r="W35" s="103"/>
      <c r="X35" s="23"/>
      <c r="Y35" s="103"/>
      <c r="Z35" s="103"/>
      <c r="AA35" s="23"/>
      <c r="AB35" s="24"/>
      <c r="AC35" s="23"/>
      <c r="AD35" s="24">
        <v>655</v>
      </c>
      <c r="AE35" s="103"/>
      <c r="AF35" s="23"/>
      <c r="AG35" s="23"/>
      <c r="AH35" s="23"/>
      <c r="AI35" s="23"/>
      <c r="AJ35" s="23"/>
      <c r="AK35" s="23"/>
      <c r="AL35" s="23"/>
      <c r="AM35" s="103"/>
      <c r="AN35" s="23"/>
      <c r="AO35" s="103"/>
      <c r="AP35" s="23"/>
      <c r="AQ35" s="23"/>
      <c r="AR35" s="103">
        <v>102</v>
      </c>
      <c r="AS35" s="23"/>
      <c r="AT35" s="23"/>
      <c r="AU35" s="103"/>
      <c r="AV35" s="103"/>
      <c r="AW35" s="103"/>
      <c r="AX35" s="103"/>
      <c r="AY35" s="23"/>
      <c r="AZ35" s="103"/>
      <c r="BA35" s="23"/>
      <c r="BB35" s="23"/>
      <c r="BC35" s="23"/>
      <c r="BD35" s="23"/>
      <c r="BE35" s="23"/>
    </row>
    <row r="36" spans="1:57" s="13" customFormat="1" ht="15.75" x14ac:dyDescent="0.25">
      <c r="A36" s="5"/>
      <c r="B36" s="6"/>
      <c r="C36" s="6"/>
      <c r="D36" s="6" t="s">
        <v>68</v>
      </c>
      <c r="E36" s="6"/>
      <c r="F36" s="6"/>
      <c r="G36" s="23"/>
      <c r="H36" s="103"/>
      <c r="I36" s="23"/>
      <c r="J36" s="24"/>
      <c r="K36" s="103">
        <v>639</v>
      </c>
      <c r="L36" s="23">
        <v>2533</v>
      </c>
      <c r="M36" s="24">
        <v>4522</v>
      </c>
      <c r="N36" s="103"/>
      <c r="O36" s="103"/>
      <c r="P36" s="103">
        <v>15889</v>
      </c>
      <c r="Q36" s="24"/>
      <c r="R36" s="103"/>
      <c r="S36" s="103"/>
      <c r="T36" s="24"/>
      <c r="U36" s="23">
        <v>5112</v>
      </c>
      <c r="V36" s="23">
        <v>220</v>
      </c>
      <c r="W36" s="103">
        <v>2050</v>
      </c>
      <c r="X36" s="23"/>
      <c r="Y36" s="103"/>
      <c r="Z36" s="103"/>
      <c r="AA36" s="23"/>
      <c r="AB36" s="24"/>
      <c r="AC36" s="23"/>
      <c r="AD36" s="24"/>
      <c r="AE36" s="103">
        <v>9076</v>
      </c>
      <c r="AF36" s="23"/>
      <c r="AG36" s="23">
        <v>927</v>
      </c>
      <c r="AH36" s="23"/>
      <c r="AI36" s="23"/>
      <c r="AJ36" s="23"/>
      <c r="AK36" s="23"/>
      <c r="AL36" s="23"/>
      <c r="AM36" s="103"/>
      <c r="AN36" s="23">
        <v>12086</v>
      </c>
      <c r="AO36" s="103"/>
      <c r="AP36" s="23">
        <v>17877</v>
      </c>
      <c r="AQ36" s="23"/>
      <c r="AR36" s="103">
        <v>11471</v>
      </c>
      <c r="AS36" s="23"/>
      <c r="AT36" s="23"/>
      <c r="AU36" s="103"/>
      <c r="AV36" s="103"/>
      <c r="AW36" s="103"/>
      <c r="AX36" s="103">
        <v>1883</v>
      </c>
      <c r="AY36" s="23"/>
      <c r="AZ36" s="103"/>
      <c r="BA36" s="23"/>
      <c r="BB36" s="23"/>
      <c r="BC36" s="23"/>
      <c r="BD36" s="23">
        <f>7228691/1000</f>
        <v>7228.6909999999998</v>
      </c>
      <c r="BE36" s="23"/>
    </row>
    <row r="37" spans="1:57" s="13" customFormat="1" ht="15.75" x14ac:dyDescent="0.25">
      <c r="A37" s="5"/>
      <c r="B37" s="6"/>
      <c r="C37" s="6"/>
      <c r="D37" s="36" t="s">
        <v>60</v>
      </c>
      <c r="E37" s="6"/>
      <c r="F37" s="6"/>
      <c r="G37" s="23"/>
      <c r="H37" s="103"/>
      <c r="I37" s="23"/>
      <c r="J37" s="24"/>
      <c r="K37" s="103"/>
      <c r="L37" s="23"/>
      <c r="M37" s="24"/>
      <c r="N37" s="103"/>
      <c r="O37" s="103"/>
      <c r="P37" s="103">
        <v>586</v>
      </c>
      <c r="Q37" s="24"/>
      <c r="R37" s="103"/>
      <c r="S37" s="103"/>
      <c r="T37" s="24"/>
      <c r="U37" s="23"/>
      <c r="V37" s="23"/>
      <c r="W37" s="103">
        <v>92</v>
      </c>
      <c r="X37" s="23"/>
      <c r="Y37" s="103"/>
      <c r="Z37" s="103"/>
      <c r="AA37" s="23"/>
      <c r="AB37" s="24"/>
      <c r="AC37" s="23"/>
      <c r="AD37" s="24"/>
      <c r="AE37" s="103"/>
      <c r="AF37" s="23"/>
      <c r="AG37" s="23"/>
      <c r="AH37" s="23"/>
      <c r="AI37" s="23">
        <v>4</v>
      </c>
      <c r="AJ37" s="23"/>
      <c r="AK37" s="23"/>
      <c r="AL37" s="23"/>
      <c r="AM37" s="103"/>
      <c r="AN37" s="23">
        <v>53</v>
      </c>
      <c r="AO37" s="103"/>
      <c r="AP37" s="23"/>
      <c r="AQ37" s="23"/>
      <c r="AR37" s="103">
        <v>51</v>
      </c>
      <c r="AS37" s="23">
        <v>35</v>
      </c>
      <c r="AT37" s="23"/>
      <c r="AU37" s="103"/>
      <c r="AV37" s="103"/>
      <c r="AW37" s="103"/>
      <c r="AX37" s="103"/>
      <c r="AY37" s="23"/>
      <c r="AZ37" s="103"/>
      <c r="BA37" s="23"/>
      <c r="BB37" s="23"/>
      <c r="BC37" s="23"/>
      <c r="BD37" s="23"/>
      <c r="BE37" s="23"/>
    </row>
    <row r="38" spans="1:57" s="13" customFormat="1" ht="15.75" x14ac:dyDescent="0.25">
      <c r="A38" s="5"/>
      <c r="B38" s="6"/>
      <c r="C38" s="6"/>
      <c r="D38" s="36" t="s">
        <v>62</v>
      </c>
      <c r="E38" s="6"/>
      <c r="F38" s="6"/>
      <c r="G38" s="23"/>
      <c r="H38" s="103"/>
      <c r="I38" s="23"/>
      <c r="J38" s="24"/>
      <c r="K38" s="103"/>
      <c r="L38" s="23"/>
      <c r="M38" s="24">
        <v>12</v>
      </c>
      <c r="N38" s="103"/>
      <c r="O38" s="103"/>
      <c r="P38" s="103">
        <v>35</v>
      </c>
      <c r="Q38" s="24"/>
      <c r="R38" s="103"/>
      <c r="S38" s="103"/>
      <c r="T38" s="24"/>
      <c r="U38" s="23">
        <v>132</v>
      </c>
      <c r="V38" s="23"/>
      <c r="W38" s="103">
        <v>88</v>
      </c>
      <c r="X38" s="23"/>
      <c r="Y38" s="103"/>
      <c r="Z38" s="103"/>
      <c r="AA38" s="23"/>
      <c r="AB38" s="24"/>
      <c r="AC38" s="23"/>
      <c r="AD38" s="24"/>
      <c r="AE38" s="103"/>
      <c r="AF38" s="23"/>
      <c r="AG38" s="23"/>
      <c r="AH38" s="23"/>
      <c r="AI38" s="23"/>
      <c r="AJ38" s="23"/>
      <c r="AK38" s="23"/>
      <c r="AL38" s="23"/>
      <c r="AM38" s="103"/>
      <c r="AN38" s="23"/>
      <c r="AO38" s="103"/>
      <c r="AP38" s="23"/>
      <c r="AQ38" s="23"/>
      <c r="AR38" s="103">
        <v>65</v>
      </c>
      <c r="AS38" s="23">
        <v>399</v>
      </c>
      <c r="AT38" s="23"/>
      <c r="AU38" s="103"/>
      <c r="AV38" s="103"/>
      <c r="AW38" s="103"/>
      <c r="AX38" s="103"/>
      <c r="AY38" s="23"/>
      <c r="AZ38" s="103"/>
      <c r="BA38" s="23"/>
      <c r="BB38" s="23"/>
      <c r="BC38" s="23"/>
      <c r="BD38" s="23"/>
      <c r="BE38" s="23"/>
    </row>
    <row r="39" spans="1:57" s="13" customFormat="1" ht="15.75" x14ac:dyDescent="0.25">
      <c r="A39" s="5"/>
      <c r="B39" s="6"/>
      <c r="C39" s="6"/>
      <c r="D39" s="36" t="s">
        <v>61</v>
      </c>
      <c r="E39" s="6"/>
      <c r="F39" s="6"/>
      <c r="G39" s="23"/>
      <c r="H39" s="103"/>
      <c r="I39" s="23"/>
      <c r="J39" s="24"/>
      <c r="K39" s="103">
        <v>1091</v>
      </c>
      <c r="L39" s="23">
        <v>1398</v>
      </c>
      <c r="M39" s="24">
        <v>175</v>
      </c>
      <c r="N39" s="103"/>
      <c r="O39" s="103"/>
      <c r="P39" s="103">
        <v>616</v>
      </c>
      <c r="Q39" s="24"/>
      <c r="R39" s="103"/>
      <c r="S39" s="103"/>
      <c r="T39" s="24"/>
      <c r="U39" s="23">
        <v>397</v>
      </c>
      <c r="V39" s="23">
        <v>96</v>
      </c>
      <c r="W39" s="103">
        <v>2723</v>
      </c>
      <c r="X39" s="23"/>
      <c r="Y39" s="103"/>
      <c r="Z39" s="103"/>
      <c r="AA39" s="23"/>
      <c r="AB39" s="24"/>
      <c r="AC39" s="23"/>
      <c r="AD39" s="24">
        <v>273</v>
      </c>
      <c r="AE39" s="103"/>
      <c r="AF39" s="23">
        <v>1</v>
      </c>
      <c r="AG39" s="23">
        <v>248</v>
      </c>
      <c r="AH39" s="23"/>
      <c r="AI39" s="23"/>
      <c r="AJ39" s="23"/>
      <c r="AK39" s="23"/>
      <c r="AL39" s="23"/>
      <c r="AM39" s="103"/>
      <c r="AN39" s="23">
        <v>446</v>
      </c>
      <c r="AO39" s="103"/>
      <c r="AP39" s="23">
        <v>1087</v>
      </c>
      <c r="AQ39" s="23"/>
      <c r="AR39" s="103">
        <v>328</v>
      </c>
      <c r="AS39" s="23">
        <v>6026</v>
      </c>
      <c r="AT39" s="23"/>
      <c r="AU39" s="103"/>
      <c r="AV39" s="103"/>
      <c r="AW39" s="103"/>
      <c r="AX39" s="103"/>
      <c r="AY39" s="23"/>
      <c r="AZ39" s="103"/>
      <c r="BA39" s="23"/>
      <c r="BB39" s="23"/>
      <c r="BC39" s="23"/>
      <c r="BD39" s="23"/>
      <c r="BE39" s="23"/>
    </row>
    <row r="40" spans="1:57" s="13" customFormat="1" ht="15.75" x14ac:dyDescent="0.25">
      <c r="A40" s="5"/>
      <c r="B40" s="6"/>
      <c r="C40" s="6"/>
      <c r="D40" s="6"/>
      <c r="E40" s="6"/>
      <c r="F40" s="6"/>
      <c r="G40" s="39">
        <f t="shared" ref="G40:BC40" si="5">SUM(G28:G39)</f>
        <v>4818</v>
      </c>
      <c r="H40" s="107">
        <f t="shared" si="5"/>
        <v>0</v>
      </c>
      <c r="I40" s="39">
        <f t="shared" si="5"/>
        <v>22297</v>
      </c>
      <c r="J40" s="40">
        <f t="shared" si="5"/>
        <v>17595</v>
      </c>
      <c r="K40" s="107">
        <f t="shared" si="5"/>
        <v>6901</v>
      </c>
      <c r="L40" s="39">
        <f t="shared" si="5"/>
        <v>10641</v>
      </c>
      <c r="M40" s="40">
        <f t="shared" si="5"/>
        <v>23057</v>
      </c>
      <c r="N40" s="107">
        <f t="shared" si="5"/>
        <v>78350</v>
      </c>
      <c r="O40" s="107">
        <f t="shared" si="5"/>
        <v>11910</v>
      </c>
      <c r="P40" s="107">
        <f t="shared" si="5"/>
        <v>53960</v>
      </c>
      <c r="Q40" s="40">
        <f t="shared" si="5"/>
        <v>0</v>
      </c>
      <c r="R40" s="107">
        <f t="shared" si="5"/>
        <v>0</v>
      </c>
      <c r="S40" s="107">
        <f t="shared" si="5"/>
        <v>42955</v>
      </c>
      <c r="T40" s="40">
        <f t="shared" si="5"/>
        <v>19698</v>
      </c>
      <c r="U40" s="39">
        <f t="shared" si="5"/>
        <v>31743</v>
      </c>
      <c r="V40" s="39">
        <f t="shared" si="5"/>
        <v>17683</v>
      </c>
      <c r="W40" s="107">
        <f t="shared" si="5"/>
        <v>13469</v>
      </c>
      <c r="X40" s="39">
        <f t="shared" si="5"/>
        <v>6166</v>
      </c>
      <c r="Y40" s="107">
        <f t="shared" si="5"/>
        <v>246728</v>
      </c>
      <c r="Z40" s="107">
        <f t="shared" si="5"/>
        <v>75003</v>
      </c>
      <c r="AA40" s="39">
        <f t="shared" si="5"/>
        <v>11102</v>
      </c>
      <c r="AB40" s="40">
        <f t="shared" si="5"/>
        <v>13106</v>
      </c>
      <c r="AC40" s="39">
        <f t="shared" si="5"/>
        <v>21214</v>
      </c>
      <c r="AD40" s="40">
        <f t="shared" si="5"/>
        <v>5719</v>
      </c>
      <c r="AE40" s="107">
        <f t="shared" si="5"/>
        <v>170730</v>
      </c>
      <c r="AF40" s="39">
        <f t="shared" si="5"/>
        <v>25013</v>
      </c>
      <c r="AG40" s="39">
        <f t="shared" si="5"/>
        <v>19273</v>
      </c>
      <c r="AH40" s="39">
        <f t="shared" si="5"/>
        <v>16002</v>
      </c>
      <c r="AI40" s="39">
        <f t="shared" si="5"/>
        <v>10727</v>
      </c>
      <c r="AJ40" s="39">
        <f t="shared" si="5"/>
        <v>14180</v>
      </c>
      <c r="AK40" s="39">
        <f t="shared" si="5"/>
        <v>17010</v>
      </c>
      <c r="AL40" s="39">
        <f t="shared" si="5"/>
        <v>13106</v>
      </c>
      <c r="AM40" s="107">
        <f t="shared" si="5"/>
        <v>9332</v>
      </c>
      <c r="AN40" s="39">
        <f t="shared" si="5"/>
        <v>26528</v>
      </c>
      <c r="AO40" s="107">
        <f t="shared" si="5"/>
        <v>0</v>
      </c>
      <c r="AP40" s="39">
        <f t="shared" si="5"/>
        <v>62656</v>
      </c>
      <c r="AQ40" s="39">
        <f t="shared" si="5"/>
        <v>6126</v>
      </c>
      <c r="AR40" s="107">
        <f t="shared" si="5"/>
        <v>31591</v>
      </c>
      <c r="AS40" s="39">
        <f t="shared" si="5"/>
        <v>14743</v>
      </c>
      <c r="AT40" s="39">
        <f t="shared" si="5"/>
        <v>11137</v>
      </c>
      <c r="AU40" s="107">
        <f t="shared" si="5"/>
        <v>15463</v>
      </c>
      <c r="AV40" s="107">
        <f t="shared" si="5"/>
        <v>5407</v>
      </c>
      <c r="AW40" s="107">
        <f t="shared" si="5"/>
        <v>32234</v>
      </c>
      <c r="AX40" s="107">
        <f t="shared" si="5"/>
        <v>43870</v>
      </c>
      <c r="AY40" s="39">
        <f t="shared" si="5"/>
        <v>26538</v>
      </c>
      <c r="AZ40" s="107">
        <f t="shared" si="5"/>
        <v>14587</v>
      </c>
      <c r="BA40" s="39">
        <f t="shared" si="5"/>
        <v>0</v>
      </c>
      <c r="BB40" s="39">
        <f t="shared" si="5"/>
        <v>9604</v>
      </c>
      <c r="BC40" s="39">
        <f t="shared" si="5"/>
        <v>37197</v>
      </c>
      <c r="BD40" s="39">
        <f>SUM(BD28:BD39)</f>
        <v>18425.314999999999</v>
      </c>
      <c r="BE40" s="39">
        <f t="shared" ref="BE40" si="6">SUM(BE28:BE39)</f>
        <v>4834</v>
      </c>
    </row>
    <row r="41" spans="1:57" s="13" customFormat="1" ht="15.75" x14ac:dyDescent="0.25">
      <c r="A41" s="5"/>
      <c r="B41" s="6"/>
      <c r="C41" s="6"/>
      <c r="D41" s="6"/>
      <c r="E41" s="6"/>
      <c r="F41" s="6"/>
      <c r="G41" s="45"/>
      <c r="H41" s="109"/>
      <c r="I41" s="45"/>
      <c r="J41" s="46"/>
      <c r="K41" s="109"/>
      <c r="L41" s="45"/>
      <c r="M41" s="46"/>
      <c r="N41" s="109"/>
      <c r="O41" s="109"/>
      <c r="P41" s="109"/>
      <c r="Q41" s="46"/>
      <c r="R41" s="109"/>
      <c r="S41" s="109"/>
      <c r="T41" s="46"/>
      <c r="U41" s="45"/>
      <c r="V41" s="45"/>
      <c r="W41" s="109"/>
      <c r="X41" s="45"/>
      <c r="Y41" s="109"/>
      <c r="Z41" s="109"/>
      <c r="AA41" s="45"/>
      <c r="AB41" s="46"/>
      <c r="AC41" s="45"/>
      <c r="AD41" s="46"/>
      <c r="AE41" s="109"/>
      <c r="AF41" s="45"/>
      <c r="AG41" s="45"/>
      <c r="AH41" s="45"/>
      <c r="AI41" s="45"/>
      <c r="AJ41" s="45"/>
      <c r="AK41" s="45"/>
      <c r="AL41" s="45"/>
      <c r="AM41" s="109"/>
      <c r="AN41" s="45"/>
      <c r="AO41" s="109"/>
      <c r="AP41" s="45"/>
      <c r="AQ41" s="45"/>
      <c r="AR41" s="109"/>
      <c r="AS41" s="45"/>
      <c r="AT41" s="45"/>
      <c r="AU41" s="109"/>
      <c r="AV41" s="109"/>
      <c r="AW41" s="109"/>
      <c r="AX41" s="109"/>
      <c r="AY41" s="45"/>
      <c r="AZ41" s="109"/>
      <c r="BA41" s="45"/>
      <c r="BB41" s="45"/>
      <c r="BC41" s="45"/>
      <c r="BD41" s="45"/>
      <c r="BE41" s="45"/>
    </row>
    <row r="42" spans="1:57" s="13" customFormat="1" ht="15.75" x14ac:dyDescent="0.25">
      <c r="A42" s="5"/>
      <c r="B42" s="6"/>
      <c r="C42" s="6"/>
      <c r="D42" s="6"/>
      <c r="E42" s="6"/>
      <c r="F42" s="6"/>
      <c r="G42" s="33"/>
      <c r="H42" s="106"/>
      <c r="I42" s="33"/>
      <c r="J42" s="34"/>
      <c r="K42" s="106"/>
      <c r="L42" s="33"/>
      <c r="M42" s="34"/>
      <c r="N42" s="106"/>
      <c r="O42" s="106"/>
      <c r="P42" s="106"/>
      <c r="Q42" s="34"/>
      <c r="R42" s="106"/>
      <c r="S42" s="106"/>
      <c r="T42" s="34"/>
      <c r="U42" s="33"/>
      <c r="V42" s="33"/>
      <c r="W42" s="106"/>
      <c r="X42" s="33"/>
      <c r="Y42" s="106"/>
      <c r="Z42" s="106"/>
      <c r="AA42" s="33"/>
      <c r="AB42" s="34"/>
      <c r="AC42" s="33"/>
      <c r="AD42" s="34"/>
      <c r="AE42" s="106"/>
      <c r="AF42" s="33"/>
      <c r="AG42" s="33"/>
      <c r="AH42" s="33"/>
      <c r="AI42" s="33"/>
      <c r="AJ42" s="33"/>
      <c r="AK42" s="33"/>
      <c r="AL42" s="33"/>
      <c r="AM42" s="106"/>
      <c r="AN42" s="33"/>
      <c r="AO42" s="106"/>
      <c r="AP42" s="33"/>
      <c r="AQ42" s="33"/>
      <c r="AR42" s="106"/>
      <c r="AS42" s="33"/>
      <c r="AT42" s="33"/>
      <c r="AU42" s="106"/>
      <c r="AV42" s="106"/>
      <c r="AW42" s="106"/>
      <c r="AX42" s="106"/>
      <c r="AY42" s="33"/>
      <c r="AZ42" s="106"/>
      <c r="BA42" s="33"/>
      <c r="BB42" s="33"/>
      <c r="BC42" s="33"/>
      <c r="BD42" s="33"/>
      <c r="BE42" s="33"/>
    </row>
    <row r="43" spans="1:57" s="13" customFormat="1" ht="16.5" hidden="1" customHeight="1" thickBot="1" x14ac:dyDescent="0.3">
      <c r="A43" s="5"/>
      <c r="B43" s="6"/>
      <c r="C43" s="6"/>
      <c r="D43" s="6" t="s">
        <v>69</v>
      </c>
      <c r="E43" s="6"/>
      <c r="F43" s="6"/>
      <c r="G43" s="48">
        <f t="shared" ref="G43:S43" si="7">G9-G25-G40</f>
        <v>-8028</v>
      </c>
      <c r="H43" s="110">
        <f t="shared" si="7"/>
        <v>-21811</v>
      </c>
      <c r="I43" s="48">
        <f t="shared" si="7"/>
        <v>-31413</v>
      </c>
      <c r="J43" s="49">
        <f t="shared" si="7"/>
        <v>-24782</v>
      </c>
      <c r="K43" s="110">
        <f t="shared" si="7"/>
        <v>-9384</v>
      </c>
      <c r="L43" s="48">
        <f t="shared" si="7"/>
        <v>-12467</v>
      </c>
      <c r="M43" s="49">
        <f t="shared" si="7"/>
        <v>-31312</v>
      </c>
      <c r="N43" s="110">
        <f t="shared" si="7"/>
        <v>-99143</v>
      </c>
      <c r="O43" s="110">
        <f t="shared" si="7"/>
        <v>-17023</v>
      </c>
      <c r="P43" s="110">
        <f t="shared" si="7"/>
        <v>-70342</v>
      </c>
      <c r="Q43" s="49">
        <f t="shared" si="7"/>
        <v>-24270</v>
      </c>
      <c r="R43" s="110">
        <f t="shared" si="7"/>
        <v>-73262</v>
      </c>
      <c r="S43" s="110">
        <f t="shared" si="7"/>
        <v>-51028</v>
      </c>
      <c r="T43" s="49">
        <f>T9-T25-T40</f>
        <v>-26503</v>
      </c>
      <c r="U43" s="48">
        <f>U9-U25-U40</f>
        <v>-41394</v>
      </c>
      <c r="V43" s="48"/>
      <c r="W43" s="110"/>
      <c r="X43" s="48"/>
      <c r="Y43" s="110"/>
      <c r="Z43" s="110"/>
      <c r="AA43" s="48"/>
      <c r="AB43" s="49"/>
      <c r="AC43" s="48"/>
      <c r="AD43" s="49"/>
      <c r="AE43" s="110"/>
      <c r="AF43" s="48"/>
      <c r="AG43" s="48"/>
      <c r="AH43" s="48"/>
      <c r="AI43" s="48"/>
      <c r="AJ43" s="48"/>
      <c r="AK43" s="48"/>
      <c r="AL43" s="48"/>
      <c r="AM43" s="110"/>
      <c r="AN43" s="48"/>
      <c r="AO43" s="110"/>
      <c r="AP43" s="48"/>
      <c r="AQ43" s="48"/>
      <c r="AR43" s="110"/>
      <c r="AS43" s="48"/>
      <c r="AT43" s="48"/>
      <c r="AU43" s="110"/>
      <c r="AV43" s="110"/>
      <c r="AW43" s="110"/>
      <c r="AX43" s="110"/>
      <c r="AY43" s="48"/>
      <c r="AZ43" s="110"/>
      <c r="BA43" s="48"/>
      <c r="BB43" s="48"/>
      <c r="BC43" s="48"/>
      <c r="BD43" s="48"/>
      <c r="BE43" s="48"/>
    </row>
    <row r="44" spans="1:57" s="13" customFormat="1" ht="15.75" x14ac:dyDescent="0.25">
      <c r="A44" s="5"/>
      <c r="B44" s="6"/>
      <c r="C44" s="6"/>
      <c r="D44" s="6"/>
      <c r="E44" s="6"/>
      <c r="F44" s="6"/>
      <c r="G44" s="51"/>
      <c r="H44" s="111"/>
      <c r="I44" s="51"/>
      <c r="J44" s="52"/>
      <c r="K44" s="111"/>
      <c r="L44" s="51"/>
      <c r="M44" s="52"/>
      <c r="N44" s="111"/>
      <c r="O44" s="111"/>
      <c r="P44" s="111"/>
      <c r="Q44" s="52"/>
      <c r="R44" s="111"/>
      <c r="S44" s="111"/>
      <c r="T44" s="52"/>
      <c r="U44" s="51"/>
      <c r="V44" s="51"/>
      <c r="W44" s="111"/>
      <c r="X44" s="51"/>
      <c r="Y44" s="111"/>
      <c r="Z44" s="111"/>
      <c r="AA44" s="51"/>
      <c r="AB44" s="52"/>
      <c r="AC44" s="51"/>
      <c r="AD44" s="52"/>
      <c r="AE44" s="111"/>
      <c r="AF44" s="51"/>
      <c r="AG44" s="51"/>
      <c r="AH44" s="51"/>
      <c r="AI44" s="51"/>
      <c r="AJ44" s="51"/>
      <c r="AK44" s="51"/>
      <c r="AL44" s="51"/>
      <c r="AM44" s="111"/>
      <c r="AN44" s="51"/>
      <c r="AO44" s="111"/>
      <c r="AP44" s="51"/>
      <c r="AQ44" s="51"/>
      <c r="AR44" s="111"/>
      <c r="AS44" s="51"/>
      <c r="AT44" s="51"/>
      <c r="AU44" s="111"/>
      <c r="AV44" s="111"/>
      <c r="AW44" s="111"/>
      <c r="AX44" s="111"/>
      <c r="AY44" s="51"/>
      <c r="AZ44" s="111"/>
      <c r="BA44" s="51"/>
      <c r="BB44" s="51"/>
      <c r="BC44" s="51"/>
      <c r="BD44" s="51"/>
      <c r="BE44" s="51"/>
    </row>
    <row r="45" spans="1:57" s="13" customFormat="1" ht="15.75" x14ac:dyDescent="0.25">
      <c r="A45" s="5"/>
      <c r="B45" s="6"/>
      <c r="C45" s="6"/>
      <c r="D45" s="6"/>
      <c r="E45" s="6"/>
      <c r="F45" s="6"/>
      <c r="G45" s="6"/>
      <c r="H45" s="102"/>
      <c r="I45" s="6"/>
      <c r="J45" s="10"/>
      <c r="K45" s="102"/>
      <c r="L45" s="6"/>
      <c r="M45" s="10"/>
      <c r="N45" s="102"/>
      <c r="O45" s="102"/>
      <c r="P45" s="102"/>
      <c r="Q45" s="10"/>
      <c r="R45" s="102"/>
      <c r="S45" s="102"/>
      <c r="T45" s="10"/>
      <c r="U45" s="6"/>
      <c r="V45" s="6"/>
      <c r="W45" s="102"/>
      <c r="X45" s="6"/>
      <c r="Y45" s="102"/>
      <c r="Z45" s="102"/>
      <c r="AA45" s="6"/>
      <c r="AB45" s="10"/>
      <c r="AC45" s="6"/>
      <c r="AD45" s="10"/>
      <c r="AE45" s="102"/>
      <c r="AF45" s="6"/>
      <c r="AG45" s="6"/>
      <c r="AH45" s="6"/>
      <c r="AI45" s="6"/>
      <c r="AJ45" s="6"/>
      <c r="AK45" s="6"/>
      <c r="AL45" s="6"/>
      <c r="AM45" s="102"/>
      <c r="AN45" s="6"/>
      <c r="AO45" s="102"/>
      <c r="AP45" s="6"/>
      <c r="AQ45" s="6"/>
      <c r="AR45" s="102"/>
      <c r="AS45" s="6"/>
      <c r="AT45" s="6"/>
      <c r="AU45" s="102"/>
      <c r="AV45" s="102"/>
      <c r="AW45" s="102"/>
      <c r="AX45" s="102"/>
      <c r="AY45" s="6"/>
      <c r="AZ45" s="102"/>
      <c r="BA45" s="6"/>
      <c r="BB45" s="6"/>
      <c r="BC45" s="6"/>
      <c r="BD45" s="6"/>
      <c r="BE45" s="6"/>
    </row>
    <row r="46" spans="1:57" s="13" customFormat="1" ht="18" x14ac:dyDescent="0.4">
      <c r="A46" s="20" t="s">
        <v>70</v>
      </c>
      <c r="B46" s="33"/>
      <c r="C46" s="54" t="s">
        <v>71</v>
      </c>
      <c r="D46" s="6"/>
      <c r="E46" s="6"/>
      <c r="F46" s="6"/>
      <c r="G46" s="6"/>
      <c r="H46" s="102"/>
      <c r="I46" s="6"/>
      <c r="J46" s="10"/>
      <c r="K46" s="102"/>
      <c r="L46" s="6"/>
      <c r="M46" s="10"/>
      <c r="N46" s="102"/>
      <c r="O46" s="102"/>
      <c r="P46" s="102"/>
      <c r="Q46" s="10"/>
      <c r="R46" s="102"/>
      <c r="S46" s="102"/>
      <c r="T46" s="10"/>
      <c r="U46" s="6"/>
      <c r="V46" s="6"/>
      <c r="W46" s="102"/>
      <c r="X46" s="6"/>
      <c r="Y46" s="102"/>
      <c r="Z46" s="102"/>
      <c r="AA46" s="6"/>
      <c r="AB46" s="10"/>
      <c r="AC46" s="6"/>
      <c r="AD46" s="10"/>
      <c r="AE46" s="102"/>
      <c r="AF46" s="6"/>
      <c r="AG46" s="6"/>
      <c r="AH46" s="6"/>
      <c r="AI46" s="6"/>
      <c r="AJ46" s="6"/>
      <c r="AK46" s="6"/>
      <c r="AL46" s="6"/>
      <c r="AM46" s="102"/>
      <c r="AN46" s="6"/>
      <c r="AO46" s="102"/>
      <c r="AP46" s="6"/>
      <c r="AQ46" s="6"/>
      <c r="AR46" s="102"/>
      <c r="AS46" s="6"/>
      <c r="AT46" s="6"/>
      <c r="AU46" s="102"/>
      <c r="AV46" s="102"/>
      <c r="AW46" s="102"/>
      <c r="AX46" s="102"/>
      <c r="AY46" s="6"/>
      <c r="AZ46" s="102"/>
      <c r="BA46" s="6"/>
      <c r="BB46" s="6"/>
      <c r="BC46" s="6"/>
      <c r="BD46" s="6"/>
      <c r="BE46" s="6"/>
    </row>
    <row r="47" spans="1:57" s="13" customFormat="1" ht="15.75" x14ac:dyDescent="0.25">
      <c r="A47" s="5"/>
      <c r="B47" s="6"/>
      <c r="C47" s="6"/>
      <c r="D47" s="6"/>
      <c r="E47" s="6"/>
      <c r="F47" s="6"/>
      <c r="G47" s="6"/>
      <c r="H47" s="102"/>
      <c r="I47" s="6"/>
      <c r="J47" s="10"/>
      <c r="K47" s="102"/>
      <c r="L47" s="6"/>
      <c r="M47" s="10"/>
      <c r="N47" s="102"/>
      <c r="O47" s="102"/>
      <c r="P47" s="102"/>
      <c r="Q47" s="10"/>
      <c r="R47" s="102"/>
      <c r="S47" s="102"/>
      <c r="T47" s="10"/>
      <c r="U47" s="6"/>
      <c r="V47" s="6"/>
      <c r="W47" s="102"/>
      <c r="X47" s="6"/>
      <c r="Y47" s="102"/>
      <c r="Z47" s="102"/>
      <c r="AA47" s="6"/>
      <c r="AB47" s="10"/>
      <c r="AC47" s="6"/>
      <c r="AD47" s="10"/>
      <c r="AE47" s="102"/>
      <c r="AF47" s="6"/>
      <c r="AG47" s="6"/>
      <c r="AH47" s="6"/>
      <c r="AI47" s="6"/>
      <c r="AJ47" s="6"/>
      <c r="AK47" s="6"/>
      <c r="AL47" s="6"/>
      <c r="AM47" s="102"/>
      <c r="AN47" s="6"/>
      <c r="AO47" s="102"/>
      <c r="AP47" s="6"/>
      <c r="AQ47" s="6"/>
      <c r="AR47" s="102"/>
      <c r="AS47" s="6"/>
      <c r="AT47" s="6"/>
      <c r="AU47" s="102"/>
      <c r="AV47" s="102"/>
      <c r="AW47" s="102"/>
      <c r="AX47" s="102"/>
      <c r="AY47" s="6"/>
      <c r="AZ47" s="102"/>
      <c r="BA47" s="6"/>
      <c r="BB47" s="6"/>
      <c r="BC47" s="6"/>
      <c r="BD47" s="6"/>
      <c r="BE47" s="6"/>
    </row>
    <row r="48" spans="1:57" s="13" customFormat="1" ht="15.75" hidden="1" customHeight="1" x14ac:dyDescent="0.25">
      <c r="A48" s="5"/>
      <c r="B48" s="6"/>
      <c r="C48" s="16" t="s">
        <v>72</v>
      </c>
      <c r="D48" s="6"/>
      <c r="E48" s="6"/>
      <c r="F48" s="6"/>
      <c r="G48" s="155" t="s">
        <v>73</v>
      </c>
      <c r="H48" s="155"/>
      <c r="I48" s="155"/>
      <c r="J48" s="55"/>
      <c r="K48" s="114"/>
      <c r="M48" s="55"/>
      <c r="N48" s="114"/>
      <c r="O48" s="114"/>
      <c r="P48" s="114"/>
      <c r="Q48" s="55"/>
      <c r="R48" s="114"/>
      <c r="S48" s="114"/>
      <c r="T48" s="55"/>
      <c r="W48" s="114"/>
      <c r="Y48" s="114"/>
      <c r="Z48" s="114"/>
      <c r="AB48" s="55"/>
      <c r="AD48" s="55"/>
      <c r="AE48" s="114"/>
      <c r="AM48" s="114"/>
      <c r="AO48" s="114"/>
      <c r="AR48" s="114"/>
      <c r="AU48" s="114"/>
      <c r="AV48" s="114"/>
      <c r="AW48" s="114"/>
      <c r="AX48" s="114"/>
      <c r="AZ48" s="114"/>
    </row>
    <row r="49" spans="1:57" s="13" customFormat="1" ht="16.5" hidden="1" customHeight="1" thickBot="1" x14ac:dyDescent="0.3">
      <c r="A49" s="5"/>
      <c r="B49" s="6"/>
      <c r="C49" s="32" t="s">
        <v>74</v>
      </c>
      <c r="D49" s="16" t="s">
        <v>45</v>
      </c>
      <c r="E49" s="6"/>
      <c r="F49" s="6"/>
      <c r="G49" s="17">
        <v>2010</v>
      </c>
      <c r="H49" s="101">
        <v>0</v>
      </c>
      <c r="I49" s="17">
        <v>0</v>
      </c>
      <c r="J49" s="18">
        <v>0</v>
      </c>
      <c r="K49" s="101">
        <v>0</v>
      </c>
      <c r="L49" s="17">
        <v>0</v>
      </c>
      <c r="M49" s="18">
        <v>0</v>
      </c>
      <c r="N49" s="101">
        <v>0</v>
      </c>
      <c r="O49" s="101">
        <v>0</v>
      </c>
      <c r="P49" s="101">
        <v>0</v>
      </c>
      <c r="Q49" s="18">
        <v>0</v>
      </c>
      <c r="R49" s="101">
        <v>0</v>
      </c>
      <c r="S49" s="101">
        <v>0</v>
      </c>
      <c r="T49" s="18">
        <v>0</v>
      </c>
      <c r="U49" s="17"/>
      <c r="V49" s="17"/>
      <c r="W49" s="101"/>
      <c r="X49" s="17"/>
      <c r="Y49" s="101"/>
      <c r="Z49" s="101"/>
      <c r="AA49" s="17"/>
      <c r="AB49" s="18"/>
      <c r="AC49" s="17"/>
      <c r="AD49" s="18"/>
      <c r="AE49" s="101"/>
      <c r="AF49" s="17"/>
      <c r="AG49" s="17"/>
      <c r="AH49" s="17"/>
      <c r="AI49" s="17"/>
      <c r="AJ49" s="17"/>
      <c r="AK49" s="17"/>
      <c r="AL49" s="17"/>
      <c r="AM49" s="101"/>
      <c r="AN49" s="17"/>
      <c r="AO49" s="101"/>
      <c r="AP49" s="17"/>
      <c r="AQ49" s="17"/>
      <c r="AR49" s="101"/>
      <c r="AS49" s="17"/>
      <c r="AT49" s="17"/>
      <c r="AU49" s="101"/>
      <c r="AV49" s="101"/>
      <c r="AW49" s="101"/>
      <c r="AX49" s="101"/>
      <c r="AY49" s="17"/>
      <c r="AZ49" s="101"/>
      <c r="BA49" s="17"/>
      <c r="BB49" s="17"/>
      <c r="BC49" s="17"/>
      <c r="BD49" s="17"/>
      <c r="BE49" s="17"/>
    </row>
    <row r="50" spans="1:57" s="13" customFormat="1" ht="15.75" hidden="1" customHeight="1" x14ac:dyDescent="0.25">
      <c r="A50" s="5"/>
      <c r="B50" s="6"/>
      <c r="C50" s="6"/>
      <c r="D50" s="6" t="s">
        <v>75</v>
      </c>
      <c r="E50" s="6"/>
      <c r="F50" s="6"/>
      <c r="G50" s="23"/>
      <c r="H50" s="103"/>
      <c r="I50" s="23"/>
      <c r="J50" s="24"/>
      <c r="K50" s="103"/>
      <c r="L50" s="23"/>
      <c r="M50" s="24"/>
      <c r="N50" s="103"/>
      <c r="O50" s="103"/>
      <c r="P50" s="103"/>
      <c r="Q50" s="24"/>
      <c r="R50" s="103"/>
      <c r="S50" s="103"/>
      <c r="T50" s="24"/>
      <c r="U50" s="23"/>
      <c r="V50" s="23"/>
      <c r="W50" s="103"/>
      <c r="X50" s="23"/>
      <c r="Y50" s="103"/>
      <c r="Z50" s="103"/>
      <c r="AA50" s="23"/>
      <c r="AB50" s="24"/>
      <c r="AC50" s="23"/>
      <c r="AD50" s="24"/>
      <c r="AE50" s="103"/>
      <c r="AF50" s="23"/>
      <c r="AG50" s="23"/>
      <c r="AH50" s="23"/>
      <c r="AI50" s="23"/>
      <c r="AJ50" s="23"/>
      <c r="AK50" s="23"/>
      <c r="AL50" s="23"/>
      <c r="AM50" s="103"/>
      <c r="AN50" s="23"/>
      <c r="AO50" s="103"/>
      <c r="AP50" s="23"/>
      <c r="AQ50" s="23"/>
      <c r="AR50" s="103"/>
      <c r="AS50" s="23"/>
      <c r="AT50" s="23"/>
      <c r="AU50" s="103"/>
      <c r="AV50" s="103"/>
      <c r="AW50" s="103"/>
      <c r="AX50" s="103"/>
      <c r="AY50" s="23"/>
      <c r="AZ50" s="103"/>
      <c r="BA50" s="23"/>
      <c r="BB50" s="23"/>
      <c r="BC50" s="23"/>
      <c r="BD50" s="23"/>
      <c r="BE50" s="23"/>
    </row>
    <row r="51" spans="1:57" s="13" customFormat="1" ht="15.75" hidden="1" customHeight="1" x14ac:dyDescent="0.25">
      <c r="A51" s="5"/>
      <c r="B51" s="6"/>
      <c r="C51" s="6"/>
      <c r="D51" s="6" t="s">
        <v>76</v>
      </c>
      <c r="E51" s="6"/>
      <c r="F51" s="6"/>
      <c r="G51" s="23"/>
      <c r="H51" s="103"/>
      <c r="I51" s="23"/>
      <c r="J51" s="24"/>
      <c r="K51" s="103"/>
      <c r="L51" s="23"/>
      <c r="M51" s="24"/>
      <c r="N51" s="103"/>
      <c r="O51" s="103"/>
      <c r="P51" s="103"/>
      <c r="Q51" s="24"/>
      <c r="R51" s="103"/>
      <c r="S51" s="103"/>
      <c r="T51" s="24"/>
      <c r="U51" s="23"/>
      <c r="V51" s="23"/>
      <c r="W51" s="103"/>
      <c r="X51" s="23"/>
      <c r="Y51" s="103"/>
      <c r="Z51" s="103"/>
      <c r="AA51" s="23"/>
      <c r="AB51" s="24"/>
      <c r="AC51" s="23"/>
      <c r="AD51" s="24"/>
      <c r="AE51" s="103"/>
      <c r="AF51" s="23"/>
      <c r="AG51" s="23"/>
      <c r="AH51" s="23"/>
      <c r="AI51" s="23"/>
      <c r="AJ51" s="23"/>
      <c r="AK51" s="23"/>
      <c r="AL51" s="23"/>
      <c r="AM51" s="103"/>
      <c r="AN51" s="23"/>
      <c r="AO51" s="103"/>
      <c r="AP51" s="23"/>
      <c r="AQ51" s="23"/>
      <c r="AR51" s="103"/>
      <c r="AS51" s="23"/>
      <c r="AT51" s="23"/>
      <c r="AU51" s="103"/>
      <c r="AV51" s="103"/>
      <c r="AW51" s="103"/>
      <c r="AX51" s="103"/>
      <c r="AY51" s="23"/>
      <c r="AZ51" s="103"/>
      <c r="BA51" s="23"/>
      <c r="BB51" s="23"/>
      <c r="BC51" s="23"/>
      <c r="BD51" s="23"/>
      <c r="BE51" s="23"/>
    </row>
    <row r="52" spans="1:57" s="13" customFormat="1" ht="15.75" hidden="1" customHeight="1" x14ac:dyDescent="0.25">
      <c r="A52" s="5"/>
      <c r="B52" s="6"/>
      <c r="C52" s="6"/>
      <c r="D52" s="6" t="s">
        <v>77</v>
      </c>
      <c r="E52" s="6"/>
      <c r="F52" s="6"/>
      <c r="G52" s="26"/>
      <c r="H52" s="104"/>
      <c r="I52" s="26"/>
      <c r="J52" s="27"/>
      <c r="K52" s="104"/>
      <c r="L52" s="26"/>
      <c r="M52" s="27"/>
      <c r="N52" s="104"/>
      <c r="O52" s="104"/>
      <c r="P52" s="104"/>
      <c r="Q52" s="27"/>
      <c r="R52" s="104"/>
      <c r="S52" s="104"/>
      <c r="T52" s="27"/>
      <c r="U52" s="26"/>
      <c r="V52" s="26"/>
      <c r="W52" s="104"/>
      <c r="X52" s="26"/>
      <c r="Y52" s="104"/>
      <c r="Z52" s="104"/>
      <c r="AA52" s="26"/>
      <c r="AB52" s="27"/>
      <c r="AC52" s="26"/>
      <c r="AD52" s="27"/>
      <c r="AE52" s="104"/>
      <c r="AF52" s="26"/>
      <c r="AG52" s="26"/>
      <c r="AH52" s="26"/>
      <c r="AI52" s="26"/>
      <c r="AJ52" s="26"/>
      <c r="AK52" s="26"/>
      <c r="AL52" s="26"/>
      <c r="AM52" s="104"/>
      <c r="AN52" s="26"/>
      <c r="AO52" s="104"/>
      <c r="AP52" s="26"/>
      <c r="AQ52" s="26"/>
      <c r="AR52" s="104"/>
      <c r="AS52" s="26"/>
      <c r="AT52" s="26"/>
      <c r="AU52" s="104"/>
      <c r="AV52" s="104"/>
      <c r="AW52" s="104"/>
      <c r="AX52" s="104"/>
      <c r="AY52" s="26"/>
      <c r="AZ52" s="104"/>
      <c r="BA52" s="26"/>
      <c r="BB52" s="26"/>
      <c r="BC52" s="26"/>
      <c r="BD52" s="26"/>
      <c r="BE52" s="26"/>
    </row>
    <row r="53" spans="1:57" s="13" customFormat="1" ht="15.75" hidden="1" customHeight="1" x14ac:dyDescent="0.25">
      <c r="A53" s="5"/>
      <c r="B53" s="6"/>
      <c r="C53" s="6"/>
      <c r="D53" s="6"/>
      <c r="E53" s="6"/>
      <c r="F53" s="6"/>
      <c r="G53" s="29">
        <f>SUM(G50:G52)</f>
        <v>0</v>
      </c>
      <c r="H53" s="105">
        <f t="shared" ref="H53:T53" si="8">SUM(H50:H52)</f>
        <v>0</v>
      </c>
      <c r="I53" s="29">
        <f t="shared" si="8"/>
        <v>0</v>
      </c>
      <c r="J53" s="30">
        <f t="shared" si="8"/>
        <v>0</v>
      </c>
      <c r="K53" s="105">
        <f t="shared" si="8"/>
        <v>0</v>
      </c>
      <c r="L53" s="29">
        <f t="shared" si="8"/>
        <v>0</v>
      </c>
      <c r="M53" s="30">
        <f t="shared" si="8"/>
        <v>0</v>
      </c>
      <c r="N53" s="105">
        <f t="shared" si="8"/>
        <v>0</v>
      </c>
      <c r="O53" s="105">
        <f t="shared" si="8"/>
        <v>0</v>
      </c>
      <c r="P53" s="105">
        <f t="shared" si="8"/>
        <v>0</v>
      </c>
      <c r="Q53" s="30">
        <f t="shared" si="8"/>
        <v>0</v>
      </c>
      <c r="R53" s="105">
        <f t="shared" si="8"/>
        <v>0</v>
      </c>
      <c r="S53" s="105">
        <f t="shared" si="8"/>
        <v>0</v>
      </c>
      <c r="T53" s="30">
        <f t="shared" si="8"/>
        <v>0</v>
      </c>
      <c r="U53" s="29"/>
      <c r="V53" s="29"/>
      <c r="W53" s="105"/>
      <c r="X53" s="29"/>
      <c r="Y53" s="105"/>
      <c r="Z53" s="105"/>
      <c r="AA53" s="29"/>
      <c r="AB53" s="30"/>
      <c r="AC53" s="29"/>
      <c r="AD53" s="30"/>
      <c r="AE53" s="105"/>
      <c r="AF53" s="29"/>
      <c r="AG53" s="29"/>
      <c r="AH53" s="29"/>
      <c r="AI53" s="29"/>
      <c r="AJ53" s="29"/>
      <c r="AK53" s="29"/>
      <c r="AL53" s="29"/>
      <c r="AM53" s="105"/>
      <c r="AN53" s="29"/>
      <c r="AO53" s="105"/>
      <c r="AP53" s="29"/>
      <c r="AQ53" s="29"/>
      <c r="AR53" s="105"/>
      <c r="AS53" s="29"/>
      <c r="AT53" s="29"/>
      <c r="AU53" s="105"/>
      <c r="AV53" s="105"/>
      <c r="AW53" s="105"/>
      <c r="AX53" s="105"/>
      <c r="AY53" s="29"/>
      <c r="AZ53" s="105"/>
      <c r="BA53" s="29"/>
      <c r="BB53" s="29"/>
      <c r="BC53" s="29"/>
      <c r="BD53" s="29"/>
      <c r="BE53" s="29"/>
    </row>
    <row r="54" spans="1:57" s="13" customFormat="1" ht="15.75" x14ac:dyDescent="0.25">
      <c r="A54" s="5"/>
      <c r="B54" s="6"/>
      <c r="C54" s="32" t="s">
        <v>78</v>
      </c>
      <c r="D54" s="16" t="s">
        <v>79</v>
      </c>
      <c r="E54" s="6"/>
      <c r="F54" s="6"/>
      <c r="G54" s="33"/>
      <c r="H54" s="106"/>
      <c r="I54" s="33"/>
      <c r="J54" s="34"/>
      <c r="K54" s="106"/>
      <c r="L54" s="33"/>
      <c r="M54" s="34"/>
      <c r="N54" s="106"/>
      <c r="O54" s="106"/>
      <c r="P54" s="106"/>
      <c r="Q54" s="34"/>
      <c r="R54" s="106"/>
      <c r="S54" s="106"/>
      <c r="T54" s="34"/>
      <c r="U54" s="33"/>
      <c r="V54" s="33"/>
      <c r="W54" s="106"/>
      <c r="X54" s="33"/>
      <c r="Y54" s="106"/>
      <c r="Z54" s="106"/>
      <c r="AA54" s="33"/>
      <c r="AB54" s="34"/>
      <c r="AC54" s="33"/>
      <c r="AD54" s="34"/>
      <c r="AE54" s="106"/>
      <c r="AF54" s="33"/>
      <c r="AG54" s="33"/>
      <c r="AH54" s="33"/>
      <c r="AI54" s="33"/>
      <c r="AJ54" s="33"/>
      <c r="AK54" s="33"/>
      <c r="AL54" s="33"/>
      <c r="AM54" s="106"/>
      <c r="AN54" s="33"/>
      <c r="AO54" s="106"/>
      <c r="AP54" s="33"/>
      <c r="AQ54" s="33"/>
      <c r="AR54" s="106"/>
      <c r="AS54" s="33"/>
      <c r="AT54" s="33"/>
      <c r="AU54" s="106"/>
      <c r="AV54" s="106"/>
      <c r="AW54" s="106"/>
      <c r="AX54" s="106"/>
      <c r="AY54" s="33"/>
      <c r="AZ54" s="106"/>
      <c r="BA54" s="33"/>
      <c r="BB54" s="33"/>
      <c r="BC54" s="33"/>
      <c r="BD54" s="33"/>
      <c r="BE54" s="33"/>
    </row>
    <row r="55" spans="1:57" s="13" customFormat="1" ht="15.75" x14ac:dyDescent="0.25">
      <c r="A55" s="5"/>
      <c r="B55" s="6"/>
      <c r="C55" s="32"/>
      <c r="D55" s="16" t="s">
        <v>169</v>
      </c>
      <c r="E55" s="6"/>
      <c r="F55" s="6"/>
      <c r="G55" s="33"/>
      <c r="H55" s="106"/>
      <c r="I55" s="33"/>
      <c r="J55" s="34"/>
      <c r="K55" s="106"/>
      <c r="L55" s="33"/>
      <c r="M55" s="34"/>
      <c r="N55" s="106"/>
      <c r="O55" s="106"/>
      <c r="P55" s="106"/>
      <c r="Q55" s="34"/>
      <c r="R55" s="106"/>
      <c r="S55" s="106"/>
      <c r="T55" s="34"/>
      <c r="U55" s="33"/>
      <c r="V55" s="33"/>
      <c r="W55" s="106"/>
      <c r="X55" s="33"/>
      <c r="Y55" s="106"/>
      <c r="Z55" s="106"/>
      <c r="AA55" s="33"/>
      <c r="AB55" s="34"/>
      <c r="AC55" s="33"/>
      <c r="AD55" s="34"/>
      <c r="AE55" s="106"/>
      <c r="AF55" s="33"/>
      <c r="AG55" s="33"/>
      <c r="AH55" s="33"/>
      <c r="AI55" s="33"/>
      <c r="AJ55" s="33"/>
      <c r="AK55" s="33"/>
      <c r="AL55" s="33"/>
      <c r="AM55" s="106"/>
      <c r="AN55" s="33"/>
      <c r="AO55" s="106"/>
      <c r="AP55" s="33"/>
      <c r="AQ55" s="33"/>
      <c r="AR55" s="106"/>
      <c r="AS55" s="33"/>
      <c r="AT55" s="33"/>
      <c r="AU55" s="106"/>
      <c r="AV55" s="106"/>
      <c r="AW55" s="106"/>
      <c r="AX55" s="106"/>
      <c r="AY55" s="33"/>
      <c r="AZ55" s="106"/>
      <c r="BA55" s="33"/>
      <c r="BB55" s="33"/>
      <c r="BC55" s="33"/>
      <c r="BD55" s="33"/>
      <c r="BE55" s="33"/>
    </row>
    <row r="56" spans="1:57" s="13" customFormat="1" ht="15.75" x14ac:dyDescent="0.25">
      <c r="A56" s="5"/>
      <c r="B56" s="6"/>
      <c r="C56" s="6"/>
      <c r="D56" s="6" t="s">
        <v>51</v>
      </c>
      <c r="E56" s="6"/>
      <c r="F56" s="6"/>
      <c r="G56" s="23">
        <v>656</v>
      </c>
      <c r="H56" s="103"/>
      <c r="I56" s="23"/>
      <c r="J56" s="24">
        <v>226</v>
      </c>
      <c r="K56" s="103">
        <v>603</v>
      </c>
      <c r="L56" s="23">
        <v>49</v>
      </c>
      <c r="M56" s="24">
        <v>1115</v>
      </c>
      <c r="N56" s="103">
        <v>1162</v>
      </c>
      <c r="O56" s="103">
        <v>354</v>
      </c>
      <c r="P56" s="103">
        <v>3111</v>
      </c>
      <c r="Q56" s="24">
        <v>321</v>
      </c>
      <c r="R56" s="103">
        <v>540</v>
      </c>
      <c r="S56" s="103">
        <v>596</v>
      </c>
      <c r="T56" s="24">
        <v>566</v>
      </c>
      <c r="U56" s="23">
        <v>1137</v>
      </c>
      <c r="V56" s="23">
        <v>266</v>
      </c>
      <c r="W56" s="103">
        <v>285</v>
      </c>
      <c r="X56" s="23">
        <v>26</v>
      </c>
      <c r="Y56" s="103">
        <v>19174</v>
      </c>
      <c r="Z56" s="103">
        <v>3863</v>
      </c>
      <c r="AA56" s="23">
        <v>445</v>
      </c>
      <c r="AB56" s="23">
        <v>439</v>
      </c>
      <c r="AC56" s="23">
        <v>570</v>
      </c>
      <c r="AD56" s="24">
        <v>132</v>
      </c>
      <c r="AE56" s="103">
        <v>8523</v>
      </c>
      <c r="AF56" s="23"/>
      <c r="AG56" s="23">
        <v>189</v>
      </c>
      <c r="AH56" s="23">
        <v>568</v>
      </c>
      <c r="AI56" s="23"/>
      <c r="AJ56" s="23">
        <v>244</v>
      </c>
      <c r="AK56" s="23">
        <v>1075</v>
      </c>
      <c r="AL56" s="23">
        <v>439</v>
      </c>
      <c r="AM56" s="103">
        <v>297</v>
      </c>
      <c r="AN56" s="23">
        <v>1208</v>
      </c>
      <c r="AO56" s="103">
        <v>140</v>
      </c>
      <c r="AP56" s="23">
        <v>2325</v>
      </c>
      <c r="AQ56" s="23">
        <v>1224</v>
      </c>
      <c r="AR56" s="103">
        <v>1022</v>
      </c>
      <c r="AS56" s="23">
        <v>787</v>
      </c>
      <c r="AT56" s="23">
        <v>999</v>
      </c>
      <c r="AU56" s="103"/>
      <c r="AV56" s="103"/>
      <c r="AW56" s="103">
        <v>502</v>
      </c>
      <c r="AX56" s="103">
        <v>1227</v>
      </c>
      <c r="AY56" s="23">
        <v>575</v>
      </c>
      <c r="AZ56" s="103"/>
      <c r="BA56" s="23">
        <v>659</v>
      </c>
      <c r="BB56" s="23">
        <v>432</v>
      </c>
      <c r="BC56" s="23">
        <v>2639</v>
      </c>
      <c r="BD56" s="23">
        <f>186057/1000</f>
        <v>186.05699999999999</v>
      </c>
      <c r="BE56" s="23">
        <v>1010</v>
      </c>
    </row>
    <row r="57" spans="1:57" s="13" customFormat="1" ht="15.75" x14ac:dyDescent="0.25">
      <c r="A57" s="5"/>
      <c r="B57" s="6"/>
      <c r="C57" s="6"/>
      <c r="D57" s="6" t="s">
        <v>80</v>
      </c>
      <c r="E57" s="14"/>
      <c r="F57" s="14"/>
      <c r="G57" s="23">
        <v>58</v>
      </c>
      <c r="H57" s="103"/>
      <c r="I57" s="23"/>
      <c r="J57" s="24">
        <v>256</v>
      </c>
      <c r="K57" s="103"/>
      <c r="L57" s="23"/>
      <c r="M57" s="24">
        <v>79</v>
      </c>
      <c r="N57" s="103">
        <v>1169</v>
      </c>
      <c r="O57" s="103">
        <v>96</v>
      </c>
      <c r="P57" s="103">
        <v>777</v>
      </c>
      <c r="Q57" s="24">
        <v>497</v>
      </c>
      <c r="R57" s="103">
        <v>104</v>
      </c>
      <c r="S57" s="103">
        <v>844</v>
      </c>
      <c r="T57" s="24">
        <v>142</v>
      </c>
      <c r="U57" s="23">
        <v>339</v>
      </c>
      <c r="V57" s="23">
        <v>194</v>
      </c>
      <c r="W57" s="103">
        <v>313</v>
      </c>
      <c r="X57" s="23">
        <v>204</v>
      </c>
      <c r="Y57" s="103">
        <v>219</v>
      </c>
      <c r="Z57" s="103">
        <v>486</v>
      </c>
      <c r="AA57" s="23">
        <v>164</v>
      </c>
      <c r="AB57" s="23">
        <v>253</v>
      </c>
      <c r="AC57" s="23">
        <v>1137</v>
      </c>
      <c r="AD57" s="24"/>
      <c r="AE57" s="103">
        <v>819</v>
      </c>
      <c r="AF57" s="23">
        <v>148</v>
      </c>
      <c r="AG57" s="23">
        <v>316</v>
      </c>
      <c r="AH57" s="23">
        <v>146</v>
      </c>
      <c r="AI57" s="23">
        <v>241</v>
      </c>
      <c r="AJ57" s="23">
        <v>3</v>
      </c>
      <c r="AK57" s="23">
        <v>228</v>
      </c>
      <c r="AL57" s="23">
        <v>253</v>
      </c>
      <c r="AM57" s="103"/>
      <c r="AN57" s="23">
        <v>560</v>
      </c>
      <c r="AO57" s="103"/>
      <c r="AP57" s="23"/>
      <c r="AQ57" s="23">
        <v>70</v>
      </c>
      <c r="AR57" s="103"/>
      <c r="AS57" s="23">
        <v>302</v>
      </c>
      <c r="AT57" s="23"/>
      <c r="AU57" s="103"/>
      <c r="AV57" s="103"/>
      <c r="AW57" s="103">
        <v>897</v>
      </c>
      <c r="AX57" s="103">
        <v>1007</v>
      </c>
      <c r="AY57" s="23"/>
      <c r="AZ57" s="103">
        <v>200</v>
      </c>
      <c r="BA57" s="23">
        <v>184</v>
      </c>
      <c r="BB57" s="23">
        <v>653</v>
      </c>
      <c r="BC57" s="23">
        <v>625</v>
      </c>
      <c r="BD57" s="23">
        <f>414068/1000</f>
        <v>414.06799999999998</v>
      </c>
      <c r="BE57" s="23">
        <v>235</v>
      </c>
    </row>
    <row r="58" spans="1:57" s="13" customFormat="1" ht="15.75" x14ac:dyDescent="0.25">
      <c r="A58" s="5"/>
      <c r="B58" s="6"/>
      <c r="C58" s="6"/>
      <c r="D58" s="6" t="s">
        <v>56</v>
      </c>
      <c r="E58" s="14"/>
      <c r="F58" s="14"/>
      <c r="G58" s="23"/>
      <c r="H58" s="103">
        <v>3625</v>
      </c>
      <c r="I58" s="23"/>
      <c r="J58" s="24">
        <v>52</v>
      </c>
      <c r="K58" s="103">
        <v>337</v>
      </c>
      <c r="L58" s="23"/>
      <c r="M58" s="24"/>
      <c r="N58" s="103"/>
      <c r="O58" s="103">
        <v>550</v>
      </c>
      <c r="P58" s="103">
        <v>2531</v>
      </c>
      <c r="Q58" s="24">
        <v>74</v>
      </c>
      <c r="R58" s="103">
        <v>6255</v>
      </c>
      <c r="S58" s="103">
        <v>3920</v>
      </c>
      <c r="T58" s="24">
        <v>1199</v>
      </c>
      <c r="U58" s="23">
        <v>107</v>
      </c>
      <c r="V58" s="23"/>
      <c r="W58" s="103">
        <v>790</v>
      </c>
      <c r="X58" s="23"/>
      <c r="Y58" s="103">
        <v>20931</v>
      </c>
      <c r="Z58" s="103">
        <v>6096</v>
      </c>
      <c r="AA58" s="23"/>
      <c r="AB58" s="23">
        <v>1835</v>
      </c>
      <c r="AC58" s="23">
        <v>4252</v>
      </c>
      <c r="AD58" s="24"/>
      <c r="AE58" s="103">
        <f>65780-+(41699*1.08)</f>
        <v>20745.079999999994</v>
      </c>
      <c r="AF58" s="23">
        <v>2515</v>
      </c>
      <c r="AG58" s="23"/>
      <c r="AH58" s="23">
        <v>1786</v>
      </c>
      <c r="AI58" s="23">
        <v>1464</v>
      </c>
      <c r="AJ58" s="23">
        <f>2342+237</f>
        <v>2579</v>
      </c>
      <c r="AK58" s="23">
        <v>3327</v>
      </c>
      <c r="AL58" s="23">
        <v>1835</v>
      </c>
      <c r="AM58" s="103">
        <v>70</v>
      </c>
      <c r="AN58" s="23">
        <v>2917</v>
      </c>
      <c r="AO58" s="103">
        <v>408</v>
      </c>
      <c r="AP58" s="23">
        <v>4224</v>
      </c>
      <c r="AQ58" s="23"/>
      <c r="AR58" s="103">
        <v>3153</v>
      </c>
      <c r="AS58" s="23">
        <v>661</v>
      </c>
      <c r="AT58" s="23">
        <v>27</v>
      </c>
      <c r="AU58" s="103"/>
      <c r="AV58" s="103"/>
      <c r="AW58" s="103">
        <v>2457</v>
      </c>
      <c r="AX58" s="103">
        <f>13741-5000</f>
        <v>8741</v>
      </c>
      <c r="AY58" s="23"/>
      <c r="AZ58" s="103">
        <v>476</v>
      </c>
      <c r="BA58" s="23">
        <v>166</v>
      </c>
      <c r="BB58" s="23"/>
      <c r="BC58" s="23"/>
      <c r="BD58" s="23">
        <f>168000/1000</f>
        <v>168</v>
      </c>
      <c r="BE58" s="23"/>
    </row>
    <row r="59" spans="1:57" s="13" customFormat="1" ht="15.75" x14ac:dyDescent="0.25">
      <c r="A59" s="5"/>
      <c r="B59" s="6"/>
      <c r="C59" s="6"/>
      <c r="D59" s="6" t="s">
        <v>57</v>
      </c>
      <c r="E59" s="14"/>
      <c r="F59" s="14"/>
      <c r="G59" s="23"/>
      <c r="H59" s="103"/>
      <c r="I59" s="23"/>
      <c r="J59" s="24"/>
      <c r="K59" s="103"/>
      <c r="L59" s="23"/>
      <c r="M59" s="24"/>
      <c r="N59" s="103"/>
      <c r="O59" s="103">
        <v>30</v>
      </c>
      <c r="P59" s="103">
        <v>832</v>
      </c>
      <c r="Q59" s="24"/>
      <c r="R59" s="103"/>
      <c r="S59" s="103"/>
      <c r="T59" s="24"/>
      <c r="U59" s="23"/>
      <c r="V59" s="23"/>
      <c r="W59" s="103"/>
      <c r="X59" s="23"/>
      <c r="Y59" s="103">
        <v>1787</v>
      </c>
      <c r="Z59" s="103"/>
      <c r="AA59" s="23"/>
      <c r="AB59" s="23"/>
      <c r="AC59" s="23"/>
      <c r="AD59" s="24"/>
      <c r="AE59" s="103">
        <v>887</v>
      </c>
      <c r="AF59" s="23"/>
      <c r="AG59" s="23"/>
      <c r="AH59" s="23">
        <v>2</v>
      </c>
      <c r="AI59" s="23"/>
      <c r="AJ59" s="23"/>
      <c r="AK59" s="23">
        <v>43</v>
      </c>
      <c r="AL59" s="23"/>
      <c r="AM59" s="103"/>
      <c r="AN59" s="23">
        <v>1</v>
      </c>
      <c r="AO59" s="103"/>
      <c r="AP59" s="23"/>
      <c r="AQ59" s="23"/>
      <c r="AR59" s="103"/>
      <c r="AS59" s="23">
        <v>64</v>
      </c>
      <c r="AT59" s="23"/>
      <c r="AU59" s="103"/>
      <c r="AV59" s="103"/>
      <c r="AW59" s="103"/>
      <c r="AX59" s="103"/>
      <c r="AY59" s="23"/>
      <c r="AZ59" s="103"/>
      <c r="BA59" s="23"/>
      <c r="BB59" s="23"/>
      <c r="BC59" s="23"/>
      <c r="BD59" s="23">
        <f>163704/1000</f>
        <v>163.70400000000001</v>
      </c>
      <c r="BE59" s="23">
        <v>1</v>
      </c>
    </row>
    <row r="60" spans="1:57" s="13" customFormat="1" ht="15.75" x14ac:dyDescent="0.25">
      <c r="A60" s="5"/>
      <c r="B60" s="6"/>
      <c r="C60" s="6"/>
      <c r="D60" s="6" t="s">
        <v>58</v>
      </c>
      <c r="E60" s="14"/>
      <c r="F60" s="14"/>
      <c r="G60" s="23">
        <v>104</v>
      </c>
      <c r="H60" s="103"/>
      <c r="I60" s="23"/>
      <c r="J60" s="24">
        <v>64</v>
      </c>
      <c r="K60" s="103">
        <v>20</v>
      </c>
      <c r="L60" s="23"/>
      <c r="M60" s="24">
        <v>81</v>
      </c>
      <c r="N60" s="103">
        <v>154</v>
      </c>
      <c r="O60" s="103">
        <v>91</v>
      </c>
      <c r="P60" s="103">
        <v>476</v>
      </c>
      <c r="Q60" s="24">
        <v>134</v>
      </c>
      <c r="R60" s="103"/>
      <c r="S60" s="103">
        <v>241</v>
      </c>
      <c r="T60" s="24">
        <v>1208</v>
      </c>
      <c r="U60" s="23">
        <v>303</v>
      </c>
      <c r="V60" s="23">
        <v>391</v>
      </c>
      <c r="W60" s="103">
        <v>785</v>
      </c>
      <c r="X60" s="23">
        <v>240</v>
      </c>
      <c r="Y60" s="103">
        <v>339</v>
      </c>
      <c r="Z60" s="103">
        <v>195</v>
      </c>
      <c r="AA60" s="23">
        <v>25</v>
      </c>
      <c r="AB60" s="23">
        <v>57</v>
      </c>
      <c r="AC60" s="23"/>
      <c r="AD60" s="24"/>
      <c r="AE60" s="103">
        <v>1019</v>
      </c>
      <c r="AF60" s="23"/>
      <c r="AG60" s="23"/>
      <c r="AH60" s="23"/>
      <c r="AI60" s="23">
        <v>34</v>
      </c>
      <c r="AJ60" s="23">
        <v>4</v>
      </c>
      <c r="AK60" s="23">
        <v>1306</v>
      </c>
      <c r="AL60" s="23">
        <v>57</v>
      </c>
      <c r="AM60" s="103">
        <v>3</v>
      </c>
      <c r="AN60" s="23">
        <v>295</v>
      </c>
      <c r="AO60" s="103">
        <v>74</v>
      </c>
      <c r="AP60" s="23"/>
      <c r="AQ60" s="23">
        <v>106</v>
      </c>
      <c r="AR60" s="103"/>
      <c r="AS60" s="23">
        <v>93</v>
      </c>
      <c r="AT60" s="23"/>
      <c r="AU60" s="103"/>
      <c r="AV60" s="103"/>
      <c r="AW60" s="103">
        <v>790</v>
      </c>
      <c r="AX60" s="103">
        <v>381</v>
      </c>
      <c r="AY60" s="23"/>
      <c r="AZ60" s="103"/>
      <c r="BA60" s="23">
        <v>63</v>
      </c>
      <c r="BB60" s="23">
        <v>121</v>
      </c>
      <c r="BC60" s="23">
        <v>404</v>
      </c>
      <c r="BD60" s="23"/>
      <c r="BE60" s="23">
        <v>3225</v>
      </c>
    </row>
    <row r="61" spans="1:57" s="13" customFormat="1" ht="15.75" x14ac:dyDescent="0.25">
      <c r="A61" s="5"/>
      <c r="B61" s="6"/>
      <c r="C61" s="6"/>
      <c r="D61" s="6" t="s">
        <v>59</v>
      </c>
      <c r="E61" s="14"/>
      <c r="F61" s="14"/>
      <c r="G61" s="23"/>
      <c r="H61" s="103"/>
      <c r="I61" s="23"/>
      <c r="J61" s="24"/>
      <c r="K61" s="103">
        <v>140</v>
      </c>
      <c r="L61" s="23"/>
      <c r="M61" s="24"/>
      <c r="N61" s="103">
        <v>98</v>
      </c>
      <c r="O61" s="103">
        <v>42</v>
      </c>
      <c r="P61" s="103"/>
      <c r="Q61" s="24">
        <v>65</v>
      </c>
      <c r="R61" s="103"/>
      <c r="S61" s="103">
        <v>201</v>
      </c>
      <c r="T61" s="24"/>
      <c r="U61" s="23">
        <v>229</v>
      </c>
      <c r="V61" s="23">
        <v>121</v>
      </c>
      <c r="W61" s="103">
        <v>58</v>
      </c>
      <c r="X61" s="23">
        <v>106</v>
      </c>
      <c r="Y61" s="103">
        <v>995</v>
      </c>
      <c r="Z61" s="103"/>
      <c r="AA61" s="23">
        <v>50</v>
      </c>
      <c r="AB61" s="23"/>
      <c r="AC61" s="23"/>
      <c r="AD61" s="24"/>
      <c r="AE61" s="103"/>
      <c r="AF61" s="23"/>
      <c r="AG61" s="23"/>
      <c r="AH61" s="23"/>
      <c r="AI61" s="23">
        <v>68</v>
      </c>
      <c r="AJ61" s="23"/>
      <c r="AK61" s="23">
        <v>100</v>
      </c>
      <c r="AL61" s="23"/>
      <c r="AM61" s="103"/>
      <c r="AN61" s="23"/>
      <c r="AO61" s="103">
        <v>136</v>
      </c>
      <c r="AP61" s="23">
        <v>140</v>
      </c>
      <c r="AQ61" s="23">
        <v>109</v>
      </c>
      <c r="AR61" s="103">
        <v>37</v>
      </c>
      <c r="AS61" s="23">
        <v>79</v>
      </c>
      <c r="AT61" s="23"/>
      <c r="AU61" s="103"/>
      <c r="AV61" s="103"/>
      <c r="AW61" s="103">
        <v>196</v>
      </c>
      <c r="AX61" s="103">
        <v>361</v>
      </c>
      <c r="AY61" s="23"/>
      <c r="AZ61" s="103"/>
      <c r="BA61" s="23">
        <v>49</v>
      </c>
      <c r="BB61" s="23">
        <v>67</v>
      </c>
      <c r="BC61" s="23">
        <v>85</v>
      </c>
      <c r="BD61" s="23"/>
      <c r="BE61" s="23">
        <v>18</v>
      </c>
    </row>
    <row r="62" spans="1:57" s="13" customFormat="1" ht="15.75" x14ac:dyDescent="0.25">
      <c r="A62" s="5"/>
      <c r="B62" s="6"/>
      <c r="C62" s="6"/>
      <c r="D62" s="6" t="s">
        <v>62</v>
      </c>
      <c r="E62" s="14"/>
      <c r="F62" s="14"/>
      <c r="G62" s="23">
        <v>93</v>
      </c>
      <c r="H62" s="103"/>
      <c r="I62" s="23"/>
      <c r="J62" s="24">
        <v>90</v>
      </c>
      <c r="K62" s="103">
        <v>50</v>
      </c>
      <c r="L62" s="23">
        <v>57</v>
      </c>
      <c r="M62" s="24">
        <v>212</v>
      </c>
      <c r="N62" s="103">
        <v>214</v>
      </c>
      <c r="O62" s="103">
        <v>107</v>
      </c>
      <c r="P62" s="103">
        <v>538</v>
      </c>
      <c r="Q62" s="24"/>
      <c r="R62" s="103">
        <v>152</v>
      </c>
      <c r="S62" s="103">
        <v>164</v>
      </c>
      <c r="T62" s="24">
        <v>69</v>
      </c>
      <c r="U62" s="23">
        <v>158</v>
      </c>
      <c r="V62" s="23">
        <v>64</v>
      </c>
      <c r="W62" s="103"/>
      <c r="X62" s="23">
        <v>38</v>
      </c>
      <c r="Y62" s="103"/>
      <c r="Z62" s="103">
        <v>460</v>
      </c>
      <c r="AA62" s="23">
        <v>44</v>
      </c>
      <c r="AB62" s="23">
        <v>102</v>
      </c>
      <c r="AC62" s="23"/>
      <c r="AD62" s="24"/>
      <c r="AE62" s="103">
        <v>510</v>
      </c>
      <c r="AF62" s="23"/>
      <c r="AG62" s="23"/>
      <c r="AH62" s="23">
        <v>69</v>
      </c>
      <c r="AI62" s="23"/>
      <c r="AJ62" s="23">
        <v>62</v>
      </c>
      <c r="AK62" s="23">
        <v>172</v>
      </c>
      <c r="AL62" s="23">
        <v>102</v>
      </c>
      <c r="AM62" s="103">
        <v>108</v>
      </c>
      <c r="AN62" s="23">
        <v>86</v>
      </c>
      <c r="AO62" s="103">
        <v>96</v>
      </c>
      <c r="AP62" s="23">
        <v>193</v>
      </c>
      <c r="AQ62" s="23"/>
      <c r="AR62" s="103">
        <v>122</v>
      </c>
      <c r="AS62" s="23">
        <v>240</v>
      </c>
      <c r="AT62" s="23">
        <v>256</v>
      </c>
      <c r="AU62" s="103"/>
      <c r="AV62" s="103"/>
      <c r="AW62" s="103"/>
      <c r="AX62" s="103">
        <v>288</v>
      </c>
      <c r="AY62" s="23">
        <v>159</v>
      </c>
      <c r="AZ62" s="103"/>
      <c r="BA62" s="23">
        <v>85</v>
      </c>
      <c r="BB62" s="23">
        <v>40</v>
      </c>
      <c r="BC62" s="23">
        <v>330</v>
      </c>
      <c r="BD62" s="23">
        <v>18.484999999999999</v>
      </c>
      <c r="BE62" s="23">
        <v>168</v>
      </c>
    </row>
    <row r="63" spans="1:57" s="13" customFormat="1" ht="15.75" x14ac:dyDescent="0.25">
      <c r="A63" s="5"/>
      <c r="B63" s="6"/>
      <c r="C63" s="6"/>
      <c r="D63" s="6" t="s">
        <v>61</v>
      </c>
      <c r="E63" s="14"/>
      <c r="F63" s="14"/>
      <c r="G63" s="23">
        <v>757</v>
      </c>
      <c r="H63" s="103"/>
      <c r="I63" s="23">
        <v>10881</v>
      </c>
      <c r="J63" s="24">
        <v>2421</v>
      </c>
      <c r="K63" s="103">
        <v>1324</v>
      </c>
      <c r="L63" s="23">
        <v>415</v>
      </c>
      <c r="M63" s="24">
        <v>1946</v>
      </c>
      <c r="N63" s="103">
        <v>8408</v>
      </c>
      <c r="O63" s="103">
        <v>1184</v>
      </c>
      <c r="P63" s="103">
        <v>7211</v>
      </c>
      <c r="Q63" s="24">
        <v>1223</v>
      </c>
      <c r="R63" s="103">
        <v>1946</v>
      </c>
      <c r="S63" s="103">
        <v>4418</v>
      </c>
      <c r="T63" s="24">
        <v>1286</v>
      </c>
      <c r="U63" s="23">
        <v>3479</v>
      </c>
      <c r="V63" s="23">
        <v>3329</v>
      </c>
      <c r="W63" s="103">
        <v>3035</v>
      </c>
      <c r="X63" s="23">
        <v>2553</v>
      </c>
      <c r="Y63" s="103">
        <v>34979</v>
      </c>
      <c r="Z63" s="103">
        <v>10938</v>
      </c>
      <c r="AA63" s="23">
        <v>436</v>
      </c>
      <c r="AB63" s="23">
        <v>1892</v>
      </c>
      <c r="AC63" s="23">
        <v>9662</v>
      </c>
      <c r="AD63" s="24">
        <v>71</v>
      </c>
      <c r="AE63" s="103">
        <v>7748</v>
      </c>
      <c r="AF63" s="23">
        <v>3257</v>
      </c>
      <c r="AG63" s="23">
        <v>1856</v>
      </c>
      <c r="AH63" s="23">
        <v>2972</v>
      </c>
      <c r="AI63" s="23">
        <v>3325</v>
      </c>
      <c r="AJ63" s="23">
        <v>1429</v>
      </c>
      <c r="AK63" s="23">
        <v>2751</v>
      </c>
      <c r="AL63" s="23">
        <v>1892</v>
      </c>
      <c r="AM63" s="103">
        <v>1164</v>
      </c>
      <c r="AN63" s="23">
        <v>920</v>
      </c>
      <c r="AO63" s="103">
        <v>2281</v>
      </c>
      <c r="AP63" s="23">
        <v>4758</v>
      </c>
      <c r="AQ63" s="23">
        <v>2696</v>
      </c>
      <c r="AR63" s="103">
        <v>455</v>
      </c>
      <c r="AS63" s="23">
        <v>3445</v>
      </c>
      <c r="AT63" s="23">
        <v>2256</v>
      </c>
      <c r="AU63" s="103">
        <v>1068</v>
      </c>
      <c r="AV63" s="103">
        <v>6891</v>
      </c>
      <c r="AW63" s="103">
        <v>10714</v>
      </c>
      <c r="AX63" s="103">
        <v>5062</v>
      </c>
      <c r="AY63" s="23">
        <v>3136</v>
      </c>
      <c r="AZ63" s="103">
        <v>3322</v>
      </c>
      <c r="BA63" s="23">
        <v>3525</v>
      </c>
      <c r="BB63" s="23">
        <v>3595</v>
      </c>
      <c r="BC63" s="23">
        <v>5249</v>
      </c>
      <c r="BD63" s="23">
        <f>1370212/1000</f>
        <v>1370.212</v>
      </c>
      <c r="BE63" s="23">
        <v>2923</v>
      </c>
    </row>
    <row r="64" spans="1:57" s="13" customFormat="1" ht="15.75" x14ac:dyDescent="0.25">
      <c r="A64" s="5"/>
      <c r="B64" s="6"/>
      <c r="C64" s="6"/>
      <c r="D64" s="6" t="s">
        <v>81</v>
      </c>
      <c r="E64" s="14"/>
      <c r="F64" s="14"/>
      <c r="G64" s="23">
        <v>1373</v>
      </c>
      <c r="H64" s="103"/>
      <c r="I64" s="23"/>
      <c r="J64" s="24">
        <v>1479</v>
      </c>
      <c r="K64" s="103"/>
      <c r="L64" s="23">
        <v>2196</v>
      </c>
      <c r="M64" s="24"/>
      <c r="N64" s="103">
        <v>4952</v>
      </c>
      <c r="O64" s="103"/>
      <c r="P64" s="103"/>
      <c r="Q64" s="24">
        <v>1558</v>
      </c>
      <c r="R64" s="103">
        <v>1478</v>
      </c>
      <c r="S64" s="103"/>
      <c r="T64" s="24"/>
      <c r="U64" s="23">
        <v>3161</v>
      </c>
      <c r="V64" s="23">
        <v>1717</v>
      </c>
      <c r="W64" s="103"/>
      <c r="X64" s="23">
        <v>642</v>
      </c>
      <c r="Y64" s="103"/>
      <c r="Z64" s="103"/>
      <c r="AA64" s="23">
        <v>488</v>
      </c>
      <c r="AB64" s="23"/>
      <c r="AC64" s="23"/>
      <c r="AD64" s="24">
        <v>791</v>
      </c>
      <c r="AE64" s="103"/>
      <c r="AF64" s="23"/>
      <c r="AG64" s="23">
        <v>2507</v>
      </c>
      <c r="AH64" s="23">
        <v>70</v>
      </c>
      <c r="AI64" s="23"/>
      <c r="AJ64" s="23"/>
      <c r="AK64" s="23"/>
      <c r="AL64" s="23"/>
      <c r="AM64" s="103"/>
      <c r="AN64" s="23">
        <v>9938</v>
      </c>
      <c r="AO64" s="103">
        <v>1345</v>
      </c>
      <c r="AP64" s="23"/>
      <c r="AQ64" s="23">
        <v>477</v>
      </c>
      <c r="AR64" s="103"/>
      <c r="AS64" s="23"/>
      <c r="AT64" s="23">
        <v>2863</v>
      </c>
      <c r="AU64" s="103">
        <v>1809</v>
      </c>
      <c r="AV64" s="103">
        <f>1725+447</f>
        <v>2172</v>
      </c>
      <c r="AW64" s="103">
        <v>2690</v>
      </c>
      <c r="AX64" s="103"/>
      <c r="AY64" s="23">
        <v>3541</v>
      </c>
      <c r="AZ64" s="103"/>
      <c r="BA64" s="23">
        <v>1252</v>
      </c>
      <c r="BB64" s="23"/>
      <c r="BC64" s="23"/>
      <c r="BD64" s="23">
        <f>2336564/1000</f>
        <v>2336.5639999999999</v>
      </c>
      <c r="BE64" s="23"/>
    </row>
    <row r="65" spans="1:57" s="13" customFormat="1" ht="15.75" x14ac:dyDescent="0.25">
      <c r="A65" s="5"/>
      <c r="B65" s="6"/>
      <c r="C65" s="6"/>
      <c r="D65" s="6" t="s">
        <v>82</v>
      </c>
      <c r="E65" s="14"/>
      <c r="F65" s="14"/>
      <c r="G65" s="23">
        <v>331</v>
      </c>
      <c r="H65" s="103">
        <v>4380</v>
      </c>
      <c r="I65" s="23">
        <v>14334</v>
      </c>
      <c r="J65" s="24">
        <v>3464</v>
      </c>
      <c r="K65" s="103">
        <v>3340</v>
      </c>
      <c r="L65" s="23">
        <v>1134</v>
      </c>
      <c r="M65" s="24">
        <v>13591</v>
      </c>
      <c r="N65" s="103">
        <v>22222</v>
      </c>
      <c r="O65" s="103">
        <v>3940</v>
      </c>
      <c r="P65" s="103">
        <v>15873</v>
      </c>
      <c r="Q65" s="24">
        <v>5732</v>
      </c>
      <c r="R65" s="103">
        <f>167+20374</f>
        <v>20541</v>
      </c>
      <c r="S65" s="103">
        <v>11006</v>
      </c>
      <c r="T65" s="24">
        <v>5370</v>
      </c>
      <c r="U65" s="23">
        <v>14148</v>
      </c>
      <c r="V65" s="23">
        <f>9020-500</f>
        <v>8520</v>
      </c>
      <c r="W65" s="103">
        <v>4567</v>
      </c>
      <c r="X65" s="23">
        <v>2220</v>
      </c>
      <c r="Y65" s="103">
        <v>42094</v>
      </c>
      <c r="Z65" s="103">
        <v>27366</v>
      </c>
      <c r="AA65" s="23">
        <v>2890</v>
      </c>
      <c r="AB65" s="23">
        <v>3742</v>
      </c>
      <c r="AC65" s="23">
        <v>6058</v>
      </c>
      <c r="AD65" s="24">
        <v>5455</v>
      </c>
      <c r="AE65" s="103">
        <f>17053+(41699*1.08)</f>
        <v>62087.920000000006</v>
      </c>
      <c r="AF65" s="23">
        <v>5940</v>
      </c>
      <c r="AG65" s="23">
        <v>5626</v>
      </c>
      <c r="AH65" s="23">
        <v>2017</v>
      </c>
      <c r="AI65" s="23">
        <v>4426</v>
      </c>
      <c r="AJ65" s="23">
        <v>7188</v>
      </c>
      <c r="AK65" s="23">
        <v>6966</v>
      </c>
      <c r="AL65" s="23">
        <v>3742</v>
      </c>
      <c r="AM65" s="103">
        <v>1510</v>
      </c>
      <c r="AN65" s="23">
        <v>3611</v>
      </c>
      <c r="AO65" s="103">
        <v>4061</v>
      </c>
      <c r="AP65" s="23">
        <v>25135</v>
      </c>
      <c r="AQ65" s="23">
        <v>3125</v>
      </c>
      <c r="AR65" s="103">
        <f>11158</f>
        <v>11158</v>
      </c>
      <c r="AS65" s="23">
        <f>8436+3868</f>
        <v>12304</v>
      </c>
      <c r="AT65" s="23">
        <v>7265</v>
      </c>
      <c r="AU65" s="103">
        <f>156+5268-1809+320</f>
        <v>3935</v>
      </c>
      <c r="AV65" s="103"/>
      <c r="AW65" s="103">
        <v>19243</v>
      </c>
      <c r="AX65" s="103">
        <f>18080+5000</f>
        <v>23080</v>
      </c>
      <c r="AY65" s="23">
        <v>4024</v>
      </c>
      <c r="AZ65" s="103">
        <v>2399</v>
      </c>
      <c r="BA65" s="23">
        <v>3156</v>
      </c>
      <c r="BB65" s="23">
        <v>570</v>
      </c>
      <c r="BC65" s="23">
        <v>13180</v>
      </c>
      <c r="BD65" s="23">
        <f>410777/1000</f>
        <v>410.77699999999999</v>
      </c>
      <c r="BE65" s="23">
        <v>8621</v>
      </c>
    </row>
    <row r="66" spans="1:57" s="13" customFormat="1" ht="15.75" x14ac:dyDescent="0.25">
      <c r="A66" s="5"/>
      <c r="B66" s="6"/>
      <c r="C66" s="6"/>
      <c r="D66" s="57" t="s">
        <v>83</v>
      </c>
      <c r="E66" s="14"/>
      <c r="F66" s="14"/>
      <c r="G66" s="23"/>
      <c r="H66" s="103"/>
      <c r="I66" s="23"/>
      <c r="J66" s="24">
        <v>155</v>
      </c>
      <c r="K66" s="103"/>
      <c r="L66" s="23">
        <v>544</v>
      </c>
      <c r="M66" s="24">
        <v>5926</v>
      </c>
      <c r="N66" s="103">
        <v>251</v>
      </c>
      <c r="O66" s="103"/>
      <c r="P66" s="103"/>
      <c r="Q66" s="24">
        <v>1087</v>
      </c>
      <c r="R66" s="103">
        <v>137</v>
      </c>
      <c r="S66" s="103"/>
      <c r="T66" s="24"/>
      <c r="U66" s="23"/>
      <c r="V66" s="23"/>
      <c r="W66" s="103"/>
      <c r="X66" s="23"/>
      <c r="Y66" s="103"/>
      <c r="Z66" s="103">
        <v>1259</v>
      </c>
      <c r="AA66" s="23"/>
      <c r="AB66" s="23"/>
      <c r="AC66" s="23"/>
      <c r="AD66" s="24"/>
      <c r="AE66" s="103"/>
      <c r="AF66" s="23"/>
      <c r="AG66" s="23"/>
      <c r="AH66" s="23"/>
      <c r="AI66" s="23"/>
      <c r="AJ66" s="23"/>
      <c r="AK66" s="23"/>
      <c r="AL66" s="23"/>
      <c r="AM66" s="103">
        <v>552</v>
      </c>
      <c r="AN66" s="23"/>
      <c r="AO66" s="103"/>
      <c r="AP66" s="23">
        <v>191</v>
      </c>
      <c r="AQ66" s="23"/>
      <c r="AR66" s="103">
        <v>4326</v>
      </c>
      <c r="AS66" s="23">
        <v>15</v>
      </c>
      <c r="AT66" s="23"/>
      <c r="AU66" s="103"/>
      <c r="AV66" s="103">
        <v>996</v>
      </c>
      <c r="AW66" s="103"/>
      <c r="AX66" s="103">
        <v>596</v>
      </c>
      <c r="AY66" s="23"/>
      <c r="AZ66" s="103"/>
      <c r="BA66" s="23"/>
      <c r="BB66" s="23">
        <v>1526</v>
      </c>
      <c r="BC66" s="23"/>
      <c r="BD66" s="23"/>
      <c r="BE66" s="23">
        <v>661</v>
      </c>
    </row>
    <row r="67" spans="1:57" s="13" customFormat="1" ht="15.75" x14ac:dyDescent="0.25">
      <c r="A67" s="5"/>
      <c r="B67" s="6"/>
      <c r="C67" s="6"/>
      <c r="D67" s="57" t="s">
        <v>84</v>
      </c>
      <c r="E67" s="14"/>
      <c r="F67" s="14"/>
      <c r="G67" s="58">
        <v>18</v>
      </c>
      <c r="H67" s="112">
        <v>120</v>
      </c>
      <c r="I67" s="58">
        <v>2951</v>
      </c>
      <c r="J67" s="59">
        <v>27</v>
      </c>
      <c r="K67" s="112"/>
      <c r="L67" s="58"/>
      <c r="M67" s="59">
        <v>20</v>
      </c>
      <c r="N67" s="112">
        <v>282</v>
      </c>
      <c r="O67" s="112">
        <v>25</v>
      </c>
      <c r="P67" s="112"/>
      <c r="Q67" s="59">
        <v>105</v>
      </c>
      <c r="R67" s="112">
        <v>160</v>
      </c>
      <c r="S67" s="112">
        <v>47</v>
      </c>
      <c r="T67" s="59">
        <v>12</v>
      </c>
      <c r="U67" s="58"/>
      <c r="V67" s="58"/>
      <c r="W67" s="112">
        <v>72</v>
      </c>
      <c r="X67" s="58"/>
      <c r="Y67" s="103">
        <v>1179</v>
      </c>
      <c r="Z67" s="103">
        <v>131</v>
      </c>
      <c r="AA67" s="23"/>
      <c r="AB67" s="23">
        <v>30</v>
      </c>
      <c r="AC67" s="58"/>
      <c r="AD67" s="59"/>
      <c r="AE67" s="112">
        <v>1706</v>
      </c>
      <c r="AF67" s="58"/>
      <c r="AG67" s="58"/>
      <c r="AH67" s="58"/>
      <c r="AI67" s="58"/>
      <c r="AJ67" s="58">
        <v>21</v>
      </c>
      <c r="AK67" s="58">
        <v>136</v>
      </c>
      <c r="AL67" s="58">
        <v>30</v>
      </c>
      <c r="AM67" s="103">
        <v>152</v>
      </c>
      <c r="AN67" s="58">
        <v>127</v>
      </c>
      <c r="AO67" s="112"/>
      <c r="AP67" s="58"/>
      <c r="AQ67" s="58"/>
      <c r="AR67" s="112">
        <v>2</v>
      </c>
      <c r="AS67" s="58"/>
      <c r="AT67" s="58"/>
      <c r="AU67" s="112"/>
      <c r="AV67" s="112"/>
      <c r="AW67" s="112">
        <v>372</v>
      </c>
      <c r="AX67" s="112">
        <v>27</v>
      </c>
      <c r="AY67" s="58">
        <v>200</v>
      </c>
      <c r="AZ67" s="112"/>
      <c r="BA67" s="58">
        <v>30</v>
      </c>
      <c r="BB67" s="58"/>
      <c r="BC67" s="58">
        <v>2732</v>
      </c>
      <c r="BD67" s="58">
        <f>74651/1000</f>
        <v>74.650999999999996</v>
      </c>
      <c r="BE67" s="58"/>
    </row>
    <row r="68" spans="1:57" s="13" customFormat="1" ht="15.75" hidden="1" x14ac:dyDescent="0.25">
      <c r="A68" s="5"/>
      <c r="B68" s="6"/>
      <c r="C68" s="6"/>
      <c r="D68" s="57"/>
      <c r="E68" s="14"/>
      <c r="F68" s="14"/>
      <c r="G68" s="26"/>
      <c r="H68" s="104"/>
      <c r="I68" s="26"/>
      <c r="J68" s="27"/>
      <c r="K68" s="104"/>
      <c r="L68" s="26"/>
      <c r="M68" s="27"/>
      <c r="N68" s="104"/>
      <c r="O68" s="104"/>
      <c r="P68" s="104"/>
      <c r="Q68" s="27"/>
      <c r="R68" s="104"/>
      <c r="S68" s="104"/>
      <c r="T68" s="27"/>
      <c r="U68" s="26"/>
      <c r="V68" s="26"/>
      <c r="W68" s="104"/>
      <c r="X68" s="26"/>
      <c r="Y68" s="104"/>
      <c r="Z68" s="104"/>
      <c r="AA68" s="26"/>
      <c r="AB68" s="27"/>
      <c r="AC68" s="26"/>
      <c r="AD68" s="27"/>
      <c r="AE68" s="104"/>
      <c r="AF68" s="26"/>
      <c r="AG68" s="26"/>
      <c r="AH68" s="26"/>
      <c r="AI68" s="26"/>
      <c r="AJ68" s="26"/>
      <c r="AK68" s="26"/>
      <c r="AL68" s="26"/>
      <c r="AM68" s="104"/>
      <c r="AN68" s="26"/>
      <c r="AO68" s="104"/>
      <c r="AP68" s="26"/>
      <c r="AQ68" s="26"/>
      <c r="AR68" s="104"/>
      <c r="AS68" s="26"/>
      <c r="AT68" s="26"/>
      <c r="AU68" s="104"/>
      <c r="AV68" s="104"/>
      <c r="AW68" s="104"/>
      <c r="AX68" s="104"/>
      <c r="AY68" s="26"/>
      <c r="AZ68" s="104"/>
      <c r="BA68" s="26"/>
      <c r="BB68" s="26"/>
      <c r="BC68" s="26"/>
      <c r="BD68" s="26"/>
      <c r="BE68" s="26"/>
    </row>
    <row r="69" spans="1:57" s="13" customFormat="1" ht="15.75" hidden="1" x14ac:dyDescent="0.25">
      <c r="A69" s="5"/>
      <c r="B69" s="6"/>
      <c r="C69" s="6"/>
      <c r="D69" s="57"/>
      <c r="E69" s="14"/>
      <c r="F69" s="14"/>
      <c r="G69" s="26"/>
      <c r="H69" s="104"/>
      <c r="I69" s="26"/>
      <c r="J69" s="27"/>
      <c r="K69" s="104"/>
      <c r="L69" s="26"/>
      <c r="M69" s="27"/>
      <c r="N69" s="104"/>
      <c r="O69" s="104"/>
      <c r="P69" s="104"/>
      <c r="Q69" s="27"/>
      <c r="R69" s="104"/>
      <c r="S69" s="104"/>
      <c r="T69" s="27"/>
      <c r="U69" s="26"/>
      <c r="V69" s="26"/>
      <c r="W69" s="104"/>
      <c r="X69" s="26"/>
      <c r="Y69" s="104"/>
      <c r="Z69" s="104"/>
      <c r="AA69" s="26"/>
      <c r="AB69" s="27"/>
      <c r="AC69" s="26"/>
      <c r="AD69" s="27"/>
      <c r="AE69" s="104"/>
      <c r="AF69" s="26"/>
      <c r="AG69" s="26"/>
      <c r="AH69" s="26"/>
      <c r="AI69" s="26"/>
      <c r="AJ69" s="26"/>
      <c r="AK69" s="26"/>
      <c r="AL69" s="26"/>
      <c r="AM69" s="104"/>
      <c r="AN69" s="26"/>
      <c r="AO69" s="104"/>
      <c r="AP69" s="26"/>
      <c r="AQ69" s="26"/>
      <c r="AR69" s="104"/>
      <c r="AS69" s="26"/>
      <c r="AT69" s="26"/>
      <c r="AU69" s="104"/>
      <c r="AV69" s="104"/>
      <c r="AW69" s="104"/>
      <c r="AX69" s="104"/>
      <c r="AY69" s="26"/>
      <c r="AZ69" s="104"/>
      <c r="BA69" s="26"/>
      <c r="BB69" s="26"/>
      <c r="BC69" s="26"/>
      <c r="BD69" s="26"/>
      <c r="BE69" s="26"/>
    </row>
    <row r="70" spans="1:57" s="13" customFormat="1" ht="15.75" hidden="1" x14ac:dyDescent="0.25">
      <c r="A70" s="5"/>
      <c r="B70" s="6"/>
      <c r="C70" s="6"/>
      <c r="D70" s="57"/>
      <c r="E70" s="14"/>
      <c r="F70" s="14"/>
      <c r="G70" s="26"/>
      <c r="H70" s="104"/>
      <c r="I70" s="26"/>
      <c r="J70" s="27"/>
      <c r="K70" s="104"/>
      <c r="L70" s="26"/>
      <c r="M70" s="27"/>
      <c r="N70" s="104"/>
      <c r="O70" s="104"/>
      <c r="P70" s="104"/>
      <c r="Q70" s="27"/>
      <c r="R70" s="104"/>
      <c r="S70" s="104"/>
      <c r="T70" s="27"/>
      <c r="U70" s="26"/>
      <c r="V70" s="26"/>
      <c r="W70" s="104"/>
      <c r="X70" s="26"/>
      <c r="Y70" s="104"/>
      <c r="Z70" s="104"/>
      <c r="AA70" s="26"/>
      <c r="AB70" s="27"/>
      <c r="AC70" s="26"/>
      <c r="AD70" s="27"/>
      <c r="AE70" s="104"/>
      <c r="AF70" s="26"/>
      <c r="AG70" s="26"/>
      <c r="AH70" s="26"/>
      <c r="AI70" s="26"/>
      <c r="AJ70" s="26"/>
      <c r="AK70" s="26"/>
      <c r="AL70" s="26"/>
      <c r="AM70" s="104"/>
      <c r="AN70" s="26"/>
      <c r="AO70" s="104"/>
      <c r="AP70" s="26"/>
      <c r="AQ70" s="26"/>
      <c r="AR70" s="104"/>
      <c r="AS70" s="26"/>
      <c r="AT70" s="26"/>
      <c r="AU70" s="104"/>
      <c r="AV70" s="104"/>
      <c r="AW70" s="104"/>
      <c r="AX70" s="104"/>
      <c r="AY70" s="26"/>
      <c r="AZ70" s="104"/>
      <c r="BA70" s="26"/>
      <c r="BB70" s="26"/>
      <c r="BC70" s="26"/>
      <c r="BD70" s="26"/>
      <c r="BE70" s="26"/>
    </row>
    <row r="71" spans="1:57" s="13" customFormat="1" ht="15.75" hidden="1" x14ac:dyDescent="0.25">
      <c r="A71" s="5"/>
      <c r="B71" s="6"/>
      <c r="C71" s="6"/>
      <c r="D71" s="57"/>
      <c r="E71" s="14"/>
      <c r="F71" s="14"/>
      <c r="G71" s="26"/>
      <c r="H71" s="104"/>
      <c r="I71" s="26"/>
      <c r="J71" s="27"/>
      <c r="K71" s="104"/>
      <c r="L71" s="26"/>
      <c r="M71" s="27"/>
      <c r="N71" s="104"/>
      <c r="O71" s="104"/>
      <c r="P71" s="104"/>
      <c r="Q71" s="27"/>
      <c r="R71" s="104"/>
      <c r="S71" s="104"/>
      <c r="T71" s="27"/>
      <c r="U71" s="26"/>
      <c r="V71" s="26"/>
      <c r="W71" s="104"/>
      <c r="X71" s="26"/>
      <c r="Y71" s="104"/>
      <c r="Z71" s="104"/>
      <c r="AA71" s="26"/>
      <c r="AB71" s="27"/>
      <c r="AC71" s="26"/>
      <c r="AD71" s="27"/>
      <c r="AE71" s="104"/>
      <c r="AF71" s="26"/>
      <c r="AG71" s="26"/>
      <c r="AH71" s="26"/>
      <c r="AI71" s="26"/>
      <c r="AJ71" s="26"/>
      <c r="AK71" s="26"/>
      <c r="AL71" s="26"/>
      <c r="AM71" s="104"/>
      <c r="AN71" s="26"/>
      <c r="AO71" s="104"/>
      <c r="AP71" s="26"/>
      <c r="AQ71" s="26"/>
      <c r="AR71" s="104"/>
      <c r="AS71" s="26"/>
      <c r="AT71" s="26"/>
      <c r="AU71" s="104"/>
      <c r="AV71" s="104"/>
      <c r="AW71" s="104"/>
      <c r="AX71" s="104"/>
      <c r="AY71" s="26"/>
      <c r="AZ71" s="104"/>
      <c r="BA71" s="26"/>
      <c r="BB71" s="26"/>
      <c r="BC71" s="26"/>
      <c r="BD71" s="26"/>
      <c r="BE71" s="26"/>
    </row>
    <row r="72" spans="1:57" s="13" customFormat="1" ht="15.75" hidden="1" x14ac:dyDescent="0.25">
      <c r="A72" s="5"/>
      <c r="B72" s="6"/>
      <c r="C72" s="6"/>
      <c r="D72" s="57"/>
      <c r="E72" s="14"/>
      <c r="F72" s="14"/>
      <c r="G72" s="26"/>
      <c r="H72" s="104"/>
      <c r="I72" s="26"/>
      <c r="J72" s="27"/>
      <c r="K72" s="104"/>
      <c r="L72" s="26"/>
      <c r="M72" s="27"/>
      <c r="N72" s="104"/>
      <c r="O72" s="104"/>
      <c r="P72" s="104"/>
      <c r="Q72" s="27"/>
      <c r="R72" s="104"/>
      <c r="S72" s="104"/>
      <c r="T72" s="27"/>
      <c r="U72" s="26"/>
      <c r="V72" s="26"/>
      <c r="W72" s="104"/>
      <c r="X72" s="26"/>
      <c r="Y72" s="104"/>
      <c r="Z72" s="104"/>
      <c r="AA72" s="26"/>
      <c r="AB72" s="27"/>
      <c r="AC72" s="26"/>
      <c r="AD72" s="27"/>
      <c r="AE72" s="104"/>
      <c r="AF72" s="26"/>
      <c r="AG72" s="26"/>
      <c r="AH72" s="26"/>
      <c r="AI72" s="26"/>
      <c r="AJ72" s="26"/>
      <c r="AK72" s="26"/>
      <c r="AL72" s="26"/>
      <c r="AM72" s="104"/>
      <c r="AN72" s="26"/>
      <c r="AO72" s="104"/>
      <c r="AP72" s="26"/>
      <c r="AQ72" s="26"/>
      <c r="AR72" s="104"/>
      <c r="AS72" s="26"/>
      <c r="AT72" s="26"/>
      <c r="AU72" s="104"/>
      <c r="AV72" s="104"/>
      <c r="AW72" s="104"/>
      <c r="AX72" s="104"/>
      <c r="AY72" s="26"/>
      <c r="AZ72" s="104"/>
      <c r="BA72" s="26"/>
      <c r="BB72" s="26"/>
      <c r="BC72" s="26"/>
      <c r="BD72" s="26"/>
      <c r="BE72" s="26"/>
    </row>
    <row r="73" spans="1:57" s="13" customFormat="1" ht="15.75" hidden="1" x14ac:dyDescent="0.25">
      <c r="A73" s="5"/>
      <c r="B73" s="6"/>
      <c r="C73" s="6"/>
      <c r="D73" s="57"/>
      <c r="E73" s="14"/>
      <c r="F73" s="14"/>
      <c r="G73" s="26"/>
      <c r="H73" s="104"/>
      <c r="I73" s="26"/>
      <c r="J73" s="27"/>
      <c r="K73" s="104"/>
      <c r="L73" s="26"/>
      <c r="M73" s="27"/>
      <c r="N73" s="104"/>
      <c r="O73" s="104"/>
      <c r="P73" s="104"/>
      <c r="Q73" s="27"/>
      <c r="R73" s="104"/>
      <c r="S73" s="104"/>
      <c r="T73" s="27"/>
      <c r="U73" s="26"/>
      <c r="V73" s="26"/>
      <c r="W73" s="104"/>
      <c r="X73" s="26"/>
      <c r="Y73" s="104"/>
      <c r="Z73" s="104"/>
      <c r="AA73" s="26"/>
      <c r="AB73" s="27"/>
      <c r="AC73" s="26"/>
      <c r="AD73" s="27"/>
      <c r="AE73" s="104"/>
      <c r="AF73" s="26"/>
      <c r="AG73" s="26"/>
      <c r="AH73" s="26"/>
      <c r="AI73" s="26"/>
      <c r="AJ73" s="26"/>
      <c r="AK73" s="26"/>
      <c r="AL73" s="26"/>
      <c r="AM73" s="104"/>
      <c r="AN73" s="26"/>
      <c r="AO73" s="104"/>
      <c r="AP73" s="26"/>
      <c r="AQ73" s="26"/>
      <c r="AR73" s="104"/>
      <c r="AS73" s="26"/>
      <c r="AT73" s="26"/>
      <c r="AU73" s="104"/>
      <c r="AV73" s="104"/>
      <c r="AW73" s="104"/>
      <c r="AX73" s="104"/>
      <c r="AY73" s="26"/>
      <c r="AZ73" s="104"/>
      <c r="BA73" s="26"/>
      <c r="BB73" s="26"/>
      <c r="BC73" s="26"/>
      <c r="BD73" s="26"/>
      <c r="BE73" s="26"/>
    </row>
    <row r="74" spans="1:57" s="13" customFormat="1" ht="15.75" hidden="1" x14ac:dyDescent="0.25">
      <c r="A74" s="5"/>
      <c r="B74" s="6"/>
      <c r="C74" s="6"/>
      <c r="D74" s="57"/>
      <c r="E74" s="14"/>
      <c r="F74" s="14"/>
      <c r="G74" s="26"/>
      <c r="H74" s="104"/>
      <c r="I74" s="26"/>
      <c r="J74" s="27"/>
      <c r="K74" s="104"/>
      <c r="L74" s="26"/>
      <c r="M74" s="27"/>
      <c r="N74" s="104"/>
      <c r="O74" s="104"/>
      <c r="P74" s="104"/>
      <c r="Q74" s="27"/>
      <c r="R74" s="104"/>
      <c r="S74" s="104"/>
      <c r="T74" s="27"/>
      <c r="U74" s="26"/>
      <c r="V74" s="26"/>
      <c r="W74" s="104"/>
      <c r="X74" s="26"/>
      <c r="Y74" s="104"/>
      <c r="Z74" s="104"/>
      <c r="AA74" s="26"/>
      <c r="AB74" s="27"/>
      <c r="AC74" s="26"/>
      <c r="AD74" s="27"/>
      <c r="AE74" s="104"/>
      <c r="AF74" s="26"/>
      <c r="AG74" s="26"/>
      <c r="AH74" s="26"/>
      <c r="AI74" s="26"/>
      <c r="AJ74" s="26"/>
      <c r="AK74" s="26"/>
      <c r="AL74" s="26"/>
      <c r="AM74" s="104"/>
      <c r="AN74" s="26"/>
      <c r="AO74" s="104"/>
      <c r="AP74" s="26"/>
      <c r="AQ74" s="26"/>
      <c r="AR74" s="104"/>
      <c r="AS74" s="26"/>
      <c r="AT74" s="26"/>
      <c r="AU74" s="104"/>
      <c r="AV74" s="104"/>
      <c r="AW74" s="104"/>
      <c r="AX74" s="104"/>
      <c r="AY74" s="26"/>
      <c r="AZ74" s="104"/>
      <c r="BA74" s="26"/>
      <c r="BB74" s="26"/>
      <c r="BC74" s="26"/>
      <c r="BD74" s="26"/>
      <c r="BE74" s="26"/>
    </row>
    <row r="75" spans="1:57" s="13" customFormat="1" ht="15.75" hidden="1" x14ac:dyDescent="0.25">
      <c r="A75" s="5"/>
      <c r="B75" s="6"/>
      <c r="C75" s="6"/>
      <c r="D75" s="57"/>
      <c r="E75" s="14"/>
      <c r="F75" s="14"/>
      <c r="G75" s="26"/>
      <c r="H75" s="104"/>
      <c r="I75" s="26"/>
      <c r="J75" s="27"/>
      <c r="K75" s="104"/>
      <c r="L75" s="26"/>
      <c r="M75" s="27"/>
      <c r="N75" s="104"/>
      <c r="O75" s="104"/>
      <c r="P75" s="104"/>
      <c r="Q75" s="27"/>
      <c r="R75" s="104"/>
      <c r="S75" s="104"/>
      <c r="T75" s="27"/>
      <c r="U75" s="26"/>
      <c r="V75" s="26"/>
      <c r="W75" s="104"/>
      <c r="X75" s="26"/>
      <c r="Y75" s="104"/>
      <c r="Z75" s="104"/>
      <c r="AA75" s="26"/>
      <c r="AB75" s="27"/>
      <c r="AC75" s="26"/>
      <c r="AD75" s="27"/>
      <c r="AE75" s="104"/>
      <c r="AF75" s="26"/>
      <c r="AG75" s="26"/>
      <c r="AH75" s="26"/>
      <c r="AI75" s="26"/>
      <c r="AJ75" s="26"/>
      <c r="AK75" s="26"/>
      <c r="AL75" s="26"/>
      <c r="AM75" s="104"/>
      <c r="AN75" s="26"/>
      <c r="AO75" s="104"/>
      <c r="AP75" s="26"/>
      <c r="AQ75" s="26"/>
      <c r="AR75" s="104"/>
      <c r="AS75" s="26"/>
      <c r="AT75" s="26"/>
      <c r="AU75" s="104"/>
      <c r="AV75" s="104"/>
      <c r="AW75" s="104"/>
      <c r="AX75" s="104"/>
      <c r="AY75" s="26"/>
      <c r="AZ75" s="104"/>
      <c r="BA75" s="26"/>
      <c r="BB75" s="26"/>
      <c r="BC75" s="26"/>
      <c r="BD75" s="26"/>
      <c r="BE75" s="26"/>
    </row>
    <row r="76" spans="1:57" s="13" customFormat="1" ht="15.75" hidden="1" x14ac:dyDescent="0.25">
      <c r="A76" s="5"/>
      <c r="B76" s="6"/>
      <c r="C76" s="6"/>
      <c r="D76" s="57"/>
      <c r="E76" s="14"/>
      <c r="F76" s="14"/>
      <c r="G76" s="26"/>
      <c r="H76" s="104"/>
      <c r="I76" s="26"/>
      <c r="J76" s="27"/>
      <c r="K76" s="104"/>
      <c r="L76" s="26"/>
      <c r="M76" s="27"/>
      <c r="N76" s="104"/>
      <c r="O76" s="104"/>
      <c r="P76" s="104"/>
      <c r="Q76" s="27"/>
      <c r="R76" s="104"/>
      <c r="S76" s="104"/>
      <c r="T76" s="27"/>
      <c r="U76" s="26"/>
      <c r="V76" s="26"/>
      <c r="W76" s="104"/>
      <c r="X76" s="26"/>
      <c r="Y76" s="104"/>
      <c r="Z76" s="104"/>
      <c r="AA76" s="26"/>
      <c r="AB76" s="27"/>
      <c r="AC76" s="26"/>
      <c r="AD76" s="27"/>
      <c r="AE76" s="104"/>
      <c r="AF76" s="26"/>
      <c r="AG76" s="26"/>
      <c r="AH76" s="26"/>
      <c r="AI76" s="26"/>
      <c r="AJ76" s="26"/>
      <c r="AK76" s="26"/>
      <c r="AL76" s="26"/>
      <c r="AM76" s="104"/>
      <c r="AN76" s="26"/>
      <c r="AO76" s="104"/>
      <c r="AP76" s="26"/>
      <c r="AQ76" s="26"/>
      <c r="AR76" s="104"/>
      <c r="AS76" s="26"/>
      <c r="AT76" s="26"/>
      <c r="AU76" s="104"/>
      <c r="AV76" s="104"/>
      <c r="AW76" s="104"/>
      <c r="AX76" s="104"/>
      <c r="AY76" s="26"/>
      <c r="AZ76" s="104"/>
      <c r="BA76" s="26"/>
      <c r="BB76" s="26"/>
      <c r="BC76" s="26"/>
      <c r="BD76" s="26"/>
      <c r="BE76" s="26"/>
    </row>
    <row r="77" spans="1:57" s="13" customFormat="1" ht="15.75" hidden="1" x14ac:dyDescent="0.25">
      <c r="A77" s="5"/>
      <c r="B77" s="6"/>
      <c r="C77" s="6"/>
      <c r="D77" s="57"/>
      <c r="E77" s="14"/>
      <c r="F77" s="14"/>
      <c r="G77" s="26"/>
      <c r="H77" s="104"/>
      <c r="I77" s="26"/>
      <c r="J77" s="27"/>
      <c r="K77" s="104"/>
      <c r="L77" s="26"/>
      <c r="M77" s="27"/>
      <c r="N77" s="104"/>
      <c r="O77" s="104"/>
      <c r="P77" s="104"/>
      <c r="Q77" s="27"/>
      <c r="R77" s="104"/>
      <c r="S77" s="104"/>
      <c r="T77" s="27"/>
      <c r="U77" s="26"/>
      <c r="V77" s="26"/>
      <c r="W77" s="104"/>
      <c r="X77" s="26"/>
      <c r="Y77" s="104"/>
      <c r="Z77" s="104"/>
      <c r="AA77" s="26"/>
      <c r="AB77" s="27"/>
      <c r="AC77" s="26"/>
      <c r="AD77" s="27"/>
      <c r="AE77" s="104"/>
      <c r="AF77" s="26"/>
      <c r="AG77" s="26"/>
      <c r="AH77" s="26"/>
      <c r="AI77" s="26"/>
      <c r="AJ77" s="26"/>
      <c r="AK77" s="26"/>
      <c r="AL77" s="26"/>
      <c r="AM77" s="104"/>
      <c r="AN77" s="26"/>
      <c r="AO77" s="104"/>
      <c r="AP77" s="26"/>
      <c r="AQ77" s="26"/>
      <c r="AR77" s="104"/>
      <c r="AS77" s="26"/>
      <c r="AT77" s="26"/>
      <c r="AU77" s="104"/>
      <c r="AV77" s="104"/>
      <c r="AW77" s="104"/>
      <c r="AX77" s="104"/>
      <c r="AY77" s="26"/>
      <c r="AZ77" s="104"/>
      <c r="BA77" s="26"/>
      <c r="BB77" s="26"/>
      <c r="BC77" s="26"/>
      <c r="BD77" s="26"/>
      <c r="BE77" s="26"/>
    </row>
    <row r="78" spans="1:57" s="13" customFormat="1" ht="15.75" hidden="1" x14ac:dyDescent="0.25">
      <c r="A78" s="5"/>
      <c r="B78" s="6"/>
      <c r="C78" s="6"/>
      <c r="D78" s="57"/>
      <c r="E78" s="14"/>
      <c r="F78" s="14"/>
      <c r="G78" s="26"/>
      <c r="H78" s="104"/>
      <c r="I78" s="26"/>
      <c r="J78" s="27"/>
      <c r="K78" s="104"/>
      <c r="L78" s="26"/>
      <c r="M78" s="27"/>
      <c r="N78" s="104"/>
      <c r="O78" s="104"/>
      <c r="P78" s="104"/>
      <c r="Q78" s="27"/>
      <c r="R78" s="104"/>
      <c r="S78" s="104"/>
      <c r="T78" s="27"/>
      <c r="U78" s="26"/>
      <c r="V78" s="26"/>
      <c r="W78" s="104"/>
      <c r="X78" s="26"/>
      <c r="Y78" s="104"/>
      <c r="Z78" s="104"/>
      <c r="AA78" s="26"/>
      <c r="AB78" s="27"/>
      <c r="AC78" s="26"/>
      <c r="AD78" s="27"/>
      <c r="AE78" s="104"/>
      <c r="AF78" s="26"/>
      <c r="AG78" s="26"/>
      <c r="AH78" s="26"/>
      <c r="AI78" s="26"/>
      <c r="AJ78" s="26"/>
      <c r="AK78" s="26"/>
      <c r="AL78" s="26"/>
      <c r="AM78" s="104"/>
      <c r="AN78" s="26"/>
      <c r="AO78" s="104"/>
      <c r="AP78" s="26"/>
      <c r="AQ78" s="26"/>
      <c r="AR78" s="104"/>
      <c r="AS78" s="26"/>
      <c r="AT78" s="26"/>
      <c r="AU78" s="104"/>
      <c r="AV78" s="104"/>
      <c r="AW78" s="104"/>
      <c r="AX78" s="104"/>
      <c r="AY78" s="26"/>
      <c r="AZ78" s="104"/>
      <c r="BA78" s="26"/>
      <c r="BB78" s="26"/>
      <c r="BC78" s="26"/>
      <c r="BD78" s="26"/>
      <c r="BE78" s="26"/>
    </row>
    <row r="79" spans="1:57" s="13" customFormat="1" ht="15.75" hidden="1" x14ac:dyDescent="0.25">
      <c r="A79" s="5"/>
      <c r="B79" s="6"/>
      <c r="C79" s="6"/>
      <c r="D79" s="57"/>
      <c r="E79" s="14"/>
      <c r="F79" s="14"/>
      <c r="G79" s="26"/>
      <c r="H79" s="104"/>
      <c r="I79" s="26"/>
      <c r="J79" s="27"/>
      <c r="K79" s="104"/>
      <c r="L79" s="26"/>
      <c r="M79" s="27"/>
      <c r="N79" s="104"/>
      <c r="O79" s="104"/>
      <c r="P79" s="104"/>
      <c r="Q79" s="27"/>
      <c r="R79" s="104"/>
      <c r="S79" s="104"/>
      <c r="T79" s="27"/>
      <c r="U79" s="26"/>
      <c r="V79" s="26"/>
      <c r="W79" s="104"/>
      <c r="X79" s="26"/>
      <c r="Y79" s="104"/>
      <c r="Z79" s="104"/>
      <c r="AA79" s="26"/>
      <c r="AB79" s="27"/>
      <c r="AC79" s="26"/>
      <c r="AD79" s="27"/>
      <c r="AE79" s="104"/>
      <c r="AF79" s="26"/>
      <c r="AG79" s="26"/>
      <c r="AH79" s="26"/>
      <c r="AI79" s="26"/>
      <c r="AJ79" s="26"/>
      <c r="AK79" s="26"/>
      <c r="AL79" s="26"/>
      <c r="AM79" s="104"/>
      <c r="AN79" s="26"/>
      <c r="AO79" s="104"/>
      <c r="AP79" s="26"/>
      <c r="AQ79" s="26"/>
      <c r="AR79" s="104"/>
      <c r="AS79" s="26"/>
      <c r="AT79" s="26"/>
      <c r="AU79" s="104"/>
      <c r="AV79" s="104"/>
      <c r="AW79" s="104"/>
      <c r="AX79" s="104"/>
      <c r="AY79" s="26"/>
      <c r="AZ79" s="104"/>
      <c r="BA79" s="26"/>
      <c r="BB79" s="26"/>
      <c r="BC79" s="26"/>
      <c r="BD79" s="26"/>
      <c r="BE79" s="26"/>
    </row>
    <row r="80" spans="1:57" s="13" customFormat="1" ht="15.75" hidden="1" x14ac:dyDescent="0.25">
      <c r="A80" s="5"/>
      <c r="B80" s="6"/>
      <c r="C80" s="6"/>
      <c r="D80" s="57"/>
      <c r="E80" s="14"/>
      <c r="F80" s="14"/>
      <c r="G80" s="26"/>
      <c r="H80" s="104"/>
      <c r="I80" s="26"/>
      <c r="J80" s="27"/>
      <c r="K80" s="104"/>
      <c r="L80" s="26"/>
      <c r="M80" s="27"/>
      <c r="N80" s="104"/>
      <c r="O80" s="104"/>
      <c r="P80" s="104"/>
      <c r="Q80" s="27"/>
      <c r="R80" s="104"/>
      <c r="S80" s="104"/>
      <c r="T80" s="27"/>
      <c r="U80" s="26"/>
      <c r="V80" s="26"/>
      <c r="W80" s="104"/>
      <c r="X80" s="26"/>
      <c r="Y80" s="104"/>
      <c r="Z80" s="104"/>
      <c r="AA80" s="26"/>
      <c r="AB80" s="27"/>
      <c r="AC80" s="26"/>
      <c r="AD80" s="27"/>
      <c r="AE80" s="104"/>
      <c r="AF80" s="26"/>
      <c r="AG80" s="26"/>
      <c r="AH80" s="26"/>
      <c r="AI80" s="26"/>
      <c r="AJ80" s="26"/>
      <c r="AK80" s="26"/>
      <c r="AL80" s="26"/>
      <c r="AM80" s="104"/>
      <c r="AN80" s="26"/>
      <c r="AO80" s="104"/>
      <c r="AP80" s="26"/>
      <c r="AQ80" s="26"/>
      <c r="AR80" s="104"/>
      <c r="AS80" s="26"/>
      <c r="AT80" s="26"/>
      <c r="AU80" s="104"/>
      <c r="AV80" s="104"/>
      <c r="AW80" s="104"/>
      <c r="AX80" s="104"/>
      <c r="AY80" s="26"/>
      <c r="AZ80" s="104"/>
      <c r="BA80" s="26"/>
      <c r="BB80" s="26"/>
      <c r="BC80" s="26"/>
      <c r="BD80" s="26"/>
      <c r="BE80" s="26"/>
    </row>
    <row r="81" spans="1:57" s="13" customFormat="1" ht="15.75" hidden="1" x14ac:dyDescent="0.25">
      <c r="A81" s="5"/>
      <c r="B81" s="6"/>
      <c r="C81" s="6"/>
      <c r="D81" s="57"/>
      <c r="E81" s="14"/>
      <c r="F81" s="14"/>
      <c r="G81" s="26"/>
      <c r="H81" s="104"/>
      <c r="I81" s="26"/>
      <c r="J81" s="27"/>
      <c r="K81" s="104"/>
      <c r="L81" s="26"/>
      <c r="M81" s="27"/>
      <c r="N81" s="104"/>
      <c r="O81" s="104"/>
      <c r="P81" s="104"/>
      <c r="Q81" s="27"/>
      <c r="R81" s="104"/>
      <c r="S81" s="104"/>
      <c r="T81" s="27"/>
      <c r="U81" s="26"/>
      <c r="V81" s="26"/>
      <c r="W81" s="104"/>
      <c r="X81" s="26"/>
      <c r="Y81" s="104"/>
      <c r="Z81" s="104"/>
      <c r="AA81" s="26"/>
      <c r="AB81" s="27"/>
      <c r="AC81" s="26"/>
      <c r="AD81" s="27"/>
      <c r="AE81" s="104"/>
      <c r="AF81" s="26"/>
      <c r="AG81" s="26"/>
      <c r="AH81" s="26"/>
      <c r="AI81" s="26"/>
      <c r="AJ81" s="26"/>
      <c r="AK81" s="26"/>
      <c r="AL81" s="26"/>
      <c r="AM81" s="104"/>
      <c r="AN81" s="26"/>
      <c r="AO81" s="104"/>
      <c r="AP81" s="26"/>
      <c r="AQ81" s="26"/>
      <c r="AR81" s="104"/>
      <c r="AS81" s="26"/>
      <c r="AT81" s="26"/>
      <c r="AU81" s="104"/>
      <c r="AV81" s="104"/>
      <c r="AW81" s="104"/>
      <c r="AX81" s="104"/>
      <c r="AY81" s="26"/>
      <c r="AZ81" s="104"/>
      <c r="BA81" s="26"/>
      <c r="BB81" s="26"/>
      <c r="BC81" s="26"/>
      <c r="BD81" s="26"/>
      <c r="BE81" s="26"/>
    </row>
    <row r="82" spans="1:57" s="13" customFormat="1" ht="15.75" hidden="1" x14ac:dyDescent="0.25">
      <c r="A82" s="5"/>
      <c r="B82" s="6"/>
      <c r="C82" s="6"/>
      <c r="D82" s="57"/>
      <c r="E82" s="14"/>
      <c r="F82" s="14"/>
      <c r="G82" s="26"/>
      <c r="H82" s="104"/>
      <c r="I82" s="26"/>
      <c r="J82" s="27"/>
      <c r="K82" s="104"/>
      <c r="L82" s="26"/>
      <c r="M82" s="27"/>
      <c r="N82" s="104"/>
      <c r="O82" s="104"/>
      <c r="P82" s="104"/>
      <c r="Q82" s="27"/>
      <c r="R82" s="104"/>
      <c r="S82" s="104"/>
      <c r="T82" s="27"/>
      <c r="U82" s="26"/>
      <c r="V82" s="26"/>
      <c r="W82" s="104"/>
      <c r="X82" s="26"/>
      <c r="Y82" s="104"/>
      <c r="Z82" s="104"/>
      <c r="AA82" s="26"/>
      <c r="AB82" s="27"/>
      <c r="AC82" s="26"/>
      <c r="AD82" s="27"/>
      <c r="AE82" s="104"/>
      <c r="AF82" s="26"/>
      <c r="AG82" s="26"/>
      <c r="AH82" s="26"/>
      <c r="AI82" s="26"/>
      <c r="AJ82" s="26"/>
      <c r="AK82" s="26"/>
      <c r="AL82" s="26"/>
      <c r="AM82" s="104"/>
      <c r="AN82" s="26"/>
      <c r="AO82" s="104"/>
      <c r="AP82" s="26"/>
      <c r="AQ82" s="26"/>
      <c r="AR82" s="104"/>
      <c r="AS82" s="26"/>
      <c r="AT82" s="26"/>
      <c r="AU82" s="104"/>
      <c r="AV82" s="104"/>
      <c r="AW82" s="104"/>
      <c r="AX82" s="104"/>
      <c r="AY82" s="26"/>
      <c r="AZ82" s="104"/>
      <c r="BA82" s="26"/>
      <c r="BB82" s="26"/>
      <c r="BC82" s="26"/>
      <c r="BD82" s="26"/>
      <c r="BE82" s="26"/>
    </row>
    <row r="83" spans="1:57" s="13" customFormat="1" ht="15.75" hidden="1" x14ac:dyDescent="0.25">
      <c r="A83" s="5"/>
      <c r="B83" s="6"/>
      <c r="C83" s="6"/>
      <c r="D83" s="57"/>
      <c r="E83" s="14"/>
      <c r="F83" s="14"/>
      <c r="G83" s="26"/>
      <c r="H83" s="104"/>
      <c r="I83" s="26"/>
      <c r="J83" s="27"/>
      <c r="K83" s="104"/>
      <c r="L83" s="26"/>
      <c r="M83" s="27"/>
      <c r="N83" s="104"/>
      <c r="O83" s="104"/>
      <c r="P83" s="104"/>
      <c r="Q83" s="27"/>
      <c r="R83" s="104"/>
      <c r="S83" s="104"/>
      <c r="T83" s="27"/>
      <c r="U83" s="26"/>
      <c r="V83" s="26"/>
      <c r="W83" s="104"/>
      <c r="X83" s="26"/>
      <c r="Y83" s="104"/>
      <c r="Z83" s="104"/>
      <c r="AA83" s="26"/>
      <c r="AB83" s="27"/>
      <c r="AC83" s="26"/>
      <c r="AD83" s="27"/>
      <c r="AE83" s="104"/>
      <c r="AF83" s="26"/>
      <c r="AG83" s="26"/>
      <c r="AH83" s="26"/>
      <c r="AI83" s="26"/>
      <c r="AJ83" s="26"/>
      <c r="AK83" s="26"/>
      <c r="AL83" s="26"/>
      <c r="AM83" s="104"/>
      <c r="AN83" s="26"/>
      <c r="AO83" s="104"/>
      <c r="AP83" s="26"/>
      <c r="AQ83" s="26"/>
      <c r="AR83" s="104"/>
      <c r="AS83" s="26"/>
      <c r="AT83" s="26"/>
      <c r="AU83" s="104"/>
      <c r="AV83" s="104"/>
      <c r="AW83" s="104"/>
      <c r="AX83" s="104"/>
      <c r="AY83" s="26"/>
      <c r="AZ83" s="104"/>
      <c r="BA83" s="26"/>
      <c r="BB83" s="26"/>
      <c r="BC83" s="26"/>
      <c r="BD83" s="26"/>
      <c r="BE83" s="26"/>
    </row>
    <row r="84" spans="1:57" s="13" customFormat="1" ht="15.75" hidden="1" x14ac:dyDescent="0.25">
      <c r="A84" s="5"/>
      <c r="B84" s="6"/>
      <c r="C84" s="6"/>
      <c r="D84" s="57"/>
      <c r="E84" s="14"/>
      <c r="F84" s="14"/>
      <c r="G84" s="26"/>
      <c r="H84" s="104"/>
      <c r="I84" s="26"/>
      <c r="J84" s="27"/>
      <c r="K84" s="104"/>
      <c r="L84" s="26"/>
      <c r="M84" s="27"/>
      <c r="N84" s="104"/>
      <c r="O84" s="104"/>
      <c r="P84" s="104"/>
      <c r="Q84" s="27"/>
      <c r="R84" s="104"/>
      <c r="S84" s="104"/>
      <c r="T84" s="27"/>
      <c r="U84" s="26"/>
      <c r="V84" s="26"/>
      <c r="W84" s="104"/>
      <c r="X84" s="26"/>
      <c r="Y84" s="104"/>
      <c r="Z84" s="104"/>
      <c r="AA84" s="26"/>
      <c r="AB84" s="27"/>
      <c r="AC84" s="26"/>
      <c r="AD84" s="27"/>
      <c r="AE84" s="104"/>
      <c r="AF84" s="26"/>
      <c r="AG84" s="26"/>
      <c r="AH84" s="26"/>
      <c r="AI84" s="26"/>
      <c r="AJ84" s="26"/>
      <c r="AK84" s="26"/>
      <c r="AL84" s="26"/>
      <c r="AM84" s="104"/>
      <c r="AN84" s="26"/>
      <c r="AO84" s="104"/>
      <c r="AP84" s="26"/>
      <c r="AQ84" s="26"/>
      <c r="AR84" s="104"/>
      <c r="AS84" s="26"/>
      <c r="AT84" s="26"/>
      <c r="AU84" s="104"/>
      <c r="AV84" s="104"/>
      <c r="AW84" s="104"/>
      <c r="AX84" s="104"/>
      <c r="AY84" s="26"/>
      <c r="AZ84" s="104"/>
      <c r="BA84" s="26"/>
      <c r="BB84" s="26"/>
      <c r="BC84" s="26"/>
      <c r="BD84" s="26"/>
      <c r="BE84" s="26"/>
    </row>
    <row r="85" spans="1:57" s="13" customFormat="1" ht="15.75" hidden="1" x14ac:dyDescent="0.25">
      <c r="A85" s="5"/>
      <c r="B85" s="6"/>
      <c r="C85" s="6"/>
      <c r="D85" s="57"/>
      <c r="E85" s="14"/>
      <c r="F85" s="14"/>
      <c r="G85" s="26"/>
      <c r="H85" s="104"/>
      <c r="I85" s="26"/>
      <c r="J85" s="27"/>
      <c r="K85" s="104"/>
      <c r="L85" s="26"/>
      <c r="M85" s="27"/>
      <c r="N85" s="104"/>
      <c r="O85" s="104"/>
      <c r="P85" s="104"/>
      <c r="Q85" s="27"/>
      <c r="R85" s="104"/>
      <c r="S85" s="104"/>
      <c r="T85" s="27"/>
      <c r="U85" s="26"/>
      <c r="V85" s="26"/>
      <c r="W85" s="104"/>
      <c r="X85" s="26"/>
      <c r="Y85" s="104"/>
      <c r="Z85" s="104"/>
      <c r="AA85" s="26"/>
      <c r="AB85" s="27"/>
      <c r="AC85" s="26"/>
      <c r="AD85" s="27"/>
      <c r="AE85" s="104"/>
      <c r="AF85" s="26"/>
      <c r="AG85" s="26"/>
      <c r="AH85" s="26"/>
      <c r="AI85" s="26"/>
      <c r="AJ85" s="26"/>
      <c r="AK85" s="26"/>
      <c r="AL85" s="26"/>
      <c r="AM85" s="104"/>
      <c r="AN85" s="26"/>
      <c r="AO85" s="104"/>
      <c r="AP85" s="26"/>
      <c r="AQ85" s="26"/>
      <c r="AR85" s="104"/>
      <c r="AS85" s="26"/>
      <c r="AT85" s="26"/>
      <c r="AU85" s="104"/>
      <c r="AV85" s="104"/>
      <c r="AW85" s="104"/>
      <c r="AX85" s="104"/>
      <c r="AY85" s="26"/>
      <c r="AZ85" s="104"/>
      <c r="BA85" s="26"/>
      <c r="BB85" s="26"/>
      <c r="BC85" s="26"/>
      <c r="BD85" s="26"/>
      <c r="BE85" s="26"/>
    </row>
    <row r="86" spans="1:57" s="13" customFormat="1" ht="15.75" hidden="1" x14ac:dyDescent="0.25">
      <c r="A86" s="5"/>
      <c r="B86" s="6"/>
      <c r="C86" s="6"/>
      <c r="D86" s="57"/>
      <c r="E86" s="14"/>
      <c r="F86" s="14"/>
      <c r="G86" s="26"/>
      <c r="H86" s="104"/>
      <c r="I86" s="26"/>
      <c r="J86" s="27"/>
      <c r="K86" s="104"/>
      <c r="L86" s="26"/>
      <c r="M86" s="27"/>
      <c r="N86" s="104"/>
      <c r="O86" s="104"/>
      <c r="P86" s="104"/>
      <c r="Q86" s="27"/>
      <c r="R86" s="104"/>
      <c r="S86" s="104"/>
      <c r="T86" s="27"/>
      <c r="U86" s="26"/>
      <c r="V86" s="26"/>
      <c r="W86" s="104"/>
      <c r="X86" s="26"/>
      <c r="Y86" s="104"/>
      <c r="Z86" s="104"/>
      <c r="AA86" s="26"/>
      <c r="AB86" s="27"/>
      <c r="AC86" s="26"/>
      <c r="AD86" s="27"/>
      <c r="AE86" s="104"/>
      <c r="AF86" s="26"/>
      <c r="AG86" s="26"/>
      <c r="AH86" s="26"/>
      <c r="AI86" s="26"/>
      <c r="AJ86" s="26"/>
      <c r="AK86" s="26"/>
      <c r="AL86" s="26"/>
      <c r="AM86" s="104"/>
      <c r="AN86" s="26"/>
      <c r="AO86" s="104"/>
      <c r="AP86" s="26"/>
      <c r="AQ86" s="26"/>
      <c r="AR86" s="104"/>
      <c r="AS86" s="26"/>
      <c r="AT86" s="26"/>
      <c r="AU86" s="104"/>
      <c r="AV86" s="104"/>
      <c r="AW86" s="104"/>
      <c r="AX86" s="104"/>
      <c r="AY86" s="26"/>
      <c r="AZ86" s="104"/>
      <c r="BA86" s="26"/>
      <c r="BB86" s="26"/>
      <c r="BC86" s="26"/>
      <c r="BD86" s="26"/>
      <c r="BE86" s="26"/>
    </row>
    <row r="87" spans="1:57" s="13" customFormat="1" ht="15.75" hidden="1" x14ac:dyDescent="0.25">
      <c r="A87" s="5"/>
      <c r="B87" s="6"/>
      <c r="C87" s="6"/>
      <c r="D87" s="57"/>
      <c r="E87" s="14"/>
      <c r="F87" s="14"/>
      <c r="G87" s="26"/>
      <c r="H87" s="104"/>
      <c r="I87" s="26"/>
      <c r="J87" s="27"/>
      <c r="K87" s="104"/>
      <c r="L87" s="26"/>
      <c r="M87" s="27"/>
      <c r="N87" s="104"/>
      <c r="O87" s="104"/>
      <c r="P87" s="104"/>
      <c r="Q87" s="27"/>
      <c r="R87" s="104"/>
      <c r="S87" s="104"/>
      <c r="T87" s="27"/>
      <c r="U87" s="26"/>
      <c r="V87" s="26"/>
      <c r="W87" s="104"/>
      <c r="X87" s="26"/>
      <c r="Y87" s="104"/>
      <c r="Z87" s="104"/>
      <c r="AA87" s="26"/>
      <c r="AB87" s="27"/>
      <c r="AC87" s="26"/>
      <c r="AD87" s="27"/>
      <c r="AE87" s="104"/>
      <c r="AF87" s="26"/>
      <c r="AG87" s="26"/>
      <c r="AH87" s="26"/>
      <c r="AI87" s="26"/>
      <c r="AJ87" s="26"/>
      <c r="AK87" s="26"/>
      <c r="AL87" s="26"/>
      <c r="AM87" s="104"/>
      <c r="AN87" s="26"/>
      <c r="AO87" s="104"/>
      <c r="AP87" s="26"/>
      <c r="AQ87" s="26"/>
      <c r="AR87" s="104"/>
      <c r="AS87" s="26"/>
      <c r="AT87" s="26"/>
      <c r="AU87" s="104"/>
      <c r="AV87" s="104"/>
      <c r="AW87" s="104"/>
      <c r="AX87" s="104"/>
      <c r="AY87" s="26"/>
      <c r="AZ87" s="104"/>
      <c r="BA87" s="26"/>
      <c r="BB87" s="26"/>
      <c r="BC87" s="26"/>
      <c r="BD87" s="26"/>
      <c r="BE87" s="26"/>
    </row>
    <row r="88" spans="1:57" s="13" customFormat="1" ht="15.75" hidden="1" x14ac:dyDescent="0.25">
      <c r="A88" s="5"/>
      <c r="B88" s="6"/>
      <c r="C88" s="6"/>
      <c r="D88" s="57"/>
      <c r="E88" s="14"/>
      <c r="F88" s="14"/>
      <c r="G88" s="26"/>
      <c r="H88" s="104"/>
      <c r="I88" s="26"/>
      <c r="J88" s="27"/>
      <c r="K88" s="104"/>
      <c r="L88" s="26"/>
      <c r="M88" s="27"/>
      <c r="N88" s="104"/>
      <c r="O88" s="104"/>
      <c r="P88" s="104"/>
      <c r="Q88" s="27"/>
      <c r="R88" s="104"/>
      <c r="S88" s="104"/>
      <c r="T88" s="27"/>
      <c r="U88" s="26"/>
      <c r="V88" s="26"/>
      <c r="W88" s="104"/>
      <c r="X88" s="26"/>
      <c r="Y88" s="104"/>
      <c r="Z88" s="104"/>
      <c r="AA88" s="26"/>
      <c r="AB88" s="27"/>
      <c r="AC88" s="26"/>
      <c r="AD88" s="27"/>
      <c r="AE88" s="104"/>
      <c r="AF88" s="26"/>
      <c r="AG88" s="26"/>
      <c r="AH88" s="26"/>
      <c r="AI88" s="26"/>
      <c r="AJ88" s="26"/>
      <c r="AK88" s="26"/>
      <c r="AL88" s="26"/>
      <c r="AM88" s="104"/>
      <c r="AN88" s="26"/>
      <c r="AO88" s="104"/>
      <c r="AP88" s="26"/>
      <c r="AQ88" s="26"/>
      <c r="AR88" s="104"/>
      <c r="AS88" s="26"/>
      <c r="AT88" s="26"/>
      <c r="AU88" s="104"/>
      <c r="AV88" s="104"/>
      <c r="AW88" s="104"/>
      <c r="AX88" s="104"/>
      <c r="AY88" s="26"/>
      <c r="AZ88" s="104"/>
      <c r="BA88" s="26"/>
      <c r="BB88" s="26"/>
      <c r="BC88" s="26"/>
      <c r="BD88" s="26"/>
      <c r="BE88" s="26"/>
    </row>
    <row r="89" spans="1:57" s="13" customFormat="1" ht="15.75" hidden="1" x14ac:dyDescent="0.25">
      <c r="A89" s="5"/>
      <c r="B89" s="6"/>
      <c r="C89" s="6"/>
      <c r="D89" s="57"/>
      <c r="E89" s="14"/>
      <c r="F89" s="14"/>
      <c r="G89" s="26"/>
      <c r="H89" s="104"/>
      <c r="I89" s="26"/>
      <c r="J89" s="27"/>
      <c r="K89" s="104"/>
      <c r="L89" s="26"/>
      <c r="M89" s="27"/>
      <c r="N89" s="104"/>
      <c r="O89" s="104"/>
      <c r="P89" s="104"/>
      <c r="Q89" s="27"/>
      <c r="R89" s="104"/>
      <c r="S89" s="104"/>
      <c r="T89" s="27"/>
      <c r="U89" s="26"/>
      <c r="V89" s="26"/>
      <c r="W89" s="104"/>
      <c r="X89" s="26"/>
      <c r="Y89" s="104"/>
      <c r="Z89" s="104"/>
      <c r="AA89" s="26"/>
      <c r="AB89" s="27"/>
      <c r="AC89" s="26"/>
      <c r="AD89" s="27"/>
      <c r="AE89" s="104"/>
      <c r="AF89" s="26"/>
      <c r="AG89" s="26"/>
      <c r="AH89" s="26"/>
      <c r="AI89" s="26"/>
      <c r="AJ89" s="26"/>
      <c r="AK89" s="26"/>
      <c r="AL89" s="26"/>
      <c r="AM89" s="104"/>
      <c r="AN89" s="26"/>
      <c r="AO89" s="104"/>
      <c r="AP89" s="26"/>
      <c r="AQ89" s="26"/>
      <c r="AR89" s="104"/>
      <c r="AS89" s="26"/>
      <c r="AT89" s="26"/>
      <c r="AU89" s="104"/>
      <c r="AV89" s="104"/>
      <c r="AW89" s="104"/>
      <c r="AX89" s="104"/>
      <c r="AY89" s="26"/>
      <c r="AZ89" s="104"/>
      <c r="BA89" s="26"/>
      <c r="BB89" s="26"/>
      <c r="BC89" s="26"/>
      <c r="BD89" s="26"/>
      <c r="BE89" s="26"/>
    </row>
    <row r="90" spans="1:57" s="13" customFormat="1" ht="15.75" hidden="1" x14ac:dyDescent="0.25">
      <c r="A90" s="5"/>
      <c r="B90" s="6"/>
      <c r="C90" s="6"/>
      <c r="D90" s="57"/>
      <c r="E90" s="14"/>
      <c r="F90" s="14"/>
      <c r="G90" s="26"/>
      <c r="H90" s="104"/>
      <c r="I90" s="26"/>
      <c r="J90" s="27"/>
      <c r="K90" s="104"/>
      <c r="L90" s="26"/>
      <c r="M90" s="27"/>
      <c r="N90" s="104"/>
      <c r="O90" s="104"/>
      <c r="P90" s="104"/>
      <c r="Q90" s="27"/>
      <c r="R90" s="104"/>
      <c r="S90" s="104"/>
      <c r="T90" s="27"/>
      <c r="U90" s="26"/>
      <c r="V90" s="26"/>
      <c r="W90" s="104"/>
      <c r="X90" s="26"/>
      <c r="Y90" s="104"/>
      <c r="Z90" s="104"/>
      <c r="AA90" s="26"/>
      <c r="AB90" s="27"/>
      <c r="AC90" s="26"/>
      <c r="AD90" s="27"/>
      <c r="AE90" s="104"/>
      <c r="AF90" s="26"/>
      <c r="AG90" s="26"/>
      <c r="AH90" s="26"/>
      <c r="AI90" s="26"/>
      <c r="AJ90" s="26"/>
      <c r="AK90" s="26"/>
      <c r="AL90" s="26"/>
      <c r="AM90" s="104"/>
      <c r="AN90" s="26"/>
      <c r="AO90" s="104"/>
      <c r="AP90" s="26"/>
      <c r="AQ90" s="26"/>
      <c r="AR90" s="104"/>
      <c r="AS90" s="26"/>
      <c r="AT90" s="26"/>
      <c r="AU90" s="104"/>
      <c r="AV90" s="104"/>
      <c r="AW90" s="104"/>
      <c r="AX90" s="104"/>
      <c r="AY90" s="26"/>
      <c r="AZ90" s="104"/>
      <c r="BA90" s="26"/>
      <c r="BB90" s="26"/>
      <c r="BC90" s="26"/>
      <c r="BD90" s="26"/>
      <c r="BE90" s="26"/>
    </row>
    <row r="91" spans="1:57" s="13" customFormat="1" ht="15.75" hidden="1" x14ac:dyDescent="0.25">
      <c r="A91" s="5"/>
      <c r="B91" s="6"/>
      <c r="C91" s="6"/>
      <c r="D91" s="57"/>
      <c r="E91" s="14"/>
      <c r="F91" s="14"/>
      <c r="G91" s="26"/>
      <c r="H91" s="104"/>
      <c r="I91" s="26"/>
      <c r="J91" s="27"/>
      <c r="K91" s="104"/>
      <c r="L91" s="26"/>
      <c r="M91" s="27"/>
      <c r="N91" s="104"/>
      <c r="O91" s="104"/>
      <c r="P91" s="104"/>
      <c r="Q91" s="27"/>
      <c r="R91" s="104"/>
      <c r="S91" s="104"/>
      <c r="T91" s="27"/>
      <c r="U91" s="26"/>
      <c r="V91" s="26"/>
      <c r="W91" s="104"/>
      <c r="X91" s="26"/>
      <c r="Y91" s="104"/>
      <c r="Z91" s="104"/>
      <c r="AA91" s="26"/>
      <c r="AB91" s="27"/>
      <c r="AC91" s="26"/>
      <c r="AD91" s="27"/>
      <c r="AE91" s="104"/>
      <c r="AF91" s="26"/>
      <c r="AG91" s="26"/>
      <c r="AH91" s="26"/>
      <c r="AI91" s="26"/>
      <c r="AJ91" s="26"/>
      <c r="AK91" s="26"/>
      <c r="AL91" s="26"/>
      <c r="AM91" s="104"/>
      <c r="AN91" s="26"/>
      <c r="AO91" s="104"/>
      <c r="AP91" s="26"/>
      <c r="AQ91" s="26"/>
      <c r="AR91" s="104"/>
      <c r="AS91" s="26"/>
      <c r="AT91" s="26"/>
      <c r="AU91" s="104"/>
      <c r="AV91" s="104"/>
      <c r="AW91" s="104"/>
      <c r="AX91" s="104"/>
      <c r="AY91" s="26"/>
      <c r="AZ91" s="104"/>
      <c r="BA91" s="26"/>
      <c r="BB91" s="26"/>
      <c r="BC91" s="26"/>
      <c r="BD91" s="26"/>
      <c r="BE91" s="26"/>
    </row>
    <row r="92" spans="1:57" s="13" customFormat="1" ht="15.75" hidden="1" x14ac:dyDescent="0.25">
      <c r="A92" s="5"/>
      <c r="B92" s="6"/>
      <c r="C92" s="6"/>
      <c r="D92" s="57"/>
      <c r="E92" s="14"/>
      <c r="F92" s="14"/>
      <c r="G92" s="26"/>
      <c r="H92" s="104"/>
      <c r="I92" s="26"/>
      <c r="J92" s="27"/>
      <c r="K92" s="104"/>
      <c r="L92" s="26"/>
      <c r="M92" s="27"/>
      <c r="N92" s="104"/>
      <c r="O92" s="104"/>
      <c r="P92" s="104"/>
      <c r="Q92" s="27"/>
      <c r="R92" s="104"/>
      <c r="S92" s="104"/>
      <c r="T92" s="27"/>
      <c r="U92" s="26"/>
      <c r="V92" s="26"/>
      <c r="W92" s="104"/>
      <c r="X92" s="26"/>
      <c r="Y92" s="104"/>
      <c r="Z92" s="104"/>
      <c r="AA92" s="26"/>
      <c r="AB92" s="27"/>
      <c r="AC92" s="26"/>
      <c r="AD92" s="27"/>
      <c r="AE92" s="104"/>
      <c r="AF92" s="26"/>
      <c r="AG92" s="26"/>
      <c r="AH92" s="26"/>
      <c r="AI92" s="26"/>
      <c r="AJ92" s="26"/>
      <c r="AK92" s="26"/>
      <c r="AL92" s="26"/>
      <c r="AM92" s="104"/>
      <c r="AN92" s="26"/>
      <c r="AO92" s="104"/>
      <c r="AP92" s="26"/>
      <c r="AQ92" s="26"/>
      <c r="AR92" s="104"/>
      <c r="AS92" s="26"/>
      <c r="AT92" s="26"/>
      <c r="AU92" s="104"/>
      <c r="AV92" s="104"/>
      <c r="AW92" s="104"/>
      <c r="AX92" s="104"/>
      <c r="AY92" s="26"/>
      <c r="AZ92" s="104"/>
      <c r="BA92" s="26"/>
      <c r="BB92" s="26"/>
      <c r="BC92" s="26"/>
      <c r="BD92" s="26"/>
      <c r="BE92" s="26"/>
    </row>
    <row r="93" spans="1:57" s="13" customFormat="1" ht="15.75" hidden="1" x14ac:dyDescent="0.25">
      <c r="A93" s="5"/>
      <c r="B93" s="6"/>
      <c r="C93" s="6"/>
      <c r="D93" s="57"/>
      <c r="E93" s="14"/>
      <c r="F93" s="14"/>
      <c r="G93" s="26"/>
      <c r="H93" s="104"/>
      <c r="I93" s="26"/>
      <c r="J93" s="27"/>
      <c r="K93" s="104"/>
      <c r="L93" s="26"/>
      <c r="M93" s="27"/>
      <c r="N93" s="104"/>
      <c r="O93" s="104"/>
      <c r="P93" s="104"/>
      <c r="Q93" s="27"/>
      <c r="R93" s="104"/>
      <c r="S93" s="104"/>
      <c r="T93" s="27"/>
      <c r="U93" s="26"/>
      <c r="V93" s="26"/>
      <c r="W93" s="104"/>
      <c r="X93" s="26"/>
      <c r="Y93" s="104"/>
      <c r="Z93" s="104"/>
      <c r="AA93" s="26"/>
      <c r="AB93" s="27"/>
      <c r="AC93" s="26"/>
      <c r="AD93" s="27"/>
      <c r="AE93" s="104"/>
      <c r="AF93" s="26"/>
      <c r="AG93" s="26"/>
      <c r="AH93" s="26"/>
      <c r="AI93" s="26"/>
      <c r="AJ93" s="26"/>
      <c r="AK93" s="26"/>
      <c r="AL93" s="26"/>
      <c r="AM93" s="104"/>
      <c r="AN93" s="26"/>
      <c r="AO93" s="104"/>
      <c r="AP93" s="26"/>
      <c r="AQ93" s="26"/>
      <c r="AR93" s="104"/>
      <c r="AS93" s="26"/>
      <c r="AT93" s="26"/>
      <c r="AU93" s="104"/>
      <c r="AV93" s="104"/>
      <c r="AW93" s="104"/>
      <c r="AX93" s="104"/>
      <c r="AY93" s="26"/>
      <c r="AZ93" s="104"/>
      <c r="BA93" s="26"/>
      <c r="BB93" s="26"/>
      <c r="BC93" s="26"/>
      <c r="BD93" s="26"/>
      <c r="BE93" s="26"/>
    </row>
    <row r="94" spans="1:57" s="13" customFormat="1" ht="15.75" hidden="1" x14ac:dyDescent="0.25">
      <c r="A94" s="5"/>
      <c r="B94" s="6"/>
      <c r="C94" s="6"/>
      <c r="D94" s="57"/>
      <c r="E94" s="14"/>
      <c r="F94" s="14"/>
      <c r="G94" s="26"/>
      <c r="H94" s="104"/>
      <c r="I94" s="26"/>
      <c r="J94" s="27"/>
      <c r="K94" s="104"/>
      <c r="L94" s="26"/>
      <c r="M94" s="27"/>
      <c r="N94" s="104"/>
      <c r="O94" s="104"/>
      <c r="P94" s="104"/>
      <c r="Q94" s="27"/>
      <c r="R94" s="104"/>
      <c r="S94" s="104"/>
      <c r="T94" s="27"/>
      <c r="U94" s="26"/>
      <c r="V94" s="26"/>
      <c r="W94" s="104"/>
      <c r="X94" s="26"/>
      <c r="Y94" s="104"/>
      <c r="Z94" s="104"/>
      <c r="AA94" s="26"/>
      <c r="AB94" s="27"/>
      <c r="AC94" s="26"/>
      <c r="AD94" s="27"/>
      <c r="AE94" s="104"/>
      <c r="AF94" s="26"/>
      <c r="AG94" s="26"/>
      <c r="AH94" s="26"/>
      <c r="AI94" s="26"/>
      <c r="AJ94" s="26"/>
      <c r="AK94" s="26"/>
      <c r="AL94" s="26"/>
      <c r="AM94" s="104"/>
      <c r="AN94" s="26"/>
      <c r="AO94" s="104"/>
      <c r="AP94" s="26"/>
      <c r="AQ94" s="26"/>
      <c r="AR94" s="104"/>
      <c r="AS94" s="26"/>
      <c r="AT94" s="26"/>
      <c r="AU94" s="104"/>
      <c r="AV94" s="104"/>
      <c r="AW94" s="104"/>
      <c r="AX94" s="104"/>
      <c r="AY94" s="26"/>
      <c r="AZ94" s="104"/>
      <c r="BA94" s="26"/>
      <c r="BB94" s="26"/>
      <c r="BC94" s="26"/>
      <c r="BD94" s="26"/>
      <c r="BE94" s="26"/>
    </row>
    <row r="95" spans="1:57" s="13" customFormat="1" ht="15.75" hidden="1" x14ac:dyDescent="0.25">
      <c r="A95" s="5"/>
      <c r="B95" s="6"/>
      <c r="C95" s="6"/>
      <c r="D95" s="57"/>
      <c r="E95" s="14"/>
      <c r="F95" s="14"/>
      <c r="G95" s="26"/>
      <c r="H95" s="104"/>
      <c r="I95" s="26"/>
      <c r="J95" s="27"/>
      <c r="K95" s="104"/>
      <c r="L95" s="26"/>
      <c r="M95" s="27"/>
      <c r="N95" s="104"/>
      <c r="O95" s="104"/>
      <c r="P95" s="104"/>
      <c r="Q95" s="27"/>
      <c r="R95" s="104"/>
      <c r="S95" s="104"/>
      <c r="T95" s="27"/>
      <c r="U95" s="26"/>
      <c r="V95" s="26"/>
      <c r="W95" s="104"/>
      <c r="X95" s="26"/>
      <c r="Y95" s="104"/>
      <c r="Z95" s="104"/>
      <c r="AA95" s="26"/>
      <c r="AB95" s="27"/>
      <c r="AC95" s="26"/>
      <c r="AD95" s="27"/>
      <c r="AE95" s="104"/>
      <c r="AF95" s="26"/>
      <c r="AG95" s="26"/>
      <c r="AH95" s="26"/>
      <c r="AI95" s="26"/>
      <c r="AJ95" s="26"/>
      <c r="AK95" s="26"/>
      <c r="AL95" s="26"/>
      <c r="AM95" s="104"/>
      <c r="AN95" s="26"/>
      <c r="AO95" s="104"/>
      <c r="AP95" s="26"/>
      <c r="AQ95" s="26"/>
      <c r="AR95" s="104"/>
      <c r="AS95" s="26"/>
      <c r="AT95" s="26"/>
      <c r="AU95" s="104"/>
      <c r="AV95" s="104"/>
      <c r="AW95" s="104"/>
      <c r="AX95" s="104"/>
      <c r="AY95" s="26"/>
      <c r="AZ95" s="104"/>
      <c r="BA95" s="26"/>
      <c r="BB95" s="26"/>
      <c r="BC95" s="26"/>
      <c r="BD95" s="26"/>
      <c r="BE95" s="26"/>
    </row>
    <row r="96" spans="1:57" s="13" customFormat="1" ht="15.75" hidden="1" x14ac:dyDescent="0.25">
      <c r="A96" s="5"/>
      <c r="B96" s="6"/>
      <c r="C96" s="6"/>
      <c r="D96" s="57"/>
      <c r="E96" s="14"/>
      <c r="F96" s="14"/>
      <c r="G96" s="26"/>
      <c r="H96" s="104"/>
      <c r="I96" s="26"/>
      <c r="J96" s="27"/>
      <c r="K96" s="104"/>
      <c r="L96" s="26"/>
      <c r="M96" s="27"/>
      <c r="N96" s="104"/>
      <c r="O96" s="104"/>
      <c r="P96" s="104"/>
      <c r="Q96" s="27"/>
      <c r="R96" s="104"/>
      <c r="S96" s="104"/>
      <c r="T96" s="27"/>
      <c r="U96" s="26"/>
      <c r="V96" s="26"/>
      <c r="W96" s="104"/>
      <c r="X96" s="26"/>
      <c r="Y96" s="104"/>
      <c r="Z96" s="104"/>
      <c r="AA96" s="26"/>
      <c r="AB96" s="27"/>
      <c r="AC96" s="26"/>
      <c r="AD96" s="27"/>
      <c r="AE96" s="104"/>
      <c r="AF96" s="26"/>
      <c r="AG96" s="26"/>
      <c r="AH96" s="26"/>
      <c r="AI96" s="26"/>
      <c r="AJ96" s="26"/>
      <c r="AK96" s="26"/>
      <c r="AL96" s="26"/>
      <c r="AM96" s="104"/>
      <c r="AN96" s="26"/>
      <c r="AO96" s="104"/>
      <c r="AP96" s="26"/>
      <c r="AQ96" s="26"/>
      <c r="AR96" s="104"/>
      <c r="AS96" s="26"/>
      <c r="AT96" s="26"/>
      <c r="AU96" s="104"/>
      <c r="AV96" s="104"/>
      <c r="AW96" s="104"/>
      <c r="AX96" s="104"/>
      <c r="AY96" s="26"/>
      <c r="AZ96" s="104"/>
      <c r="BA96" s="26"/>
      <c r="BB96" s="26"/>
      <c r="BC96" s="26"/>
      <c r="BD96" s="26"/>
      <c r="BE96" s="26"/>
    </row>
    <row r="97" spans="1:57" s="13" customFormat="1" ht="15.75" hidden="1" x14ac:dyDescent="0.25">
      <c r="A97" s="5"/>
      <c r="B97" s="6"/>
      <c r="C97" s="6"/>
      <c r="D97" s="57"/>
      <c r="E97" s="14"/>
      <c r="F97" s="14"/>
      <c r="G97" s="26"/>
      <c r="H97" s="104"/>
      <c r="I97" s="26"/>
      <c r="J97" s="27"/>
      <c r="K97" s="104"/>
      <c r="L97" s="26"/>
      <c r="M97" s="27"/>
      <c r="N97" s="104"/>
      <c r="O97" s="104"/>
      <c r="P97" s="104"/>
      <c r="Q97" s="27"/>
      <c r="R97" s="104"/>
      <c r="S97" s="104"/>
      <c r="T97" s="27"/>
      <c r="U97" s="26"/>
      <c r="V97" s="26"/>
      <c r="W97" s="104"/>
      <c r="X97" s="26"/>
      <c r="Y97" s="104"/>
      <c r="Z97" s="104"/>
      <c r="AA97" s="26"/>
      <c r="AB97" s="27"/>
      <c r="AC97" s="26"/>
      <c r="AD97" s="27"/>
      <c r="AE97" s="104"/>
      <c r="AF97" s="26"/>
      <c r="AG97" s="26"/>
      <c r="AH97" s="26"/>
      <c r="AI97" s="26"/>
      <c r="AJ97" s="26"/>
      <c r="AK97" s="26"/>
      <c r="AL97" s="26"/>
      <c r="AM97" s="104"/>
      <c r="AN97" s="26"/>
      <c r="AO97" s="104"/>
      <c r="AP97" s="26"/>
      <c r="AQ97" s="26"/>
      <c r="AR97" s="104"/>
      <c r="AS97" s="26"/>
      <c r="AT97" s="26"/>
      <c r="AU97" s="104"/>
      <c r="AV97" s="104"/>
      <c r="AW97" s="104"/>
      <c r="AX97" s="104"/>
      <c r="AY97" s="26"/>
      <c r="AZ97" s="104"/>
      <c r="BA97" s="26"/>
      <c r="BB97" s="26"/>
      <c r="BC97" s="26"/>
      <c r="BD97" s="26"/>
      <c r="BE97" s="26"/>
    </row>
    <row r="98" spans="1:57" s="13" customFormat="1" ht="15.75" hidden="1" x14ac:dyDescent="0.25">
      <c r="A98" s="5"/>
      <c r="B98" s="6"/>
      <c r="C98" s="6"/>
      <c r="D98" s="57"/>
      <c r="E98" s="14"/>
      <c r="F98" s="14"/>
      <c r="G98" s="26"/>
      <c r="H98" s="104"/>
      <c r="I98" s="26"/>
      <c r="J98" s="27"/>
      <c r="K98" s="104"/>
      <c r="L98" s="26"/>
      <c r="M98" s="27"/>
      <c r="N98" s="104"/>
      <c r="O98" s="104"/>
      <c r="P98" s="104"/>
      <c r="Q98" s="27"/>
      <c r="R98" s="104"/>
      <c r="S98" s="104"/>
      <c r="T98" s="27"/>
      <c r="U98" s="26"/>
      <c r="V98" s="26"/>
      <c r="W98" s="104"/>
      <c r="X98" s="26"/>
      <c r="Y98" s="104"/>
      <c r="Z98" s="104"/>
      <c r="AA98" s="26"/>
      <c r="AB98" s="27"/>
      <c r="AC98" s="26"/>
      <c r="AD98" s="27"/>
      <c r="AE98" s="104"/>
      <c r="AF98" s="26"/>
      <c r="AG98" s="26"/>
      <c r="AH98" s="26"/>
      <c r="AI98" s="26"/>
      <c r="AJ98" s="26"/>
      <c r="AK98" s="26"/>
      <c r="AL98" s="26"/>
      <c r="AM98" s="104"/>
      <c r="AN98" s="26"/>
      <c r="AO98" s="104"/>
      <c r="AP98" s="26"/>
      <c r="AQ98" s="26"/>
      <c r="AR98" s="104"/>
      <c r="AS98" s="26"/>
      <c r="AT98" s="26"/>
      <c r="AU98" s="104"/>
      <c r="AV98" s="104"/>
      <c r="AW98" s="104"/>
      <c r="AX98" s="104"/>
      <c r="AY98" s="26"/>
      <c r="AZ98" s="104"/>
      <c r="BA98" s="26"/>
      <c r="BB98" s="26"/>
      <c r="BC98" s="26"/>
      <c r="BD98" s="26"/>
      <c r="BE98" s="26"/>
    </row>
    <row r="99" spans="1:57" s="13" customFormat="1" ht="15.75" hidden="1" x14ac:dyDescent="0.25">
      <c r="A99" s="5"/>
      <c r="B99" s="6"/>
      <c r="C99" s="6"/>
      <c r="D99" s="57"/>
      <c r="E99" s="14"/>
      <c r="F99" s="14"/>
      <c r="G99" s="26"/>
      <c r="H99" s="104"/>
      <c r="I99" s="26"/>
      <c r="J99" s="27"/>
      <c r="K99" s="104"/>
      <c r="L99" s="26"/>
      <c r="M99" s="27"/>
      <c r="N99" s="104"/>
      <c r="O99" s="104"/>
      <c r="P99" s="104"/>
      <c r="Q99" s="27"/>
      <c r="R99" s="104"/>
      <c r="S99" s="104"/>
      <c r="T99" s="27"/>
      <c r="U99" s="26"/>
      <c r="V99" s="26"/>
      <c r="W99" s="104"/>
      <c r="X99" s="26"/>
      <c r="Y99" s="104"/>
      <c r="Z99" s="104"/>
      <c r="AA99" s="26"/>
      <c r="AB99" s="27"/>
      <c r="AC99" s="26"/>
      <c r="AD99" s="27"/>
      <c r="AE99" s="104"/>
      <c r="AF99" s="26"/>
      <c r="AG99" s="26"/>
      <c r="AH99" s="26"/>
      <c r="AI99" s="26"/>
      <c r="AJ99" s="26"/>
      <c r="AK99" s="26"/>
      <c r="AL99" s="26"/>
      <c r="AM99" s="104"/>
      <c r="AN99" s="26"/>
      <c r="AO99" s="104"/>
      <c r="AP99" s="26"/>
      <c r="AQ99" s="26"/>
      <c r="AR99" s="104"/>
      <c r="AS99" s="26"/>
      <c r="AT99" s="26"/>
      <c r="AU99" s="104"/>
      <c r="AV99" s="104"/>
      <c r="AW99" s="104"/>
      <c r="AX99" s="104"/>
      <c r="AY99" s="26"/>
      <c r="AZ99" s="104"/>
      <c r="BA99" s="26"/>
      <c r="BB99" s="26"/>
      <c r="BC99" s="26"/>
      <c r="BD99" s="26"/>
      <c r="BE99" s="26"/>
    </row>
    <row r="100" spans="1:57" s="13" customFormat="1" ht="15.75" hidden="1" x14ac:dyDescent="0.25">
      <c r="A100" s="5"/>
      <c r="B100" s="6"/>
      <c r="C100" s="6"/>
      <c r="D100" s="57"/>
      <c r="E100" s="14"/>
      <c r="F100" s="14"/>
      <c r="G100" s="26"/>
      <c r="H100" s="104"/>
      <c r="I100" s="26"/>
      <c r="J100" s="27"/>
      <c r="K100" s="104"/>
      <c r="L100" s="26"/>
      <c r="M100" s="27"/>
      <c r="N100" s="104"/>
      <c r="O100" s="104"/>
      <c r="P100" s="104"/>
      <c r="Q100" s="27"/>
      <c r="R100" s="104"/>
      <c r="S100" s="104"/>
      <c r="T100" s="27"/>
      <c r="U100" s="26"/>
      <c r="V100" s="26"/>
      <c r="W100" s="104"/>
      <c r="X100" s="26"/>
      <c r="Y100" s="104"/>
      <c r="Z100" s="104"/>
      <c r="AA100" s="26"/>
      <c r="AB100" s="27"/>
      <c r="AC100" s="26"/>
      <c r="AD100" s="27"/>
      <c r="AE100" s="104"/>
      <c r="AF100" s="26"/>
      <c r="AG100" s="26"/>
      <c r="AH100" s="26"/>
      <c r="AI100" s="26"/>
      <c r="AJ100" s="26"/>
      <c r="AK100" s="26"/>
      <c r="AL100" s="26"/>
      <c r="AM100" s="104"/>
      <c r="AN100" s="26"/>
      <c r="AO100" s="104"/>
      <c r="AP100" s="26"/>
      <c r="AQ100" s="26"/>
      <c r="AR100" s="104"/>
      <c r="AS100" s="26"/>
      <c r="AT100" s="26"/>
      <c r="AU100" s="104"/>
      <c r="AV100" s="104"/>
      <c r="AW100" s="104"/>
      <c r="AX100" s="104"/>
      <c r="AY100" s="26"/>
      <c r="AZ100" s="104"/>
      <c r="BA100" s="26"/>
      <c r="BB100" s="26"/>
      <c r="BC100" s="26"/>
      <c r="BD100" s="26"/>
      <c r="BE100" s="26"/>
    </row>
    <row r="101" spans="1:57" s="13" customFormat="1" ht="15.75" hidden="1" x14ac:dyDescent="0.25">
      <c r="A101" s="5"/>
      <c r="B101" s="6"/>
      <c r="C101" s="6"/>
      <c r="D101" s="57"/>
      <c r="E101" s="14"/>
      <c r="F101" s="14"/>
      <c r="G101" s="26"/>
      <c r="H101" s="104"/>
      <c r="I101" s="26"/>
      <c r="J101" s="27"/>
      <c r="K101" s="104"/>
      <c r="L101" s="26"/>
      <c r="M101" s="27"/>
      <c r="N101" s="104"/>
      <c r="O101" s="104"/>
      <c r="P101" s="104"/>
      <c r="Q101" s="27"/>
      <c r="R101" s="104"/>
      <c r="S101" s="104"/>
      <c r="T101" s="27"/>
      <c r="U101" s="26"/>
      <c r="V101" s="26"/>
      <c r="W101" s="104"/>
      <c r="X101" s="26"/>
      <c r="Y101" s="104"/>
      <c r="Z101" s="104"/>
      <c r="AA101" s="26"/>
      <c r="AB101" s="27"/>
      <c r="AC101" s="26"/>
      <c r="AD101" s="27"/>
      <c r="AE101" s="104"/>
      <c r="AF101" s="26"/>
      <c r="AG101" s="26"/>
      <c r="AH101" s="26"/>
      <c r="AI101" s="26"/>
      <c r="AJ101" s="26"/>
      <c r="AK101" s="26"/>
      <c r="AL101" s="26"/>
      <c r="AM101" s="104"/>
      <c r="AN101" s="26"/>
      <c r="AO101" s="104"/>
      <c r="AP101" s="26"/>
      <c r="AQ101" s="26"/>
      <c r="AR101" s="104"/>
      <c r="AS101" s="26"/>
      <c r="AT101" s="26"/>
      <c r="AU101" s="104"/>
      <c r="AV101" s="104"/>
      <c r="AW101" s="104"/>
      <c r="AX101" s="104"/>
      <c r="AY101" s="26"/>
      <c r="AZ101" s="104"/>
      <c r="BA101" s="26"/>
      <c r="BB101" s="26"/>
      <c r="BC101" s="26"/>
      <c r="BD101" s="26"/>
      <c r="BE101" s="26"/>
    </row>
    <row r="102" spans="1:57" s="13" customFormat="1" ht="15.75" hidden="1" x14ac:dyDescent="0.25">
      <c r="A102" s="5"/>
      <c r="B102" s="6"/>
      <c r="C102" s="6"/>
      <c r="D102" s="57"/>
      <c r="E102" s="14"/>
      <c r="F102" s="14"/>
      <c r="G102" s="26"/>
      <c r="H102" s="104"/>
      <c r="I102" s="26"/>
      <c r="J102" s="27"/>
      <c r="K102" s="104"/>
      <c r="L102" s="26"/>
      <c r="M102" s="27"/>
      <c r="N102" s="104"/>
      <c r="O102" s="104"/>
      <c r="P102" s="104"/>
      <c r="Q102" s="27"/>
      <c r="R102" s="104"/>
      <c r="S102" s="104"/>
      <c r="T102" s="27"/>
      <c r="U102" s="26"/>
      <c r="V102" s="26"/>
      <c r="W102" s="104"/>
      <c r="X102" s="26"/>
      <c r="Y102" s="104"/>
      <c r="Z102" s="104"/>
      <c r="AA102" s="26"/>
      <c r="AB102" s="27"/>
      <c r="AC102" s="26"/>
      <c r="AD102" s="27"/>
      <c r="AE102" s="104"/>
      <c r="AF102" s="26"/>
      <c r="AG102" s="26"/>
      <c r="AH102" s="26"/>
      <c r="AI102" s="26"/>
      <c r="AJ102" s="26"/>
      <c r="AK102" s="26"/>
      <c r="AL102" s="26"/>
      <c r="AM102" s="104"/>
      <c r="AN102" s="26"/>
      <c r="AO102" s="104"/>
      <c r="AP102" s="26"/>
      <c r="AQ102" s="26"/>
      <c r="AR102" s="104"/>
      <c r="AS102" s="26"/>
      <c r="AT102" s="26"/>
      <c r="AU102" s="104"/>
      <c r="AV102" s="104"/>
      <c r="AW102" s="104"/>
      <c r="AX102" s="104"/>
      <c r="AY102" s="26"/>
      <c r="AZ102" s="104"/>
      <c r="BA102" s="26"/>
      <c r="BB102" s="26"/>
      <c r="BC102" s="26"/>
      <c r="BD102" s="26"/>
      <c r="BE102" s="26"/>
    </row>
    <row r="103" spans="1:57" s="13" customFormat="1" ht="15.75" hidden="1" x14ac:dyDescent="0.25">
      <c r="A103" s="5"/>
      <c r="B103" s="6"/>
      <c r="C103" s="6"/>
      <c r="D103" s="57"/>
      <c r="E103" s="14"/>
      <c r="F103" s="14"/>
      <c r="G103" s="26"/>
      <c r="H103" s="104"/>
      <c r="I103" s="26"/>
      <c r="J103" s="27"/>
      <c r="K103" s="104"/>
      <c r="L103" s="26"/>
      <c r="M103" s="27"/>
      <c r="N103" s="104"/>
      <c r="O103" s="104"/>
      <c r="P103" s="104"/>
      <c r="Q103" s="27"/>
      <c r="R103" s="104"/>
      <c r="S103" s="104"/>
      <c r="T103" s="27"/>
      <c r="U103" s="26"/>
      <c r="V103" s="26"/>
      <c r="W103" s="104"/>
      <c r="X103" s="26"/>
      <c r="Y103" s="104"/>
      <c r="Z103" s="104"/>
      <c r="AA103" s="26"/>
      <c r="AB103" s="27"/>
      <c r="AC103" s="26"/>
      <c r="AD103" s="27"/>
      <c r="AE103" s="104"/>
      <c r="AF103" s="26"/>
      <c r="AG103" s="26"/>
      <c r="AH103" s="26"/>
      <c r="AI103" s="26"/>
      <c r="AJ103" s="26"/>
      <c r="AK103" s="26"/>
      <c r="AL103" s="26"/>
      <c r="AM103" s="104"/>
      <c r="AN103" s="26"/>
      <c r="AO103" s="104"/>
      <c r="AP103" s="26"/>
      <c r="AQ103" s="26"/>
      <c r="AR103" s="104"/>
      <c r="AS103" s="26"/>
      <c r="AT103" s="26"/>
      <c r="AU103" s="104"/>
      <c r="AV103" s="104"/>
      <c r="AW103" s="104"/>
      <c r="AX103" s="104"/>
      <c r="AY103" s="26"/>
      <c r="AZ103" s="104"/>
      <c r="BA103" s="26"/>
      <c r="BB103" s="26"/>
      <c r="BC103" s="26"/>
      <c r="BD103" s="26"/>
      <c r="BE103" s="26"/>
    </row>
    <row r="104" spans="1:57" s="13" customFormat="1" ht="15.75" hidden="1" x14ac:dyDescent="0.25">
      <c r="A104" s="5"/>
      <c r="B104" s="6"/>
      <c r="C104" s="6"/>
      <c r="D104" s="57"/>
      <c r="E104" s="14"/>
      <c r="F104" s="14"/>
      <c r="G104" s="26"/>
      <c r="H104" s="104"/>
      <c r="I104" s="26"/>
      <c r="J104" s="27"/>
      <c r="K104" s="104"/>
      <c r="L104" s="26"/>
      <c r="M104" s="27"/>
      <c r="N104" s="104"/>
      <c r="O104" s="104"/>
      <c r="P104" s="104"/>
      <c r="Q104" s="27"/>
      <c r="R104" s="104"/>
      <c r="S104" s="104"/>
      <c r="T104" s="27"/>
      <c r="U104" s="26"/>
      <c r="V104" s="26"/>
      <c r="W104" s="104"/>
      <c r="X104" s="26"/>
      <c r="Y104" s="104"/>
      <c r="Z104" s="104"/>
      <c r="AA104" s="26"/>
      <c r="AB104" s="27"/>
      <c r="AC104" s="26"/>
      <c r="AD104" s="27"/>
      <c r="AE104" s="104"/>
      <c r="AF104" s="26"/>
      <c r="AG104" s="26"/>
      <c r="AH104" s="26"/>
      <c r="AI104" s="26"/>
      <c r="AJ104" s="26"/>
      <c r="AK104" s="26"/>
      <c r="AL104" s="26"/>
      <c r="AM104" s="104"/>
      <c r="AN104" s="26"/>
      <c r="AO104" s="104"/>
      <c r="AP104" s="26"/>
      <c r="AQ104" s="26"/>
      <c r="AR104" s="104"/>
      <c r="AS104" s="26"/>
      <c r="AT104" s="26"/>
      <c r="AU104" s="104"/>
      <c r="AV104" s="104"/>
      <c r="AW104" s="104"/>
      <c r="AX104" s="104"/>
      <c r="AY104" s="26"/>
      <c r="AZ104" s="104"/>
      <c r="BA104" s="26"/>
      <c r="BB104" s="26"/>
      <c r="BC104" s="26"/>
      <c r="BD104" s="26"/>
      <c r="BE104" s="26"/>
    </row>
    <row r="105" spans="1:57" s="13" customFormat="1" ht="15.75" hidden="1" x14ac:dyDescent="0.25">
      <c r="A105" s="5"/>
      <c r="B105" s="6"/>
      <c r="C105" s="6"/>
      <c r="D105" s="57"/>
      <c r="E105" s="14"/>
      <c r="F105" s="14"/>
      <c r="G105" s="26"/>
      <c r="H105" s="104"/>
      <c r="I105" s="26"/>
      <c r="J105" s="27"/>
      <c r="K105" s="104"/>
      <c r="L105" s="26"/>
      <c r="M105" s="27"/>
      <c r="N105" s="104"/>
      <c r="O105" s="104"/>
      <c r="P105" s="104"/>
      <c r="Q105" s="27"/>
      <c r="R105" s="104"/>
      <c r="S105" s="104"/>
      <c r="T105" s="27"/>
      <c r="U105" s="26"/>
      <c r="V105" s="26"/>
      <c r="W105" s="104"/>
      <c r="X105" s="26"/>
      <c r="Y105" s="104"/>
      <c r="Z105" s="104"/>
      <c r="AA105" s="26"/>
      <c r="AB105" s="27"/>
      <c r="AC105" s="26"/>
      <c r="AD105" s="27"/>
      <c r="AE105" s="104"/>
      <c r="AF105" s="26"/>
      <c r="AG105" s="26"/>
      <c r="AH105" s="26"/>
      <c r="AI105" s="26"/>
      <c r="AJ105" s="26"/>
      <c r="AK105" s="26"/>
      <c r="AL105" s="26"/>
      <c r="AM105" s="104"/>
      <c r="AN105" s="26"/>
      <c r="AO105" s="104"/>
      <c r="AP105" s="26"/>
      <c r="AQ105" s="26"/>
      <c r="AR105" s="104"/>
      <c r="AS105" s="26"/>
      <c r="AT105" s="26"/>
      <c r="AU105" s="104"/>
      <c r="AV105" s="104"/>
      <c r="AW105" s="104"/>
      <c r="AX105" s="104"/>
      <c r="AY105" s="26"/>
      <c r="AZ105" s="104"/>
      <c r="BA105" s="26"/>
      <c r="BB105" s="26"/>
      <c r="BC105" s="26"/>
      <c r="BD105" s="26"/>
      <c r="BE105" s="26"/>
    </row>
    <row r="106" spans="1:57" s="13" customFormat="1" ht="15.75" hidden="1" x14ac:dyDescent="0.25">
      <c r="A106" s="5"/>
      <c r="B106" s="6"/>
      <c r="C106" s="6"/>
      <c r="D106" s="57"/>
      <c r="E106" s="14"/>
      <c r="F106" s="14"/>
      <c r="G106" s="26"/>
      <c r="H106" s="104"/>
      <c r="I106" s="26"/>
      <c r="J106" s="27"/>
      <c r="K106" s="104"/>
      <c r="L106" s="26"/>
      <c r="M106" s="27"/>
      <c r="N106" s="104"/>
      <c r="O106" s="104"/>
      <c r="P106" s="104"/>
      <c r="Q106" s="27"/>
      <c r="R106" s="104"/>
      <c r="S106" s="104"/>
      <c r="T106" s="27"/>
      <c r="U106" s="26"/>
      <c r="V106" s="26"/>
      <c r="W106" s="104"/>
      <c r="X106" s="26"/>
      <c r="Y106" s="104"/>
      <c r="Z106" s="104"/>
      <c r="AA106" s="26"/>
      <c r="AB106" s="27"/>
      <c r="AC106" s="26"/>
      <c r="AD106" s="27"/>
      <c r="AE106" s="104"/>
      <c r="AF106" s="26"/>
      <c r="AG106" s="26"/>
      <c r="AH106" s="26"/>
      <c r="AI106" s="26"/>
      <c r="AJ106" s="26"/>
      <c r="AK106" s="26"/>
      <c r="AL106" s="26"/>
      <c r="AM106" s="104"/>
      <c r="AN106" s="26"/>
      <c r="AO106" s="104"/>
      <c r="AP106" s="26"/>
      <c r="AQ106" s="26"/>
      <c r="AR106" s="104"/>
      <c r="AS106" s="26"/>
      <c r="AT106" s="26"/>
      <c r="AU106" s="104"/>
      <c r="AV106" s="104"/>
      <c r="AW106" s="104"/>
      <c r="AX106" s="104"/>
      <c r="AY106" s="26"/>
      <c r="AZ106" s="104"/>
      <c r="BA106" s="26"/>
      <c r="BB106" s="26"/>
      <c r="BC106" s="26"/>
      <c r="BD106" s="26"/>
      <c r="BE106" s="26"/>
    </row>
    <row r="107" spans="1:57" s="13" customFormat="1" ht="15.75" hidden="1" x14ac:dyDescent="0.25">
      <c r="A107" s="5"/>
      <c r="B107" s="6"/>
      <c r="C107" s="6"/>
      <c r="D107" s="57"/>
      <c r="E107" s="14"/>
      <c r="F107" s="14"/>
      <c r="G107" s="26"/>
      <c r="H107" s="104"/>
      <c r="I107" s="26"/>
      <c r="J107" s="27"/>
      <c r="K107" s="104"/>
      <c r="L107" s="26"/>
      <c r="M107" s="27"/>
      <c r="N107" s="104"/>
      <c r="O107" s="104"/>
      <c r="P107" s="104"/>
      <c r="Q107" s="27"/>
      <c r="R107" s="104"/>
      <c r="S107" s="104"/>
      <c r="T107" s="27"/>
      <c r="U107" s="26"/>
      <c r="V107" s="26"/>
      <c r="W107" s="104"/>
      <c r="X107" s="26"/>
      <c r="Y107" s="104"/>
      <c r="Z107" s="104"/>
      <c r="AA107" s="26"/>
      <c r="AB107" s="27"/>
      <c r="AC107" s="26"/>
      <c r="AD107" s="27"/>
      <c r="AE107" s="104"/>
      <c r="AF107" s="26"/>
      <c r="AG107" s="26"/>
      <c r="AH107" s="26"/>
      <c r="AI107" s="26"/>
      <c r="AJ107" s="26"/>
      <c r="AK107" s="26"/>
      <c r="AL107" s="26"/>
      <c r="AM107" s="104"/>
      <c r="AN107" s="26"/>
      <c r="AO107" s="104"/>
      <c r="AP107" s="26"/>
      <c r="AQ107" s="26"/>
      <c r="AR107" s="104"/>
      <c r="AS107" s="26"/>
      <c r="AT107" s="26"/>
      <c r="AU107" s="104"/>
      <c r="AV107" s="104"/>
      <c r="AW107" s="104"/>
      <c r="AX107" s="104"/>
      <c r="AY107" s="26"/>
      <c r="AZ107" s="104"/>
      <c r="BA107" s="26"/>
      <c r="BB107" s="26"/>
      <c r="BC107" s="26"/>
      <c r="BD107" s="26"/>
      <c r="BE107" s="26"/>
    </row>
    <row r="108" spans="1:57" s="13" customFormat="1" ht="15.75" hidden="1" x14ac:dyDescent="0.25">
      <c r="A108" s="5"/>
      <c r="B108" s="6"/>
      <c r="C108" s="6"/>
      <c r="D108" s="57"/>
      <c r="E108" s="14"/>
      <c r="F108" s="14"/>
      <c r="G108" s="26"/>
      <c r="H108" s="104"/>
      <c r="I108" s="26"/>
      <c r="J108" s="27"/>
      <c r="K108" s="104"/>
      <c r="L108" s="26"/>
      <c r="M108" s="27"/>
      <c r="N108" s="104"/>
      <c r="O108" s="104"/>
      <c r="P108" s="104"/>
      <c r="Q108" s="27"/>
      <c r="R108" s="104"/>
      <c r="S108" s="104"/>
      <c r="T108" s="27"/>
      <c r="U108" s="26"/>
      <c r="V108" s="26"/>
      <c r="W108" s="104"/>
      <c r="X108" s="26"/>
      <c r="Y108" s="104"/>
      <c r="Z108" s="104"/>
      <c r="AA108" s="26"/>
      <c r="AB108" s="27"/>
      <c r="AC108" s="26"/>
      <c r="AD108" s="27"/>
      <c r="AE108" s="104"/>
      <c r="AF108" s="26"/>
      <c r="AG108" s="26"/>
      <c r="AH108" s="26"/>
      <c r="AI108" s="26"/>
      <c r="AJ108" s="26"/>
      <c r="AK108" s="26"/>
      <c r="AL108" s="26"/>
      <c r="AM108" s="104"/>
      <c r="AN108" s="26"/>
      <c r="AO108" s="104"/>
      <c r="AP108" s="26"/>
      <c r="AQ108" s="26"/>
      <c r="AR108" s="104"/>
      <c r="AS108" s="26"/>
      <c r="AT108" s="26"/>
      <c r="AU108" s="104"/>
      <c r="AV108" s="104"/>
      <c r="AW108" s="104"/>
      <c r="AX108" s="104"/>
      <c r="AY108" s="26"/>
      <c r="AZ108" s="104"/>
      <c r="BA108" s="26"/>
      <c r="BB108" s="26"/>
      <c r="BC108" s="26"/>
      <c r="BD108" s="26"/>
      <c r="BE108" s="26"/>
    </row>
    <row r="109" spans="1:57" s="13" customFormat="1" ht="15.75" hidden="1" x14ac:dyDescent="0.25">
      <c r="A109" s="5"/>
      <c r="B109" s="6"/>
      <c r="C109" s="6"/>
      <c r="D109" s="57"/>
      <c r="E109" s="14"/>
      <c r="F109" s="14"/>
      <c r="G109" s="26"/>
      <c r="H109" s="104"/>
      <c r="I109" s="26"/>
      <c r="J109" s="27"/>
      <c r="K109" s="104"/>
      <c r="L109" s="26"/>
      <c r="M109" s="27"/>
      <c r="N109" s="104"/>
      <c r="O109" s="104"/>
      <c r="P109" s="104"/>
      <c r="Q109" s="27"/>
      <c r="R109" s="104"/>
      <c r="S109" s="104"/>
      <c r="T109" s="27"/>
      <c r="U109" s="26"/>
      <c r="V109" s="26"/>
      <c r="W109" s="104"/>
      <c r="X109" s="26"/>
      <c r="Y109" s="104"/>
      <c r="Z109" s="104"/>
      <c r="AA109" s="26"/>
      <c r="AB109" s="27"/>
      <c r="AC109" s="26"/>
      <c r="AD109" s="27"/>
      <c r="AE109" s="104"/>
      <c r="AF109" s="26"/>
      <c r="AG109" s="26"/>
      <c r="AH109" s="26"/>
      <c r="AI109" s="26"/>
      <c r="AJ109" s="26"/>
      <c r="AK109" s="26"/>
      <c r="AL109" s="26"/>
      <c r="AM109" s="104"/>
      <c r="AN109" s="26"/>
      <c r="AO109" s="104"/>
      <c r="AP109" s="26"/>
      <c r="AQ109" s="26"/>
      <c r="AR109" s="104"/>
      <c r="AS109" s="26"/>
      <c r="AT109" s="26"/>
      <c r="AU109" s="104"/>
      <c r="AV109" s="104"/>
      <c r="AW109" s="104"/>
      <c r="AX109" s="104"/>
      <c r="AY109" s="26"/>
      <c r="AZ109" s="104"/>
      <c r="BA109" s="26"/>
      <c r="BB109" s="26"/>
      <c r="BC109" s="26"/>
      <c r="BD109" s="26"/>
      <c r="BE109" s="26"/>
    </row>
    <row r="110" spans="1:57" s="13" customFormat="1" ht="15.75" x14ac:dyDescent="0.25">
      <c r="A110" s="5"/>
      <c r="B110" s="6"/>
      <c r="C110" s="6"/>
      <c r="D110" s="6"/>
      <c r="E110" s="6"/>
      <c r="F110" s="6"/>
      <c r="G110" s="39">
        <f t="shared" ref="G110:Q110" si="9">SUM(G56:G67)</f>
        <v>3390</v>
      </c>
      <c r="H110" s="107">
        <f t="shared" si="9"/>
        <v>8125</v>
      </c>
      <c r="I110" s="39">
        <f t="shared" si="9"/>
        <v>28166</v>
      </c>
      <c r="J110" s="40">
        <f t="shared" si="9"/>
        <v>8234</v>
      </c>
      <c r="K110" s="107">
        <f t="shared" si="9"/>
        <v>5814</v>
      </c>
      <c r="L110" s="39">
        <f t="shared" si="9"/>
        <v>4395</v>
      </c>
      <c r="M110" s="40">
        <f t="shared" si="9"/>
        <v>22970</v>
      </c>
      <c r="N110" s="107">
        <f t="shared" si="9"/>
        <v>38912</v>
      </c>
      <c r="O110" s="107">
        <f t="shared" si="9"/>
        <v>6419</v>
      </c>
      <c r="P110" s="107">
        <f t="shared" si="9"/>
        <v>31349</v>
      </c>
      <c r="Q110" s="40">
        <f t="shared" si="9"/>
        <v>10796</v>
      </c>
      <c r="R110" s="107">
        <f>SUM(R55:R67)</f>
        <v>31313</v>
      </c>
      <c r="S110" s="107">
        <f t="shared" ref="S110:BA110" si="10">SUM(S56:S67)</f>
        <v>21437</v>
      </c>
      <c r="T110" s="40">
        <f t="shared" si="10"/>
        <v>9852</v>
      </c>
      <c r="U110" s="39">
        <f t="shared" si="10"/>
        <v>23061</v>
      </c>
      <c r="V110" s="39">
        <f t="shared" si="10"/>
        <v>14602</v>
      </c>
      <c r="W110" s="107">
        <f t="shared" si="10"/>
        <v>9905</v>
      </c>
      <c r="X110" s="39">
        <f t="shared" si="10"/>
        <v>6029</v>
      </c>
      <c r="Y110" s="107">
        <f t="shared" si="10"/>
        <v>121697</v>
      </c>
      <c r="Z110" s="107">
        <f t="shared" si="10"/>
        <v>50794</v>
      </c>
      <c r="AA110" s="39">
        <f t="shared" si="10"/>
        <v>4542</v>
      </c>
      <c r="AB110" s="40">
        <f t="shared" si="10"/>
        <v>8350</v>
      </c>
      <c r="AC110" s="39">
        <f t="shared" si="10"/>
        <v>21679</v>
      </c>
      <c r="AD110" s="40">
        <f t="shared" si="10"/>
        <v>6449</v>
      </c>
      <c r="AE110" s="107">
        <f t="shared" si="10"/>
        <v>104045</v>
      </c>
      <c r="AF110" s="39">
        <f t="shared" si="10"/>
        <v>11860</v>
      </c>
      <c r="AG110" s="39">
        <f t="shared" si="10"/>
        <v>10494</v>
      </c>
      <c r="AH110" s="39">
        <f t="shared" si="10"/>
        <v>7630</v>
      </c>
      <c r="AI110" s="39">
        <f t="shared" si="10"/>
        <v>9558</v>
      </c>
      <c r="AJ110" s="39">
        <f t="shared" si="10"/>
        <v>11530</v>
      </c>
      <c r="AK110" s="39">
        <f t="shared" si="10"/>
        <v>16104</v>
      </c>
      <c r="AL110" s="39">
        <f t="shared" si="10"/>
        <v>8350</v>
      </c>
      <c r="AM110" s="107">
        <f t="shared" si="10"/>
        <v>3856</v>
      </c>
      <c r="AN110" s="39">
        <f t="shared" si="10"/>
        <v>19663</v>
      </c>
      <c r="AO110" s="107">
        <f t="shared" si="10"/>
        <v>8541</v>
      </c>
      <c r="AP110" s="39">
        <f t="shared" si="10"/>
        <v>36966</v>
      </c>
      <c r="AQ110" s="39">
        <f t="shared" si="10"/>
        <v>7807</v>
      </c>
      <c r="AR110" s="107">
        <f t="shared" si="10"/>
        <v>20275</v>
      </c>
      <c r="AS110" s="39">
        <f t="shared" si="10"/>
        <v>17990</v>
      </c>
      <c r="AT110" s="39">
        <f t="shared" si="10"/>
        <v>13666</v>
      </c>
      <c r="AU110" s="107">
        <f t="shared" si="10"/>
        <v>6812</v>
      </c>
      <c r="AV110" s="107">
        <f t="shared" si="10"/>
        <v>10059</v>
      </c>
      <c r="AW110" s="107">
        <f t="shared" si="10"/>
        <v>37861</v>
      </c>
      <c r="AX110" s="107">
        <f t="shared" si="10"/>
        <v>40770</v>
      </c>
      <c r="AY110" s="39">
        <f t="shared" si="10"/>
        <v>11635</v>
      </c>
      <c r="AZ110" s="107">
        <f t="shared" si="10"/>
        <v>6397</v>
      </c>
      <c r="BA110" s="39">
        <f t="shared" si="10"/>
        <v>9169</v>
      </c>
      <c r="BB110" s="39">
        <f t="shared" ref="BB110" si="11">SUM(BB56:BB67)</f>
        <v>7004</v>
      </c>
      <c r="BC110" s="39">
        <f t="shared" ref="BC110" si="12">SUM(BC56:BC67)</f>
        <v>25244</v>
      </c>
      <c r="BD110" s="39">
        <f>SUM(BD56:BD67)</f>
        <v>5142.518</v>
      </c>
      <c r="BE110" s="39">
        <f t="shared" ref="BE110" si="13">SUM(BE56:BE67)</f>
        <v>16862</v>
      </c>
    </row>
    <row r="111" spans="1:57" s="13" customFormat="1" ht="15.75" hidden="1" x14ac:dyDescent="0.25">
      <c r="A111" s="61" t="s">
        <v>85</v>
      </c>
      <c r="B111" s="6"/>
      <c r="C111" s="32" t="s">
        <v>86</v>
      </c>
      <c r="D111" s="16" t="s">
        <v>87</v>
      </c>
      <c r="E111" s="6"/>
      <c r="F111" s="6"/>
      <c r="G111" s="33"/>
      <c r="H111" s="106"/>
      <c r="I111" s="33"/>
      <c r="J111" s="34"/>
      <c r="K111" s="106"/>
      <c r="L111" s="33"/>
      <c r="M111" s="34"/>
      <c r="N111" s="106"/>
      <c r="O111" s="106"/>
      <c r="P111" s="106"/>
      <c r="Q111" s="34"/>
      <c r="R111" s="106"/>
      <c r="S111" s="106"/>
      <c r="T111" s="34"/>
      <c r="U111" s="33"/>
      <c r="V111" s="33"/>
      <c r="W111" s="106"/>
      <c r="X111" s="33"/>
      <c r="Y111" s="106"/>
      <c r="Z111" s="106"/>
      <c r="AA111" s="33"/>
      <c r="AB111" s="34"/>
      <c r="AC111" s="33"/>
      <c r="AD111" s="34"/>
      <c r="AE111" s="106"/>
      <c r="AF111" s="33"/>
      <c r="AG111" s="33"/>
      <c r="AH111" s="33"/>
      <c r="AI111" s="33"/>
      <c r="AJ111" s="33"/>
      <c r="AK111" s="33"/>
      <c r="AL111" s="33"/>
      <c r="AM111" s="106"/>
      <c r="AN111" s="33"/>
      <c r="AO111" s="106"/>
      <c r="AP111" s="33"/>
      <c r="AQ111" s="33"/>
      <c r="AR111" s="106"/>
      <c r="AS111" s="33"/>
      <c r="AT111" s="33"/>
      <c r="AU111" s="106"/>
      <c r="AV111" s="106"/>
      <c r="AW111" s="106"/>
      <c r="AX111" s="106"/>
      <c r="AY111" s="33"/>
      <c r="AZ111" s="106"/>
      <c r="BA111" s="33"/>
      <c r="BB111" s="33"/>
      <c r="BC111" s="33"/>
      <c r="BD111" s="33"/>
      <c r="BE111" s="33"/>
    </row>
    <row r="112" spans="1:57" s="13" customFormat="1" ht="15.75" hidden="1" x14ac:dyDescent="0.25">
      <c r="A112" s="5"/>
      <c r="B112" s="6"/>
      <c r="C112" s="6"/>
      <c r="D112" s="6" t="s">
        <v>51</v>
      </c>
      <c r="E112" s="6"/>
      <c r="F112" s="14"/>
      <c r="G112" s="23"/>
      <c r="H112" s="103"/>
      <c r="I112" s="23"/>
      <c r="J112" s="24"/>
      <c r="K112" s="103"/>
      <c r="L112" s="23"/>
      <c r="M112" s="24"/>
      <c r="N112" s="103"/>
      <c r="O112" s="103"/>
      <c r="P112" s="103"/>
      <c r="Q112" s="24"/>
      <c r="R112" s="103"/>
      <c r="S112" s="103"/>
      <c r="T112" s="24"/>
      <c r="U112" s="23"/>
      <c r="V112" s="23"/>
      <c r="W112" s="103"/>
      <c r="X112" s="23"/>
      <c r="Y112" s="103"/>
      <c r="Z112" s="103"/>
      <c r="AA112" s="23"/>
      <c r="AB112" s="24"/>
      <c r="AC112" s="23"/>
      <c r="AD112" s="24"/>
      <c r="AE112" s="103"/>
      <c r="AF112" s="23"/>
      <c r="AG112" s="23"/>
      <c r="AH112" s="23"/>
      <c r="AI112" s="23"/>
      <c r="AJ112" s="23"/>
      <c r="AK112" s="23"/>
      <c r="AL112" s="23"/>
      <c r="AM112" s="103"/>
      <c r="AN112" s="23"/>
      <c r="AO112" s="103"/>
      <c r="AP112" s="23"/>
      <c r="AQ112" s="23"/>
      <c r="AR112" s="103"/>
      <c r="AS112" s="23"/>
      <c r="AT112" s="23"/>
      <c r="AU112" s="103"/>
      <c r="AV112" s="103"/>
      <c r="AW112" s="103"/>
      <c r="AX112" s="103"/>
      <c r="AY112" s="23"/>
      <c r="AZ112" s="103"/>
      <c r="BA112" s="23"/>
      <c r="BB112" s="23"/>
      <c r="BC112" s="23"/>
      <c r="BD112" s="23"/>
      <c r="BE112" s="23"/>
    </row>
    <row r="113" spans="1:57" s="13" customFormat="1" ht="15.75" hidden="1" x14ac:dyDescent="0.25">
      <c r="A113" s="5"/>
      <c r="B113" s="6"/>
      <c r="C113" s="6"/>
      <c r="D113" s="6" t="s">
        <v>56</v>
      </c>
      <c r="E113" s="6"/>
      <c r="F113" s="14"/>
      <c r="G113" s="23"/>
      <c r="H113" s="103"/>
      <c r="I113" s="23"/>
      <c r="J113" s="24"/>
      <c r="K113" s="103"/>
      <c r="L113" s="23"/>
      <c r="M113" s="24"/>
      <c r="N113" s="103"/>
      <c r="O113" s="103"/>
      <c r="P113" s="103"/>
      <c r="Q113" s="24"/>
      <c r="R113" s="103"/>
      <c r="S113" s="103"/>
      <c r="T113" s="24"/>
      <c r="U113" s="23"/>
      <c r="V113" s="23"/>
      <c r="W113" s="103"/>
      <c r="X113" s="23"/>
      <c r="Y113" s="103"/>
      <c r="Z113" s="103"/>
      <c r="AA113" s="23"/>
      <c r="AB113" s="24"/>
      <c r="AC113" s="23"/>
      <c r="AD113" s="24"/>
      <c r="AE113" s="103"/>
      <c r="AF113" s="23"/>
      <c r="AG113" s="23"/>
      <c r="AH113" s="23"/>
      <c r="AI113" s="23"/>
      <c r="AJ113" s="23"/>
      <c r="AK113" s="23"/>
      <c r="AL113" s="23"/>
      <c r="AM113" s="103"/>
      <c r="AN113" s="23"/>
      <c r="AO113" s="103"/>
      <c r="AP113" s="23"/>
      <c r="AQ113" s="23"/>
      <c r="AR113" s="103"/>
      <c r="AS113" s="23"/>
      <c r="AT113" s="23"/>
      <c r="AU113" s="103"/>
      <c r="AV113" s="103"/>
      <c r="AW113" s="103"/>
      <c r="AX113" s="103"/>
      <c r="AY113" s="23"/>
      <c r="AZ113" s="103"/>
      <c r="BA113" s="23"/>
      <c r="BB113" s="23"/>
      <c r="BC113" s="23"/>
      <c r="BD113" s="23"/>
      <c r="BE113" s="23"/>
    </row>
    <row r="114" spans="1:57" s="13" customFormat="1" ht="15.75" hidden="1" x14ac:dyDescent="0.25">
      <c r="A114" s="5"/>
      <c r="B114" s="6"/>
      <c r="C114" s="6"/>
      <c r="D114" s="6" t="s">
        <v>55</v>
      </c>
      <c r="E114" s="6"/>
      <c r="F114" s="14"/>
      <c r="G114" s="23"/>
      <c r="H114" s="103"/>
      <c r="I114" s="23"/>
      <c r="J114" s="24"/>
      <c r="K114" s="103"/>
      <c r="L114" s="23"/>
      <c r="M114" s="24"/>
      <c r="N114" s="103"/>
      <c r="O114" s="103"/>
      <c r="P114" s="103"/>
      <c r="Q114" s="24"/>
      <c r="R114" s="103"/>
      <c r="S114" s="103"/>
      <c r="T114" s="24"/>
      <c r="U114" s="23"/>
      <c r="V114" s="23"/>
      <c r="W114" s="103"/>
      <c r="X114" s="23"/>
      <c r="Y114" s="103"/>
      <c r="Z114" s="103"/>
      <c r="AA114" s="23"/>
      <c r="AB114" s="24"/>
      <c r="AC114" s="23"/>
      <c r="AD114" s="24"/>
      <c r="AE114" s="103"/>
      <c r="AF114" s="23"/>
      <c r="AG114" s="23"/>
      <c r="AH114" s="23"/>
      <c r="AI114" s="23"/>
      <c r="AJ114" s="23"/>
      <c r="AK114" s="23"/>
      <c r="AL114" s="23"/>
      <c r="AM114" s="103"/>
      <c r="AN114" s="23"/>
      <c r="AO114" s="103"/>
      <c r="AP114" s="23"/>
      <c r="AQ114" s="23"/>
      <c r="AR114" s="103"/>
      <c r="AS114" s="23"/>
      <c r="AT114" s="23"/>
      <c r="AU114" s="103"/>
      <c r="AV114" s="103"/>
      <c r="AW114" s="103"/>
      <c r="AX114" s="103"/>
      <c r="AY114" s="23"/>
      <c r="AZ114" s="103"/>
      <c r="BA114" s="23"/>
      <c r="BB114" s="23"/>
      <c r="BC114" s="23"/>
      <c r="BD114" s="23"/>
      <c r="BE114" s="23"/>
    </row>
    <row r="115" spans="1:57" s="13" customFormat="1" ht="15.75" hidden="1" x14ac:dyDescent="0.25">
      <c r="A115" s="5"/>
      <c r="B115" s="6"/>
      <c r="C115" s="6"/>
      <c r="D115" s="6" t="s">
        <v>57</v>
      </c>
      <c r="E115" s="6"/>
      <c r="F115" s="14"/>
      <c r="G115" s="23"/>
      <c r="H115" s="103"/>
      <c r="I115" s="23"/>
      <c r="J115" s="24"/>
      <c r="K115" s="103"/>
      <c r="L115" s="23"/>
      <c r="M115" s="24"/>
      <c r="N115" s="103"/>
      <c r="O115" s="103"/>
      <c r="P115" s="103"/>
      <c r="Q115" s="24"/>
      <c r="R115" s="103"/>
      <c r="S115" s="103"/>
      <c r="T115" s="24"/>
      <c r="U115" s="23"/>
      <c r="V115" s="23"/>
      <c r="W115" s="103"/>
      <c r="X115" s="23"/>
      <c r="Y115" s="103"/>
      <c r="Z115" s="103"/>
      <c r="AA115" s="23"/>
      <c r="AB115" s="24"/>
      <c r="AC115" s="23"/>
      <c r="AD115" s="24"/>
      <c r="AE115" s="103"/>
      <c r="AF115" s="23"/>
      <c r="AG115" s="23"/>
      <c r="AH115" s="23"/>
      <c r="AI115" s="23"/>
      <c r="AJ115" s="23"/>
      <c r="AK115" s="23"/>
      <c r="AL115" s="23"/>
      <c r="AM115" s="103"/>
      <c r="AN115" s="23"/>
      <c r="AO115" s="103"/>
      <c r="AP115" s="23"/>
      <c r="AQ115" s="23"/>
      <c r="AR115" s="103"/>
      <c r="AS115" s="23"/>
      <c r="AT115" s="23"/>
      <c r="AU115" s="103"/>
      <c r="AV115" s="103"/>
      <c r="AW115" s="103"/>
      <c r="AX115" s="103"/>
      <c r="AY115" s="23"/>
      <c r="AZ115" s="103"/>
      <c r="BA115" s="23"/>
      <c r="BB115" s="23"/>
      <c r="BC115" s="23"/>
      <c r="BD115" s="23"/>
      <c r="BE115" s="23"/>
    </row>
    <row r="116" spans="1:57" s="13" customFormat="1" ht="15.75" hidden="1" x14ac:dyDescent="0.25">
      <c r="A116" s="5"/>
      <c r="B116" s="6"/>
      <c r="C116" s="6"/>
      <c r="D116" s="6" t="s">
        <v>88</v>
      </c>
      <c r="E116" s="6"/>
      <c r="F116" s="14"/>
      <c r="G116" s="23"/>
      <c r="H116" s="103"/>
      <c r="I116" s="23"/>
      <c r="J116" s="24"/>
      <c r="K116" s="103"/>
      <c r="L116" s="23"/>
      <c r="M116" s="24"/>
      <c r="N116" s="103"/>
      <c r="O116" s="103"/>
      <c r="P116" s="103"/>
      <c r="Q116" s="24"/>
      <c r="R116" s="103"/>
      <c r="S116" s="103"/>
      <c r="T116" s="24"/>
      <c r="U116" s="23"/>
      <c r="V116" s="23"/>
      <c r="W116" s="103"/>
      <c r="X116" s="23"/>
      <c r="Y116" s="103"/>
      <c r="Z116" s="103"/>
      <c r="AA116" s="23"/>
      <c r="AB116" s="24"/>
      <c r="AC116" s="23"/>
      <c r="AD116" s="24"/>
      <c r="AE116" s="103"/>
      <c r="AF116" s="23"/>
      <c r="AG116" s="23"/>
      <c r="AH116" s="23"/>
      <c r="AI116" s="23"/>
      <c r="AJ116" s="23"/>
      <c r="AK116" s="23"/>
      <c r="AL116" s="23"/>
      <c r="AM116" s="103"/>
      <c r="AN116" s="23"/>
      <c r="AO116" s="103"/>
      <c r="AP116" s="23"/>
      <c r="AQ116" s="23"/>
      <c r="AR116" s="103"/>
      <c r="AS116" s="23"/>
      <c r="AT116" s="23"/>
      <c r="AU116" s="103"/>
      <c r="AV116" s="103"/>
      <c r="AW116" s="103"/>
      <c r="AX116" s="103"/>
      <c r="AY116" s="23"/>
      <c r="AZ116" s="103"/>
      <c r="BA116" s="23"/>
      <c r="BB116" s="23"/>
      <c r="BC116" s="23"/>
      <c r="BD116" s="23"/>
      <c r="BE116" s="23"/>
    </row>
    <row r="117" spans="1:57" s="13" customFormat="1" ht="15.75" hidden="1" x14ac:dyDescent="0.25">
      <c r="A117" s="5"/>
      <c r="B117" s="6"/>
      <c r="C117" s="6"/>
      <c r="D117" s="6" t="s">
        <v>59</v>
      </c>
      <c r="E117" s="6"/>
      <c r="F117" s="14"/>
      <c r="G117" s="23"/>
      <c r="H117" s="103"/>
      <c r="I117" s="23"/>
      <c r="J117" s="24"/>
      <c r="K117" s="103"/>
      <c r="L117" s="23"/>
      <c r="M117" s="24"/>
      <c r="N117" s="103"/>
      <c r="O117" s="103"/>
      <c r="P117" s="103"/>
      <c r="Q117" s="24"/>
      <c r="R117" s="103"/>
      <c r="S117" s="103"/>
      <c r="T117" s="24"/>
      <c r="U117" s="23"/>
      <c r="V117" s="23"/>
      <c r="W117" s="103"/>
      <c r="X117" s="23"/>
      <c r="Y117" s="103"/>
      <c r="Z117" s="103"/>
      <c r="AA117" s="23"/>
      <c r="AB117" s="24"/>
      <c r="AC117" s="23"/>
      <c r="AD117" s="24"/>
      <c r="AE117" s="103"/>
      <c r="AF117" s="23"/>
      <c r="AG117" s="23"/>
      <c r="AH117" s="23"/>
      <c r="AI117" s="23"/>
      <c r="AJ117" s="23"/>
      <c r="AK117" s="23"/>
      <c r="AL117" s="23"/>
      <c r="AM117" s="103"/>
      <c r="AN117" s="23"/>
      <c r="AO117" s="103"/>
      <c r="AP117" s="23"/>
      <c r="AQ117" s="23"/>
      <c r="AR117" s="103"/>
      <c r="AS117" s="23"/>
      <c r="AT117" s="23"/>
      <c r="AU117" s="103"/>
      <c r="AV117" s="103"/>
      <c r="AW117" s="103"/>
      <c r="AX117" s="103"/>
      <c r="AY117" s="23"/>
      <c r="AZ117" s="103"/>
      <c r="BA117" s="23"/>
      <c r="BB117" s="23"/>
      <c r="BC117" s="23"/>
      <c r="BD117" s="23"/>
      <c r="BE117" s="23"/>
    </row>
    <row r="118" spans="1:57" s="13" customFormat="1" ht="15.75" hidden="1" x14ac:dyDescent="0.25">
      <c r="A118" s="5"/>
      <c r="B118" s="6"/>
      <c r="C118" s="6"/>
      <c r="D118" s="6" t="s">
        <v>89</v>
      </c>
      <c r="E118" s="6"/>
      <c r="F118" s="14"/>
      <c r="G118" s="23"/>
      <c r="H118" s="103"/>
      <c r="I118" s="23"/>
      <c r="J118" s="24"/>
      <c r="K118" s="103"/>
      <c r="L118" s="23"/>
      <c r="M118" s="24"/>
      <c r="N118" s="103"/>
      <c r="O118" s="103"/>
      <c r="P118" s="103"/>
      <c r="Q118" s="24"/>
      <c r="R118" s="103"/>
      <c r="S118" s="103"/>
      <c r="T118" s="24"/>
      <c r="U118" s="23"/>
      <c r="V118" s="23"/>
      <c r="W118" s="103"/>
      <c r="X118" s="23"/>
      <c r="Y118" s="103"/>
      <c r="Z118" s="103"/>
      <c r="AA118" s="23"/>
      <c r="AB118" s="24"/>
      <c r="AC118" s="23"/>
      <c r="AD118" s="24"/>
      <c r="AE118" s="103"/>
      <c r="AF118" s="23"/>
      <c r="AG118" s="23"/>
      <c r="AH118" s="23"/>
      <c r="AI118" s="23"/>
      <c r="AJ118" s="23"/>
      <c r="AK118" s="23"/>
      <c r="AL118" s="23"/>
      <c r="AM118" s="103"/>
      <c r="AN118" s="23"/>
      <c r="AO118" s="103"/>
      <c r="AP118" s="23"/>
      <c r="AQ118" s="23"/>
      <c r="AR118" s="103"/>
      <c r="AS118" s="23"/>
      <c r="AT118" s="23"/>
      <c r="AU118" s="103"/>
      <c r="AV118" s="103"/>
      <c r="AW118" s="103"/>
      <c r="AX118" s="103"/>
      <c r="AY118" s="23"/>
      <c r="AZ118" s="103"/>
      <c r="BA118" s="23"/>
      <c r="BB118" s="23"/>
      <c r="BC118" s="23"/>
      <c r="BD118" s="23"/>
      <c r="BE118" s="23"/>
    </row>
    <row r="119" spans="1:57" s="13" customFormat="1" ht="15.75" hidden="1" x14ac:dyDescent="0.25">
      <c r="A119" s="5"/>
      <c r="B119" s="6"/>
      <c r="C119" s="6"/>
      <c r="D119" s="6" t="s">
        <v>62</v>
      </c>
      <c r="E119" s="6"/>
      <c r="F119" s="14"/>
      <c r="G119" s="23"/>
      <c r="H119" s="103"/>
      <c r="I119" s="23"/>
      <c r="J119" s="24"/>
      <c r="K119" s="103"/>
      <c r="L119" s="23"/>
      <c r="M119" s="24"/>
      <c r="N119" s="103"/>
      <c r="O119" s="103"/>
      <c r="P119" s="103"/>
      <c r="Q119" s="24"/>
      <c r="R119" s="103"/>
      <c r="S119" s="103"/>
      <c r="T119" s="24"/>
      <c r="U119" s="23"/>
      <c r="V119" s="23"/>
      <c r="W119" s="103"/>
      <c r="X119" s="23"/>
      <c r="Y119" s="103"/>
      <c r="Z119" s="103"/>
      <c r="AA119" s="23"/>
      <c r="AB119" s="24"/>
      <c r="AC119" s="23"/>
      <c r="AD119" s="24"/>
      <c r="AE119" s="103"/>
      <c r="AF119" s="23"/>
      <c r="AG119" s="23"/>
      <c r="AH119" s="23"/>
      <c r="AI119" s="23"/>
      <c r="AJ119" s="23"/>
      <c r="AK119" s="23"/>
      <c r="AL119" s="23"/>
      <c r="AM119" s="103"/>
      <c r="AN119" s="23"/>
      <c r="AO119" s="103"/>
      <c r="AP119" s="23"/>
      <c r="AQ119" s="23"/>
      <c r="AR119" s="103"/>
      <c r="AS119" s="23"/>
      <c r="AT119" s="23"/>
      <c r="AU119" s="103"/>
      <c r="AV119" s="103"/>
      <c r="AW119" s="103"/>
      <c r="AX119" s="103"/>
      <c r="AY119" s="23"/>
      <c r="AZ119" s="103"/>
      <c r="BA119" s="23"/>
      <c r="BB119" s="23"/>
      <c r="BC119" s="23"/>
      <c r="BD119" s="23"/>
      <c r="BE119" s="23"/>
    </row>
    <row r="120" spans="1:57" s="13" customFormat="1" ht="15.75" hidden="1" x14ac:dyDescent="0.25">
      <c r="A120" s="5"/>
      <c r="B120" s="6"/>
      <c r="C120" s="6"/>
      <c r="D120" s="6" t="s">
        <v>61</v>
      </c>
      <c r="E120" s="6"/>
      <c r="F120" s="14"/>
      <c r="G120" s="23"/>
      <c r="H120" s="103"/>
      <c r="I120" s="23"/>
      <c r="J120" s="24"/>
      <c r="K120" s="103"/>
      <c r="L120" s="23"/>
      <c r="M120" s="24"/>
      <c r="N120" s="103"/>
      <c r="O120" s="103"/>
      <c r="P120" s="103"/>
      <c r="Q120" s="24"/>
      <c r="R120" s="103"/>
      <c r="S120" s="103"/>
      <c r="T120" s="24"/>
      <c r="U120" s="23"/>
      <c r="V120" s="23"/>
      <c r="W120" s="103"/>
      <c r="X120" s="23"/>
      <c r="Y120" s="103"/>
      <c r="Z120" s="103"/>
      <c r="AA120" s="23"/>
      <c r="AB120" s="24"/>
      <c r="AC120" s="23"/>
      <c r="AD120" s="24"/>
      <c r="AE120" s="103"/>
      <c r="AF120" s="23"/>
      <c r="AG120" s="23"/>
      <c r="AH120" s="23"/>
      <c r="AI120" s="23"/>
      <c r="AJ120" s="23"/>
      <c r="AK120" s="23"/>
      <c r="AL120" s="23"/>
      <c r="AM120" s="103"/>
      <c r="AN120" s="23"/>
      <c r="AO120" s="103"/>
      <c r="AP120" s="23"/>
      <c r="AQ120" s="23"/>
      <c r="AR120" s="103"/>
      <c r="AS120" s="23"/>
      <c r="AT120" s="23"/>
      <c r="AU120" s="103"/>
      <c r="AV120" s="103"/>
      <c r="AW120" s="103"/>
      <c r="AX120" s="103"/>
      <c r="AY120" s="23"/>
      <c r="AZ120" s="103"/>
      <c r="BA120" s="23"/>
      <c r="BB120" s="23"/>
      <c r="BC120" s="23"/>
      <c r="BD120" s="23"/>
      <c r="BE120" s="23"/>
    </row>
    <row r="121" spans="1:57" s="13" customFormat="1" ht="15.75" hidden="1" x14ac:dyDescent="0.25">
      <c r="A121" s="5"/>
      <c r="B121" s="6"/>
      <c r="C121" s="6"/>
      <c r="D121" s="57" t="s">
        <v>90</v>
      </c>
      <c r="E121" s="6"/>
      <c r="F121" s="14"/>
      <c r="G121" s="23"/>
      <c r="H121" s="103"/>
      <c r="I121" s="23"/>
      <c r="J121" s="24"/>
      <c r="K121" s="103"/>
      <c r="L121" s="23"/>
      <c r="M121" s="24"/>
      <c r="N121" s="103"/>
      <c r="O121" s="103"/>
      <c r="P121" s="103"/>
      <c r="Q121" s="24"/>
      <c r="R121" s="103"/>
      <c r="S121" s="103"/>
      <c r="T121" s="24"/>
      <c r="U121" s="23"/>
      <c r="V121" s="23"/>
      <c r="W121" s="103"/>
      <c r="X121" s="23"/>
      <c r="Y121" s="103"/>
      <c r="Z121" s="103"/>
      <c r="AA121" s="23"/>
      <c r="AB121" s="24"/>
      <c r="AC121" s="23"/>
      <c r="AD121" s="24"/>
      <c r="AE121" s="103"/>
      <c r="AF121" s="23"/>
      <c r="AG121" s="23"/>
      <c r="AH121" s="23"/>
      <c r="AI121" s="23"/>
      <c r="AJ121" s="23"/>
      <c r="AK121" s="23"/>
      <c r="AL121" s="23"/>
      <c r="AM121" s="103"/>
      <c r="AN121" s="23"/>
      <c r="AO121" s="103"/>
      <c r="AP121" s="23"/>
      <c r="AQ121" s="23"/>
      <c r="AR121" s="103"/>
      <c r="AS121" s="23"/>
      <c r="AT121" s="23"/>
      <c r="AU121" s="103"/>
      <c r="AV121" s="103"/>
      <c r="AW121" s="103"/>
      <c r="AX121" s="103"/>
      <c r="AY121" s="23"/>
      <c r="AZ121" s="103"/>
      <c r="BA121" s="23"/>
      <c r="BB121" s="23"/>
      <c r="BC121" s="23"/>
      <c r="BD121" s="23"/>
      <c r="BE121" s="23"/>
    </row>
    <row r="122" spans="1:57" s="13" customFormat="1" ht="15.75" hidden="1" x14ac:dyDescent="0.25">
      <c r="A122" s="5"/>
      <c r="B122" s="6"/>
      <c r="C122" s="6"/>
      <c r="D122" s="57" t="s">
        <v>90</v>
      </c>
      <c r="E122" s="6"/>
      <c r="F122" s="14"/>
      <c r="G122" s="26"/>
      <c r="H122" s="104"/>
      <c r="I122" s="26"/>
      <c r="J122" s="27"/>
      <c r="K122" s="104"/>
      <c r="L122" s="26"/>
      <c r="M122" s="27"/>
      <c r="N122" s="104"/>
      <c r="O122" s="104"/>
      <c r="P122" s="104"/>
      <c r="Q122" s="27"/>
      <c r="R122" s="104"/>
      <c r="S122" s="104"/>
      <c r="T122" s="27"/>
      <c r="U122" s="26"/>
      <c r="V122" s="26"/>
      <c r="W122" s="104"/>
      <c r="X122" s="26"/>
      <c r="Y122" s="104"/>
      <c r="Z122" s="104"/>
      <c r="AA122" s="26"/>
      <c r="AB122" s="27"/>
      <c r="AC122" s="26"/>
      <c r="AD122" s="27"/>
      <c r="AE122" s="104"/>
      <c r="AF122" s="26"/>
      <c r="AG122" s="26"/>
      <c r="AH122" s="26"/>
      <c r="AI122" s="26"/>
      <c r="AJ122" s="26"/>
      <c r="AK122" s="26"/>
      <c r="AL122" s="26"/>
      <c r="AM122" s="104"/>
      <c r="AN122" s="26"/>
      <c r="AO122" s="104"/>
      <c r="AP122" s="26"/>
      <c r="AQ122" s="26"/>
      <c r="AR122" s="104"/>
      <c r="AS122" s="26"/>
      <c r="AT122" s="26"/>
      <c r="AU122" s="104"/>
      <c r="AV122" s="104"/>
      <c r="AW122" s="104"/>
      <c r="AX122" s="104"/>
      <c r="AY122" s="26"/>
      <c r="AZ122" s="104"/>
      <c r="BA122" s="26"/>
      <c r="BB122" s="26"/>
      <c r="BC122" s="26"/>
      <c r="BD122" s="26"/>
      <c r="BE122" s="26"/>
    </row>
    <row r="123" spans="1:57" s="13" customFormat="1" ht="15.75" hidden="1" x14ac:dyDescent="0.25">
      <c r="A123" s="5"/>
      <c r="B123" s="6"/>
      <c r="C123" s="6"/>
      <c r="D123" s="6"/>
      <c r="E123" s="6"/>
      <c r="F123" s="6"/>
      <c r="G123" s="39">
        <f>SUM(G112:G122)</f>
        <v>0</v>
      </c>
      <c r="H123" s="107">
        <f t="shared" ref="H123:T123" si="14">SUM(H112:H122)</f>
        <v>0</v>
      </c>
      <c r="I123" s="39">
        <f t="shared" si="14"/>
        <v>0</v>
      </c>
      <c r="J123" s="40">
        <f t="shared" si="14"/>
        <v>0</v>
      </c>
      <c r="K123" s="107">
        <f t="shared" si="14"/>
        <v>0</v>
      </c>
      <c r="L123" s="39">
        <f t="shared" si="14"/>
        <v>0</v>
      </c>
      <c r="M123" s="40">
        <f t="shared" si="14"/>
        <v>0</v>
      </c>
      <c r="N123" s="107">
        <f t="shared" si="14"/>
        <v>0</v>
      </c>
      <c r="O123" s="107">
        <f t="shared" si="14"/>
        <v>0</v>
      </c>
      <c r="P123" s="107">
        <f t="shared" si="14"/>
        <v>0</v>
      </c>
      <c r="Q123" s="40">
        <f t="shared" si="14"/>
        <v>0</v>
      </c>
      <c r="R123" s="107">
        <f t="shared" si="14"/>
        <v>0</v>
      </c>
      <c r="S123" s="107">
        <f t="shared" si="14"/>
        <v>0</v>
      </c>
      <c r="T123" s="40">
        <f t="shared" si="14"/>
        <v>0</v>
      </c>
      <c r="U123" s="39"/>
      <c r="V123" s="39"/>
      <c r="W123" s="107"/>
      <c r="X123" s="39"/>
      <c r="Y123" s="107"/>
      <c r="Z123" s="107"/>
      <c r="AA123" s="39"/>
      <c r="AB123" s="40"/>
      <c r="AC123" s="39"/>
      <c r="AD123" s="40"/>
      <c r="AE123" s="107"/>
      <c r="AF123" s="39"/>
      <c r="AG123" s="39"/>
      <c r="AH123" s="39"/>
      <c r="AI123" s="39"/>
      <c r="AJ123" s="39"/>
      <c r="AK123" s="39"/>
      <c r="AL123" s="39"/>
      <c r="AM123" s="107"/>
      <c r="AN123" s="39"/>
      <c r="AO123" s="107"/>
      <c r="AP123" s="39"/>
      <c r="AQ123" s="39"/>
      <c r="AR123" s="107"/>
      <c r="AS123" s="39"/>
      <c r="AT123" s="39"/>
      <c r="AU123" s="107"/>
      <c r="AV123" s="107"/>
      <c r="AW123" s="107"/>
      <c r="AX123" s="107"/>
      <c r="AY123" s="39"/>
      <c r="AZ123" s="107"/>
      <c r="BA123" s="39"/>
      <c r="BB123" s="39"/>
      <c r="BC123" s="39"/>
      <c r="BD123" s="39"/>
      <c r="BE123" s="39"/>
    </row>
    <row r="124" spans="1:57" s="13" customFormat="1" ht="15.75" hidden="1" x14ac:dyDescent="0.25">
      <c r="A124" s="5"/>
      <c r="B124" s="6"/>
      <c r="C124" s="6"/>
      <c r="D124" s="6"/>
      <c r="E124" s="6"/>
      <c r="F124" s="6"/>
      <c r="G124" s="42"/>
      <c r="H124" s="108"/>
      <c r="I124" s="42"/>
      <c r="J124" s="43"/>
      <c r="K124" s="108"/>
      <c r="L124" s="42"/>
      <c r="M124" s="43"/>
      <c r="N124" s="108"/>
      <c r="O124" s="108"/>
      <c r="P124" s="108"/>
      <c r="Q124" s="43"/>
      <c r="R124" s="108"/>
      <c r="S124" s="108"/>
      <c r="T124" s="43"/>
      <c r="U124" s="42"/>
      <c r="V124" s="42"/>
      <c r="W124" s="108"/>
      <c r="X124" s="42"/>
      <c r="Y124" s="108"/>
      <c r="Z124" s="108"/>
      <c r="AA124" s="42"/>
      <c r="AB124" s="43"/>
      <c r="AC124" s="42"/>
      <c r="AD124" s="43"/>
      <c r="AE124" s="108"/>
      <c r="AF124" s="42"/>
      <c r="AG124" s="42"/>
      <c r="AH124" s="42"/>
      <c r="AI124" s="42"/>
      <c r="AJ124" s="42"/>
      <c r="AK124" s="42"/>
      <c r="AL124" s="42"/>
      <c r="AM124" s="108"/>
      <c r="AN124" s="42"/>
      <c r="AO124" s="108"/>
      <c r="AP124" s="42"/>
      <c r="AQ124" s="42"/>
      <c r="AR124" s="108"/>
      <c r="AS124" s="42"/>
      <c r="AT124" s="42"/>
      <c r="AU124" s="108"/>
      <c r="AV124" s="108"/>
      <c r="AW124" s="108"/>
      <c r="AX124" s="108"/>
      <c r="AY124" s="42"/>
      <c r="AZ124" s="108"/>
      <c r="BA124" s="42"/>
      <c r="BB124" s="42"/>
      <c r="BC124" s="42"/>
      <c r="BD124" s="42"/>
      <c r="BE124" s="42"/>
    </row>
    <row r="125" spans="1:57" s="13" customFormat="1" ht="15.75" hidden="1" x14ac:dyDescent="0.25">
      <c r="A125" s="5"/>
      <c r="B125" s="6"/>
      <c r="C125" s="6"/>
      <c r="D125" s="6" t="s">
        <v>91</v>
      </c>
      <c r="E125" s="6"/>
      <c r="F125" s="6"/>
      <c r="G125" s="42"/>
      <c r="H125" s="108"/>
      <c r="I125" s="42"/>
      <c r="J125" s="43"/>
      <c r="K125" s="108"/>
      <c r="L125" s="42"/>
      <c r="M125" s="43"/>
      <c r="N125" s="108"/>
      <c r="O125" s="108"/>
      <c r="P125" s="108"/>
      <c r="Q125" s="43"/>
      <c r="R125" s="108"/>
      <c r="S125" s="108"/>
      <c r="T125" s="43"/>
      <c r="U125" s="42"/>
      <c r="V125" s="42"/>
      <c r="W125" s="108"/>
      <c r="X125" s="42"/>
      <c r="Y125" s="108"/>
      <c r="Z125" s="108"/>
      <c r="AA125" s="42"/>
      <c r="AB125" s="43"/>
      <c r="AC125" s="42"/>
      <c r="AD125" s="43"/>
      <c r="AE125" s="108"/>
      <c r="AF125" s="42"/>
      <c r="AG125" s="42"/>
      <c r="AH125" s="42"/>
      <c r="AI125" s="42"/>
      <c r="AJ125" s="42"/>
      <c r="AK125" s="42"/>
      <c r="AL125" s="42"/>
      <c r="AM125" s="108"/>
      <c r="AN125" s="42"/>
      <c r="AO125" s="108"/>
      <c r="AP125" s="42"/>
      <c r="AQ125" s="42"/>
      <c r="AR125" s="108"/>
      <c r="AS125" s="42"/>
      <c r="AT125" s="42"/>
      <c r="AU125" s="108"/>
      <c r="AV125" s="108"/>
      <c r="AW125" s="108"/>
      <c r="AX125" s="108"/>
      <c r="AY125" s="42"/>
      <c r="AZ125" s="108"/>
      <c r="BA125" s="42"/>
      <c r="BB125" s="42"/>
      <c r="BC125" s="42"/>
      <c r="BD125" s="42"/>
      <c r="BE125" s="42"/>
    </row>
    <row r="126" spans="1:57" s="13" customFormat="1" ht="15.75" hidden="1" x14ac:dyDescent="0.25">
      <c r="A126" s="5"/>
      <c r="B126" s="6"/>
      <c r="C126" s="6"/>
      <c r="D126" s="6" t="s">
        <v>92</v>
      </c>
      <c r="E126" s="6"/>
      <c r="F126" s="6"/>
      <c r="G126" s="62"/>
      <c r="H126" s="113"/>
      <c r="I126" s="62"/>
      <c r="J126" s="63"/>
      <c r="K126" s="113"/>
      <c r="L126" s="62"/>
      <c r="M126" s="63"/>
      <c r="N126" s="113"/>
      <c r="O126" s="113"/>
      <c r="P126" s="113"/>
      <c r="Q126" s="63"/>
      <c r="R126" s="113"/>
      <c r="S126" s="113"/>
      <c r="T126" s="63"/>
      <c r="U126" s="62"/>
      <c r="V126" s="62"/>
      <c r="W126" s="113"/>
      <c r="X126" s="62"/>
      <c r="Y126" s="113"/>
      <c r="Z126" s="113"/>
      <c r="AA126" s="62"/>
      <c r="AB126" s="63"/>
      <c r="AC126" s="62"/>
      <c r="AD126" s="63"/>
      <c r="AE126" s="113"/>
      <c r="AF126" s="62"/>
      <c r="AG126" s="62"/>
      <c r="AH126" s="62"/>
      <c r="AI126" s="62"/>
      <c r="AJ126" s="62"/>
      <c r="AK126" s="62"/>
      <c r="AL126" s="62"/>
      <c r="AM126" s="113"/>
      <c r="AN126" s="62"/>
      <c r="AO126" s="113"/>
      <c r="AP126" s="62"/>
      <c r="AQ126" s="62"/>
      <c r="AR126" s="113"/>
      <c r="AS126" s="62"/>
      <c r="AT126" s="62"/>
      <c r="AU126" s="113"/>
      <c r="AV126" s="113"/>
      <c r="AW126" s="113"/>
      <c r="AX126" s="113"/>
      <c r="AY126" s="62"/>
      <c r="AZ126" s="113"/>
      <c r="BA126" s="62"/>
      <c r="BB126" s="62"/>
      <c r="BC126" s="62"/>
      <c r="BD126" s="62"/>
      <c r="BE126" s="62"/>
    </row>
    <row r="127" spans="1:57" s="13" customFormat="1" ht="15.75" hidden="1" x14ac:dyDescent="0.25">
      <c r="A127" s="5"/>
      <c r="B127" s="6"/>
      <c r="C127" s="6"/>
      <c r="D127" s="6"/>
      <c r="E127" s="6"/>
      <c r="F127" s="6"/>
      <c r="G127" s="45"/>
      <c r="H127" s="109"/>
      <c r="I127" s="45"/>
      <c r="J127" s="46"/>
      <c r="K127" s="109"/>
      <c r="L127" s="45"/>
      <c r="M127" s="46"/>
      <c r="N127" s="109"/>
      <c r="O127" s="109"/>
      <c r="P127" s="109"/>
      <c r="Q127" s="46"/>
      <c r="R127" s="109"/>
      <c r="S127" s="109"/>
      <c r="T127" s="46"/>
      <c r="U127" s="45"/>
      <c r="V127" s="45"/>
      <c r="W127" s="109"/>
      <c r="X127" s="45"/>
      <c r="Y127" s="109"/>
      <c r="Z127" s="109"/>
      <c r="AA127" s="45"/>
      <c r="AB127" s="46"/>
      <c r="AC127" s="45"/>
      <c r="AD127" s="46"/>
      <c r="AE127" s="109"/>
      <c r="AF127" s="45"/>
      <c r="AG127" s="45"/>
      <c r="AH127" s="45"/>
      <c r="AI127" s="45"/>
      <c r="AJ127" s="45"/>
      <c r="AK127" s="45"/>
      <c r="AL127" s="45"/>
      <c r="AM127" s="109"/>
      <c r="AN127" s="45"/>
      <c r="AO127" s="109"/>
      <c r="AP127" s="45"/>
      <c r="AQ127" s="45"/>
      <c r="AR127" s="109"/>
      <c r="AS127" s="45"/>
      <c r="AT127" s="45"/>
      <c r="AU127" s="109"/>
      <c r="AV127" s="109"/>
      <c r="AW127" s="109"/>
      <c r="AX127" s="109"/>
      <c r="AY127" s="45"/>
      <c r="AZ127" s="109"/>
      <c r="BA127" s="45"/>
      <c r="BB127" s="45"/>
      <c r="BC127" s="45"/>
      <c r="BD127" s="45"/>
      <c r="BE127" s="45"/>
    </row>
    <row r="128" spans="1:57" s="13" customFormat="1" ht="16.5" hidden="1" thickBot="1" x14ac:dyDescent="0.3">
      <c r="A128" s="5"/>
      <c r="B128" s="6"/>
      <c r="C128" s="6"/>
      <c r="D128" s="6" t="s">
        <v>93</v>
      </c>
      <c r="E128" s="6"/>
      <c r="F128" s="6"/>
      <c r="G128" s="48">
        <f t="shared" ref="G128:T128" si="15">G53-G110-G123+G126</f>
        <v>-3390</v>
      </c>
      <c r="H128" s="110">
        <f t="shared" si="15"/>
        <v>-8125</v>
      </c>
      <c r="I128" s="48">
        <f t="shared" si="15"/>
        <v>-28166</v>
      </c>
      <c r="J128" s="49">
        <f t="shared" si="15"/>
        <v>-8234</v>
      </c>
      <c r="K128" s="110">
        <f t="shared" si="15"/>
        <v>-5814</v>
      </c>
      <c r="L128" s="48">
        <f t="shared" si="15"/>
        <v>-4395</v>
      </c>
      <c r="M128" s="49">
        <f t="shared" si="15"/>
        <v>-22970</v>
      </c>
      <c r="N128" s="110">
        <f t="shared" si="15"/>
        <v>-38912</v>
      </c>
      <c r="O128" s="110">
        <f t="shared" si="15"/>
        <v>-6419</v>
      </c>
      <c r="P128" s="110">
        <f t="shared" si="15"/>
        <v>-31349</v>
      </c>
      <c r="Q128" s="49">
        <f t="shared" si="15"/>
        <v>-10796</v>
      </c>
      <c r="R128" s="110">
        <f t="shared" si="15"/>
        <v>-31313</v>
      </c>
      <c r="S128" s="110">
        <f t="shared" si="15"/>
        <v>-21437</v>
      </c>
      <c r="T128" s="49">
        <f t="shared" si="15"/>
        <v>-9852</v>
      </c>
      <c r="U128" s="48"/>
      <c r="V128" s="48"/>
      <c r="W128" s="110"/>
      <c r="X128" s="48"/>
      <c r="Y128" s="110"/>
      <c r="Z128" s="110"/>
      <c r="AA128" s="48"/>
      <c r="AB128" s="49"/>
      <c r="AC128" s="48"/>
      <c r="AD128" s="49"/>
      <c r="AE128" s="110"/>
      <c r="AF128" s="48"/>
      <c r="AG128" s="48"/>
      <c r="AH128" s="48"/>
      <c r="AI128" s="48"/>
      <c r="AJ128" s="48"/>
      <c r="AK128" s="48"/>
      <c r="AL128" s="48"/>
      <c r="AM128" s="110"/>
      <c r="AN128" s="48"/>
      <c r="AO128" s="110"/>
      <c r="AP128" s="48"/>
      <c r="AQ128" s="48"/>
      <c r="AR128" s="110"/>
      <c r="AS128" s="48"/>
      <c r="AT128" s="48"/>
      <c r="AU128" s="110"/>
      <c r="AV128" s="110"/>
      <c r="AW128" s="110"/>
      <c r="AX128" s="110"/>
      <c r="AY128" s="48"/>
      <c r="AZ128" s="110"/>
      <c r="BA128" s="48"/>
      <c r="BB128" s="48"/>
      <c r="BC128" s="48"/>
      <c r="BD128" s="48"/>
      <c r="BE128" s="48"/>
    </row>
    <row r="129" spans="1:57" s="13" customFormat="1" ht="15.75" hidden="1" x14ac:dyDescent="0.25">
      <c r="A129" s="5"/>
      <c r="B129" s="6"/>
      <c r="C129" s="6"/>
      <c r="D129" s="6"/>
      <c r="E129" s="6"/>
      <c r="F129" s="6"/>
      <c r="G129" s="6"/>
      <c r="H129" s="102"/>
      <c r="I129" s="6"/>
      <c r="J129" s="10"/>
      <c r="K129" s="102"/>
      <c r="L129" s="6"/>
      <c r="M129" s="10"/>
      <c r="N129" s="102"/>
      <c r="O129" s="102"/>
      <c r="P129" s="102"/>
      <c r="Q129" s="10"/>
      <c r="R129" s="102"/>
      <c r="S129" s="102"/>
      <c r="T129" s="10"/>
      <c r="U129" s="6"/>
      <c r="V129" s="6"/>
      <c r="W129" s="102"/>
      <c r="X129" s="6"/>
      <c r="Y129" s="102"/>
      <c r="Z129" s="102"/>
      <c r="AA129" s="6"/>
      <c r="AB129" s="10"/>
      <c r="AC129" s="6"/>
      <c r="AD129" s="10"/>
      <c r="AE129" s="102"/>
      <c r="AF129" s="6"/>
      <c r="AG129" s="6"/>
      <c r="AH129" s="6"/>
      <c r="AI129" s="6"/>
      <c r="AJ129" s="6"/>
      <c r="AK129" s="6"/>
      <c r="AL129" s="6"/>
      <c r="AM129" s="102"/>
      <c r="AN129" s="6"/>
      <c r="AO129" s="102"/>
      <c r="AP129" s="6"/>
      <c r="AQ129" s="6"/>
      <c r="AR129" s="102"/>
      <c r="AS129" s="6"/>
      <c r="AT129" s="6"/>
      <c r="AU129" s="102"/>
      <c r="AV129" s="102"/>
      <c r="AW129" s="102"/>
      <c r="AX129" s="102"/>
      <c r="AY129" s="6"/>
      <c r="AZ129" s="102"/>
      <c r="BA129" s="6"/>
      <c r="BB129" s="6"/>
      <c r="BC129" s="6"/>
      <c r="BD129" s="6"/>
      <c r="BE129" s="6"/>
    </row>
    <row r="130" spans="1:57" s="13" customFormat="1" ht="15.75" hidden="1" x14ac:dyDescent="0.25">
      <c r="B130" s="6"/>
      <c r="C130" s="61" t="s">
        <v>85</v>
      </c>
      <c r="D130" s="156" t="s">
        <v>94</v>
      </c>
      <c r="E130" s="157"/>
      <c r="F130" s="157"/>
      <c r="G130" s="157"/>
      <c r="H130" s="157"/>
      <c r="I130" s="157"/>
      <c r="J130" s="55"/>
      <c r="K130" s="114"/>
      <c r="M130" s="55"/>
      <c r="N130" s="114"/>
      <c r="O130" s="114"/>
      <c r="P130" s="114"/>
      <c r="Q130" s="55"/>
      <c r="R130" s="114"/>
      <c r="S130" s="114"/>
      <c r="T130" s="55"/>
      <c r="W130" s="114"/>
      <c r="Y130" s="114"/>
      <c r="Z130" s="114"/>
      <c r="AB130" s="55"/>
      <c r="AD130" s="55"/>
      <c r="AE130" s="114"/>
      <c r="AM130" s="114"/>
      <c r="AO130" s="114"/>
      <c r="AR130" s="114"/>
      <c r="AU130" s="114"/>
      <c r="AV130" s="114"/>
      <c r="AW130" s="114"/>
      <c r="AX130" s="114"/>
      <c r="AZ130" s="114"/>
    </row>
    <row r="131" spans="1:57" s="13" customFormat="1" ht="15.75" hidden="1" x14ac:dyDescent="0.25">
      <c r="A131" s="61"/>
      <c r="B131" s="6"/>
      <c r="C131" s="6"/>
      <c r="D131" s="157"/>
      <c r="E131" s="157"/>
      <c r="F131" s="157"/>
      <c r="G131" s="157"/>
      <c r="H131" s="157"/>
      <c r="I131" s="157"/>
      <c r="J131" s="55"/>
      <c r="K131" s="114"/>
      <c r="M131" s="55"/>
      <c r="N131" s="114"/>
      <c r="O131" s="114"/>
      <c r="P131" s="114"/>
      <c r="Q131" s="55"/>
      <c r="R131" s="114"/>
      <c r="S131" s="114"/>
      <c r="T131" s="55"/>
      <c r="W131" s="114"/>
      <c r="Y131" s="114"/>
      <c r="Z131" s="114"/>
      <c r="AB131" s="55"/>
      <c r="AD131" s="55"/>
      <c r="AE131" s="114"/>
      <c r="AM131" s="114"/>
      <c r="AO131" s="114"/>
      <c r="AR131" s="114"/>
      <c r="AU131" s="114"/>
      <c r="AV131" s="114"/>
      <c r="AW131" s="114"/>
      <c r="AX131" s="114"/>
      <c r="AZ131" s="114"/>
    </row>
    <row r="132" spans="1:57" s="13" customFormat="1" ht="15.75" hidden="1" x14ac:dyDescent="0.25">
      <c r="A132" s="65"/>
      <c r="B132" s="65"/>
      <c r="C132" s="65"/>
      <c r="D132" s="65"/>
      <c r="E132" s="65"/>
      <c r="F132" s="65"/>
      <c r="G132" s="65"/>
      <c r="H132" s="115"/>
      <c r="I132" s="65"/>
      <c r="J132" s="66"/>
      <c r="K132" s="115"/>
      <c r="L132" s="65"/>
      <c r="M132" s="66"/>
      <c r="N132" s="115"/>
      <c r="O132" s="115"/>
      <c r="P132" s="115"/>
      <c r="Q132" s="66"/>
      <c r="R132" s="115"/>
      <c r="S132" s="115"/>
      <c r="T132" s="66"/>
      <c r="U132" s="65"/>
      <c r="V132" s="65"/>
      <c r="W132" s="115"/>
      <c r="X132" s="65"/>
      <c r="Y132" s="115"/>
      <c r="Z132" s="115"/>
      <c r="AA132" s="65"/>
      <c r="AB132" s="66"/>
      <c r="AC132" s="65"/>
      <c r="AD132" s="66"/>
      <c r="AE132" s="115"/>
      <c r="AF132" s="65"/>
      <c r="AG132" s="65"/>
      <c r="AH132" s="65"/>
      <c r="AI132" s="65"/>
      <c r="AJ132" s="65"/>
      <c r="AK132" s="65"/>
      <c r="AL132" s="65"/>
      <c r="AM132" s="115"/>
      <c r="AN132" s="65"/>
      <c r="AO132" s="115"/>
      <c r="AP132" s="65"/>
      <c r="AQ132" s="65"/>
      <c r="AR132" s="115"/>
      <c r="AS132" s="65"/>
      <c r="AT132" s="65"/>
      <c r="AU132" s="115"/>
      <c r="AV132" s="115"/>
      <c r="AW132" s="115"/>
      <c r="AX132" s="115"/>
      <c r="AY132" s="65"/>
      <c r="AZ132" s="115"/>
      <c r="BA132" s="65"/>
      <c r="BB132" s="65"/>
      <c r="BC132" s="65"/>
      <c r="BD132" s="65"/>
      <c r="BE132" s="65"/>
    </row>
    <row r="133" spans="1:57" s="13" customFormat="1" ht="15.75" hidden="1" x14ac:dyDescent="0.25">
      <c r="A133" s="65"/>
      <c r="B133" s="65"/>
      <c r="C133" s="65"/>
      <c r="D133" s="65"/>
      <c r="E133" s="65"/>
      <c r="F133" s="65"/>
      <c r="G133" s="65"/>
      <c r="H133" s="115"/>
      <c r="I133" s="65"/>
      <c r="J133" s="66"/>
      <c r="K133" s="115"/>
      <c r="L133" s="65"/>
      <c r="M133" s="66"/>
      <c r="N133" s="115"/>
      <c r="O133" s="115"/>
      <c r="P133" s="115"/>
      <c r="Q133" s="66"/>
      <c r="R133" s="115"/>
      <c r="S133" s="115"/>
      <c r="T133" s="66"/>
      <c r="U133" s="65"/>
      <c r="V133" s="65"/>
      <c r="W133" s="115"/>
      <c r="X133" s="65"/>
      <c r="Y133" s="115"/>
      <c r="Z133" s="115"/>
      <c r="AA133" s="65"/>
      <c r="AB133" s="66"/>
      <c r="AC133" s="65"/>
      <c r="AD133" s="66"/>
      <c r="AE133" s="115"/>
      <c r="AF133" s="65"/>
      <c r="AG133" s="65"/>
      <c r="AH133" s="65"/>
      <c r="AI133" s="65"/>
      <c r="AJ133" s="65"/>
      <c r="AK133" s="65"/>
      <c r="AL133" s="65"/>
      <c r="AM133" s="115"/>
      <c r="AN133" s="65"/>
      <c r="AO133" s="115"/>
      <c r="AP133" s="65"/>
      <c r="AQ133" s="65"/>
      <c r="AR133" s="115"/>
      <c r="AS133" s="65"/>
      <c r="AT133" s="65"/>
      <c r="AU133" s="115"/>
      <c r="AV133" s="115"/>
      <c r="AW133" s="115"/>
      <c r="AX133" s="115"/>
      <c r="AY133" s="65"/>
      <c r="AZ133" s="115"/>
      <c r="BA133" s="65"/>
      <c r="BB133" s="65"/>
      <c r="BC133" s="65"/>
      <c r="BD133" s="65"/>
      <c r="BE133" s="65"/>
    </row>
    <row r="134" spans="1:57" s="13" customFormat="1" ht="15.75" hidden="1" x14ac:dyDescent="0.25">
      <c r="A134" s="68" t="s">
        <v>95</v>
      </c>
      <c r="B134" s="68"/>
      <c r="C134" s="68" t="s">
        <v>96</v>
      </c>
      <c r="D134" s="68"/>
      <c r="E134" s="68"/>
      <c r="F134" s="68"/>
      <c r="G134" s="68"/>
      <c r="H134" s="116"/>
      <c r="I134" s="68"/>
      <c r="J134" s="69"/>
      <c r="K134" s="116"/>
      <c r="L134" s="68"/>
      <c r="M134" s="69"/>
      <c r="N134" s="116"/>
      <c r="O134" s="116"/>
      <c r="P134" s="116"/>
      <c r="Q134" s="69"/>
      <c r="R134" s="116"/>
      <c r="S134" s="116"/>
      <c r="T134" s="69"/>
      <c r="U134" s="68"/>
      <c r="V134" s="68"/>
      <c r="W134" s="116"/>
      <c r="X134" s="68"/>
      <c r="Y134" s="116"/>
      <c r="Z134" s="116"/>
      <c r="AA134" s="68"/>
      <c r="AB134" s="69"/>
      <c r="AC134" s="68"/>
      <c r="AD134" s="69"/>
      <c r="AE134" s="116"/>
      <c r="AF134" s="68"/>
      <c r="AG134" s="68"/>
      <c r="AH134" s="68"/>
      <c r="AI134" s="68"/>
      <c r="AJ134" s="68"/>
      <c r="AK134" s="68"/>
      <c r="AL134" s="68"/>
      <c r="AM134" s="116"/>
      <c r="AN134" s="68"/>
      <c r="AO134" s="116"/>
      <c r="AP134" s="68"/>
      <c r="AQ134" s="68"/>
      <c r="AR134" s="116"/>
      <c r="AS134" s="68"/>
      <c r="AT134" s="68"/>
      <c r="AU134" s="116"/>
      <c r="AV134" s="116"/>
      <c r="AW134" s="116"/>
      <c r="AX134" s="116"/>
      <c r="AY134" s="68"/>
      <c r="AZ134" s="116"/>
      <c r="BA134" s="68"/>
      <c r="BB134" s="68"/>
      <c r="BC134" s="68"/>
      <c r="BD134" s="68"/>
      <c r="BE134" s="68"/>
    </row>
    <row r="135" spans="1:57" s="13" customFormat="1" ht="15.75" hidden="1" x14ac:dyDescent="0.25">
      <c r="A135" s="65"/>
      <c r="B135" s="65"/>
      <c r="C135" s="65"/>
      <c r="D135" s="65"/>
      <c r="E135" s="65"/>
      <c r="F135" s="65"/>
      <c r="G135" s="65"/>
      <c r="H135" s="115"/>
      <c r="I135" s="65"/>
      <c r="J135" s="66"/>
      <c r="K135" s="115"/>
      <c r="L135" s="65"/>
      <c r="M135" s="66"/>
      <c r="N135" s="115"/>
      <c r="O135" s="115"/>
      <c r="P135" s="115"/>
      <c r="Q135" s="66"/>
      <c r="R135" s="115"/>
      <c r="S135" s="115"/>
      <c r="T135" s="66"/>
      <c r="U135" s="65"/>
      <c r="V135" s="65"/>
      <c r="W135" s="115"/>
      <c r="X135" s="65"/>
      <c r="Y135" s="115"/>
      <c r="Z135" s="115"/>
      <c r="AA135" s="65"/>
      <c r="AB135" s="66"/>
      <c r="AC135" s="65"/>
      <c r="AD135" s="66"/>
      <c r="AE135" s="115"/>
      <c r="AF135" s="65"/>
      <c r="AG135" s="65"/>
      <c r="AH135" s="65"/>
      <c r="AI135" s="65"/>
      <c r="AJ135" s="65"/>
      <c r="AK135" s="65"/>
      <c r="AL135" s="65"/>
      <c r="AM135" s="115"/>
      <c r="AN135" s="65"/>
      <c r="AO135" s="115"/>
      <c r="AP135" s="65"/>
      <c r="AQ135" s="65"/>
      <c r="AR135" s="115"/>
      <c r="AS135" s="65"/>
      <c r="AT135" s="65"/>
      <c r="AU135" s="115"/>
      <c r="AV135" s="115"/>
      <c r="AW135" s="115"/>
      <c r="AX135" s="115"/>
      <c r="AY135" s="65"/>
      <c r="AZ135" s="115"/>
      <c r="BA135" s="65"/>
      <c r="BB135" s="65"/>
      <c r="BC135" s="65"/>
      <c r="BD135" s="65"/>
      <c r="BE135" s="65"/>
    </row>
    <row r="136" spans="1:57" s="13" customFormat="1" ht="15.75" hidden="1" x14ac:dyDescent="0.25">
      <c r="A136" s="65"/>
      <c r="B136" s="65"/>
      <c r="C136" s="65"/>
      <c r="D136" s="65"/>
      <c r="E136" s="65"/>
      <c r="F136" s="65"/>
      <c r="G136" s="155" t="s">
        <v>73</v>
      </c>
      <c r="H136" s="155"/>
      <c r="I136" s="155"/>
      <c r="J136" s="55"/>
      <c r="K136" s="114"/>
      <c r="M136" s="55"/>
      <c r="N136" s="114"/>
      <c r="O136" s="114"/>
      <c r="P136" s="114"/>
      <c r="Q136" s="55"/>
      <c r="R136" s="114"/>
      <c r="S136" s="114"/>
      <c r="T136" s="55"/>
      <c r="W136" s="114"/>
      <c r="Y136" s="114"/>
      <c r="Z136" s="114"/>
      <c r="AB136" s="55"/>
      <c r="AD136" s="55"/>
      <c r="AE136" s="114"/>
      <c r="AM136" s="114"/>
      <c r="AO136" s="114"/>
      <c r="AR136" s="114"/>
      <c r="AU136" s="114"/>
      <c r="AV136" s="114"/>
      <c r="AW136" s="114"/>
      <c r="AX136" s="114"/>
      <c r="AZ136" s="114"/>
    </row>
    <row r="137" spans="1:57" s="13" customFormat="1" ht="16.5" hidden="1" thickBot="1" x14ac:dyDescent="0.3">
      <c r="A137" s="65"/>
      <c r="B137" s="65"/>
      <c r="C137" s="65"/>
      <c r="D137" s="65"/>
      <c r="E137" s="65"/>
      <c r="F137" s="65"/>
      <c r="G137" s="17">
        <v>2010</v>
      </c>
      <c r="H137" s="101">
        <v>2010</v>
      </c>
      <c r="I137" s="17">
        <v>2010</v>
      </c>
      <c r="J137" s="18">
        <v>2010</v>
      </c>
      <c r="K137" s="101">
        <v>2010</v>
      </c>
      <c r="L137" s="17">
        <v>2010</v>
      </c>
      <c r="M137" s="18">
        <v>2010</v>
      </c>
      <c r="N137" s="101">
        <v>2010</v>
      </c>
      <c r="O137" s="101">
        <v>2010</v>
      </c>
      <c r="P137" s="101">
        <v>2010</v>
      </c>
      <c r="Q137" s="18">
        <v>2010</v>
      </c>
      <c r="R137" s="101">
        <v>2010</v>
      </c>
      <c r="S137" s="101">
        <v>2010</v>
      </c>
      <c r="T137" s="18">
        <v>2010</v>
      </c>
      <c r="U137" s="17"/>
      <c r="V137" s="17"/>
      <c r="W137" s="101"/>
      <c r="X137" s="17"/>
      <c r="Y137" s="101"/>
      <c r="Z137" s="101"/>
      <c r="AA137" s="17"/>
      <c r="AB137" s="18"/>
      <c r="AC137" s="17"/>
      <c r="AD137" s="18"/>
      <c r="AE137" s="101"/>
      <c r="AF137" s="17"/>
      <c r="AG137" s="17"/>
      <c r="AH137" s="17"/>
      <c r="AI137" s="17"/>
      <c r="AJ137" s="17"/>
      <c r="AK137" s="17"/>
      <c r="AL137" s="17"/>
      <c r="AM137" s="101"/>
      <c r="AN137" s="17"/>
      <c r="AO137" s="101"/>
      <c r="AP137" s="17"/>
      <c r="AQ137" s="17"/>
      <c r="AR137" s="101"/>
      <c r="AS137" s="17"/>
      <c r="AT137" s="17"/>
      <c r="AU137" s="101"/>
      <c r="AV137" s="101"/>
      <c r="AW137" s="101"/>
      <c r="AX137" s="101"/>
      <c r="AY137" s="17"/>
      <c r="AZ137" s="101"/>
      <c r="BA137" s="17"/>
      <c r="BB137" s="17"/>
      <c r="BC137" s="17"/>
      <c r="BD137" s="17"/>
      <c r="BE137" s="17"/>
    </row>
    <row r="138" spans="1:57" s="13" customFormat="1" ht="15.75" hidden="1" x14ac:dyDescent="0.25">
      <c r="A138" s="65"/>
      <c r="B138" s="65"/>
      <c r="C138" s="65"/>
      <c r="D138" s="65"/>
      <c r="E138" s="65" t="s">
        <v>97</v>
      </c>
      <c r="F138" s="65"/>
      <c r="G138" s="23"/>
      <c r="H138" s="103"/>
      <c r="I138" s="23"/>
      <c r="J138" s="24"/>
      <c r="K138" s="103"/>
      <c r="L138" s="23"/>
      <c r="M138" s="24"/>
      <c r="N138" s="103"/>
      <c r="O138" s="103"/>
      <c r="P138" s="103"/>
      <c r="Q138" s="24"/>
      <c r="R138" s="103"/>
      <c r="S138" s="103"/>
      <c r="T138" s="24"/>
      <c r="U138" s="23"/>
      <c r="V138" s="23"/>
      <c r="W138" s="103"/>
      <c r="X138" s="23"/>
      <c r="Y138" s="103"/>
      <c r="Z138" s="103"/>
      <c r="AA138" s="23"/>
      <c r="AB138" s="24"/>
      <c r="AC138" s="23"/>
      <c r="AD138" s="24"/>
      <c r="AE138" s="103"/>
      <c r="AF138" s="23"/>
      <c r="AG138" s="23"/>
      <c r="AH138" s="23"/>
      <c r="AI138" s="23"/>
      <c r="AJ138" s="23"/>
      <c r="AK138" s="23"/>
      <c r="AL138" s="23"/>
      <c r="AM138" s="103"/>
      <c r="AN138" s="23"/>
      <c r="AO138" s="103"/>
      <c r="AP138" s="23"/>
      <c r="AQ138" s="23"/>
      <c r="AR138" s="103"/>
      <c r="AS138" s="23"/>
      <c r="AT138" s="23"/>
      <c r="AU138" s="103"/>
      <c r="AV138" s="103"/>
      <c r="AW138" s="103"/>
      <c r="AX138" s="103"/>
      <c r="AY138" s="23"/>
      <c r="AZ138" s="103"/>
      <c r="BA138" s="23"/>
      <c r="BB138" s="23"/>
      <c r="BC138" s="23"/>
      <c r="BD138" s="23"/>
      <c r="BE138" s="23"/>
    </row>
    <row r="139" spans="1:57" s="13" customFormat="1" ht="15.75" hidden="1" x14ac:dyDescent="0.25">
      <c r="A139" s="65"/>
      <c r="B139" s="65"/>
      <c r="C139" s="65"/>
      <c r="D139" s="65"/>
      <c r="E139" s="65" t="s">
        <v>98</v>
      </c>
      <c r="F139" s="65"/>
      <c r="G139" s="71"/>
      <c r="H139" s="117"/>
      <c r="I139" s="71"/>
      <c r="J139" s="72"/>
      <c r="K139" s="117"/>
      <c r="L139" s="71"/>
      <c r="M139" s="72"/>
      <c r="N139" s="117"/>
      <c r="O139" s="117"/>
      <c r="P139" s="117"/>
      <c r="Q139" s="72"/>
      <c r="R139" s="117"/>
      <c r="S139" s="117"/>
      <c r="T139" s="72"/>
      <c r="U139" s="71"/>
      <c r="V139" s="71"/>
      <c r="W139" s="117"/>
      <c r="X139" s="71"/>
      <c r="Y139" s="117"/>
      <c r="Z139" s="117"/>
      <c r="AA139" s="71"/>
      <c r="AB139" s="72"/>
      <c r="AC139" s="71"/>
      <c r="AD139" s="72"/>
      <c r="AE139" s="117"/>
      <c r="AF139" s="71"/>
      <c r="AG139" s="71"/>
      <c r="AH139" s="71"/>
      <c r="AI139" s="71"/>
      <c r="AJ139" s="71"/>
      <c r="AK139" s="71"/>
      <c r="AL139" s="71"/>
      <c r="AM139" s="117"/>
      <c r="AN139" s="71"/>
      <c r="AO139" s="117"/>
      <c r="AP139" s="71"/>
      <c r="AQ139" s="71"/>
      <c r="AR139" s="117"/>
      <c r="AS139" s="71"/>
      <c r="AT139" s="71"/>
      <c r="AU139" s="117"/>
      <c r="AV139" s="117"/>
      <c r="AW139" s="117"/>
      <c r="AX139" s="117"/>
      <c r="AY139" s="71"/>
      <c r="AZ139" s="117"/>
      <c r="BA139" s="71"/>
      <c r="BB139" s="71"/>
      <c r="BC139" s="71"/>
      <c r="BD139" s="71"/>
      <c r="BE139" s="71"/>
    </row>
    <row r="140" spans="1:57" s="13" customFormat="1" ht="16.5" hidden="1" thickBot="1" x14ac:dyDescent="0.3">
      <c r="A140" s="65"/>
      <c r="B140" s="65"/>
      <c r="C140" s="65"/>
      <c r="D140" s="65"/>
      <c r="E140" s="65" t="s">
        <v>99</v>
      </c>
      <c r="F140" s="65"/>
      <c r="G140" s="74">
        <f>G138-G139</f>
        <v>0</v>
      </c>
      <c r="H140" s="118">
        <f t="shared" ref="H140:T140" si="16">H138-H139</f>
        <v>0</v>
      </c>
      <c r="I140" s="74">
        <f t="shared" si="16"/>
        <v>0</v>
      </c>
      <c r="J140" s="75">
        <f t="shared" si="16"/>
        <v>0</v>
      </c>
      <c r="K140" s="118">
        <f t="shared" si="16"/>
        <v>0</v>
      </c>
      <c r="L140" s="74">
        <f t="shared" si="16"/>
        <v>0</v>
      </c>
      <c r="M140" s="75">
        <f t="shared" si="16"/>
        <v>0</v>
      </c>
      <c r="N140" s="118">
        <f t="shared" si="16"/>
        <v>0</v>
      </c>
      <c r="O140" s="118">
        <f t="shared" si="16"/>
        <v>0</v>
      </c>
      <c r="P140" s="118">
        <f t="shared" si="16"/>
        <v>0</v>
      </c>
      <c r="Q140" s="75">
        <f t="shared" si="16"/>
        <v>0</v>
      </c>
      <c r="R140" s="118">
        <f t="shared" si="16"/>
        <v>0</v>
      </c>
      <c r="S140" s="118">
        <f t="shared" si="16"/>
        <v>0</v>
      </c>
      <c r="T140" s="75">
        <f t="shared" si="16"/>
        <v>0</v>
      </c>
      <c r="U140" s="74"/>
      <c r="V140" s="74"/>
      <c r="W140" s="118"/>
      <c r="X140" s="74"/>
      <c r="Y140" s="118"/>
      <c r="Z140" s="118"/>
      <c r="AA140" s="74"/>
      <c r="AB140" s="75"/>
      <c r="AC140" s="74"/>
      <c r="AD140" s="75"/>
      <c r="AE140" s="118"/>
      <c r="AF140" s="74"/>
      <c r="AG140" s="74"/>
      <c r="AH140" s="74"/>
      <c r="AI140" s="74"/>
      <c r="AJ140" s="74"/>
      <c r="AK140" s="74"/>
      <c r="AL140" s="74"/>
      <c r="AM140" s="118"/>
      <c r="AN140" s="74"/>
      <c r="AO140" s="118"/>
      <c r="AP140" s="74"/>
      <c r="AQ140" s="74"/>
      <c r="AR140" s="118"/>
      <c r="AS140" s="74"/>
      <c r="AT140" s="74"/>
      <c r="AU140" s="118"/>
      <c r="AV140" s="118"/>
      <c r="AW140" s="118"/>
      <c r="AX140" s="118"/>
      <c r="AY140" s="74"/>
      <c r="AZ140" s="118"/>
      <c r="BA140" s="74"/>
      <c r="BB140" s="74"/>
      <c r="BC140" s="74"/>
      <c r="BD140" s="74"/>
      <c r="BE140" s="74"/>
    </row>
    <row r="141" spans="1:57" s="13" customFormat="1" ht="15.75" hidden="1" x14ac:dyDescent="0.25">
      <c r="A141" s="65"/>
      <c r="B141" s="65"/>
      <c r="C141" s="65"/>
      <c r="D141" s="65"/>
      <c r="E141" s="65"/>
      <c r="F141" s="65"/>
      <c r="G141" s="65"/>
      <c r="H141" s="115"/>
      <c r="I141" s="65"/>
      <c r="J141" s="66"/>
      <c r="K141" s="115"/>
      <c r="L141" s="65"/>
      <c r="M141" s="66"/>
      <c r="N141" s="115"/>
      <c r="O141" s="115"/>
      <c r="P141" s="115"/>
      <c r="Q141" s="66"/>
      <c r="R141" s="115"/>
      <c r="S141" s="115"/>
      <c r="T141" s="66"/>
      <c r="U141" s="65"/>
      <c r="V141" s="65"/>
      <c r="W141" s="115"/>
      <c r="X141" s="65"/>
      <c r="Y141" s="115"/>
      <c r="Z141" s="115"/>
      <c r="AA141" s="65"/>
      <c r="AB141" s="66"/>
      <c r="AC141" s="65"/>
      <c r="AD141" s="66"/>
      <c r="AE141" s="115"/>
      <c r="AF141" s="65"/>
      <c r="AG141" s="65"/>
      <c r="AH141" s="65"/>
      <c r="AI141" s="65"/>
      <c r="AJ141" s="65"/>
      <c r="AK141" s="65"/>
      <c r="AL141" s="65"/>
      <c r="AM141" s="115"/>
      <c r="AN141" s="65"/>
      <c r="AO141" s="115"/>
      <c r="AP141" s="65"/>
      <c r="AQ141" s="65"/>
      <c r="AR141" s="115"/>
      <c r="AS141" s="65"/>
      <c r="AT141" s="65"/>
      <c r="AU141" s="115"/>
      <c r="AV141" s="115"/>
      <c r="AW141" s="115"/>
      <c r="AX141" s="115"/>
      <c r="AY141" s="65"/>
      <c r="AZ141" s="115"/>
      <c r="BA141" s="65"/>
      <c r="BB141" s="65"/>
      <c r="BC141" s="65"/>
      <c r="BD141" s="65"/>
      <c r="BE141" s="65"/>
    </row>
    <row r="142" spans="1:57" s="13" customFormat="1" ht="15.75" hidden="1" x14ac:dyDescent="0.25">
      <c r="A142" s="65"/>
      <c r="B142" s="65"/>
      <c r="C142" s="65"/>
      <c r="D142" s="65"/>
      <c r="E142" s="65"/>
      <c r="F142" s="65"/>
      <c r="G142" s="65"/>
      <c r="H142" s="115"/>
      <c r="I142" s="65"/>
      <c r="J142" s="66"/>
      <c r="K142" s="115"/>
      <c r="L142" s="65"/>
      <c r="M142" s="66"/>
      <c r="N142" s="115"/>
      <c r="O142" s="115"/>
      <c r="P142" s="115"/>
      <c r="Q142" s="66"/>
      <c r="R142" s="115"/>
      <c r="S142" s="115"/>
      <c r="T142" s="66"/>
      <c r="U142" s="65"/>
      <c r="V142" s="65"/>
      <c r="W142" s="115"/>
      <c r="X142" s="65"/>
      <c r="Y142" s="115"/>
      <c r="Z142" s="115"/>
      <c r="AA142" s="65"/>
      <c r="AB142" s="66"/>
      <c r="AC142" s="65"/>
      <c r="AD142" s="66"/>
      <c r="AE142" s="115"/>
      <c r="AF142" s="65"/>
      <c r="AG142" s="65"/>
      <c r="AH142" s="65"/>
      <c r="AI142" s="65"/>
      <c r="AJ142" s="65"/>
      <c r="AK142" s="65"/>
      <c r="AL142" s="65"/>
      <c r="AM142" s="115"/>
      <c r="AN142" s="65"/>
      <c r="AO142" s="115"/>
      <c r="AP142" s="65"/>
      <c r="AQ142" s="65"/>
      <c r="AR142" s="115"/>
      <c r="AS142" s="65"/>
      <c r="AT142" s="65"/>
      <c r="AU142" s="115"/>
      <c r="AV142" s="115"/>
      <c r="AW142" s="115"/>
      <c r="AX142" s="115"/>
      <c r="AY142" s="65"/>
      <c r="AZ142" s="115"/>
      <c r="BA142" s="65"/>
      <c r="BB142" s="65"/>
      <c r="BC142" s="65"/>
      <c r="BD142" s="65"/>
      <c r="BE142" s="65"/>
    </row>
    <row r="143" spans="1:57" s="13" customFormat="1" ht="15.75" hidden="1" x14ac:dyDescent="0.25">
      <c r="A143" s="68" t="s">
        <v>100</v>
      </c>
      <c r="B143" s="65"/>
      <c r="C143" s="68" t="s">
        <v>101</v>
      </c>
      <c r="D143" s="68"/>
      <c r="E143" s="68"/>
      <c r="F143" s="65"/>
      <c r="G143" s="155" t="s">
        <v>73</v>
      </c>
      <c r="H143" s="155"/>
      <c r="I143" s="155"/>
      <c r="J143" s="55"/>
      <c r="K143" s="114"/>
      <c r="M143" s="55"/>
      <c r="N143" s="114"/>
      <c r="O143" s="114"/>
      <c r="P143" s="114"/>
      <c r="Q143" s="55"/>
      <c r="R143" s="114"/>
      <c r="S143" s="114"/>
      <c r="T143" s="55"/>
      <c r="W143" s="114"/>
      <c r="Y143" s="114"/>
      <c r="Z143" s="114"/>
      <c r="AB143" s="55"/>
      <c r="AD143" s="55"/>
      <c r="AE143" s="114"/>
      <c r="AM143" s="114"/>
      <c r="AO143" s="114"/>
      <c r="AR143" s="114"/>
      <c r="AU143" s="114"/>
      <c r="AV143" s="114"/>
      <c r="AW143" s="114"/>
      <c r="AX143" s="114"/>
      <c r="AZ143" s="114"/>
    </row>
    <row r="144" spans="1:57" s="13" customFormat="1" ht="16.5" hidden="1" thickBot="1" x14ac:dyDescent="0.3">
      <c r="A144" s="65"/>
      <c r="B144" s="65"/>
      <c r="C144" s="65"/>
      <c r="D144" s="65" t="s">
        <v>102</v>
      </c>
      <c r="E144" s="65" t="s">
        <v>103</v>
      </c>
      <c r="F144" s="65"/>
      <c r="G144" s="17">
        <v>2010</v>
      </c>
      <c r="H144" s="101">
        <v>2010</v>
      </c>
      <c r="I144" s="17">
        <v>2010</v>
      </c>
      <c r="J144" s="18">
        <v>2010</v>
      </c>
      <c r="K144" s="101">
        <v>2010</v>
      </c>
      <c r="L144" s="17">
        <v>2010</v>
      </c>
      <c r="M144" s="18">
        <v>2010</v>
      </c>
      <c r="N144" s="101">
        <v>2010</v>
      </c>
      <c r="O144" s="101">
        <v>2010</v>
      </c>
      <c r="P144" s="101">
        <v>2010</v>
      </c>
      <c r="Q144" s="18">
        <v>2010</v>
      </c>
      <c r="R144" s="101">
        <v>2010</v>
      </c>
      <c r="S144" s="101">
        <v>2010</v>
      </c>
      <c r="T144" s="18">
        <v>2010</v>
      </c>
      <c r="U144" s="17"/>
      <c r="V144" s="17"/>
      <c r="W144" s="101"/>
      <c r="X144" s="17"/>
      <c r="Y144" s="101"/>
      <c r="Z144" s="101"/>
      <c r="AA144" s="17"/>
      <c r="AB144" s="18"/>
      <c r="AC144" s="17"/>
      <c r="AD144" s="18"/>
      <c r="AE144" s="101"/>
      <c r="AF144" s="17"/>
      <c r="AG144" s="17"/>
      <c r="AH144" s="17"/>
      <c r="AI144" s="17"/>
      <c r="AJ144" s="17"/>
      <c r="AK144" s="17"/>
      <c r="AL144" s="17"/>
      <c r="AM144" s="101"/>
      <c r="AN144" s="17"/>
      <c r="AO144" s="101"/>
      <c r="AP144" s="17"/>
      <c r="AQ144" s="17"/>
      <c r="AR144" s="101"/>
      <c r="AS144" s="17"/>
      <c r="AT144" s="17"/>
      <c r="AU144" s="101"/>
      <c r="AV144" s="101"/>
      <c r="AW144" s="101"/>
      <c r="AX144" s="101"/>
      <c r="AY144" s="17"/>
      <c r="AZ144" s="101"/>
      <c r="BA144" s="17"/>
      <c r="BB144" s="17"/>
      <c r="BC144" s="17"/>
      <c r="BD144" s="17"/>
      <c r="BE144" s="17"/>
    </row>
    <row r="145" spans="1:57" s="13" customFormat="1" ht="15.75" hidden="1" x14ac:dyDescent="0.25">
      <c r="A145" s="65"/>
      <c r="B145" s="65"/>
      <c r="C145" s="65"/>
      <c r="D145" s="65"/>
      <c r="E145" s="65" t="s">
        <v>104</v>
      </c>
      <c r="F145" s="65"/>
      <c r="G145" s="23"/>
      <c r="H145" s="103"/>
      <c r="I145" s="23"/>
      <c r="J145" s="24"/>
      <c r="K145" s="103"/>
      <c r="L145" s="23"/>
      <c r="M145" s="24"/>
      <c r="N145" s="103"/>
      <c r="O145" s="103"/>
      <c r="P145" s="103"/>
      <c r="Q145" s="24"/>
      <c r="R145" s="103"/>
      <c r="S145" s="103"/>
      <c r="T145" s="24"/>
      <c r="U145" s="23"/>
      <c r="V145" s="23"/>
      <c r="W145" s="103"/>
      <c r="X145" s="23"/>
      <c r="Y145" s="103"/>
      <c r="Z145" s="103"/>
      <c r="AA145" s="23"/>
      <c r="AB145" s="24"/>
      <c r="AC145" s="23"/>
      <c r="AD145" s="24"/>
      <c r="AE145" s="103"/>
      <c r="AF145" s="23"/>
      <c r="AG145" s="23"/>
      <c r="AH145" s="23"/>
      <c r="AI145" s="23"/>
      <c r="AJ145" s="23"/>
      <c r="AK145" s="23"/>
      <c r="AL145" s="23"/>
      <c r="AM145" s="103"/>
      <c r="AN145" s="23"/>
      <c r="AO145" s="103"/>
      <c r="AP145" s="23"/>
      <c r="AQ145" s="23"/>
      <c r="AR145" s="103"/>
      <c r="AS145" s="23"/>
      <c r="AT145" s="23"/>
      <c r="AU145" s="103"/>
      <c r="AV145" s="103"/>
      <c r="AW145" s="103"/>
      <c r="AX145" s="103"/>
      <c r="AY145" s="23"/>
      <c r="AZ145" s="103"/>
      <c r="BA145" s="23"/>
      <c r="BB145" s="23"/>
      <c r="BC145" s="23"/>
      <c r="BD145" s="23"/>
      <c r="BE145" s="23"/>
    </row>
    <row r="146" spans="1:57" s="13" customFormat="1" ht="15.75" hidden="1" x14ac:dyDescent="0.25">
      <c r="A146" s="65"/>
      <c r="B146" s="65"/>
      <c r="C146" s="65"/>
      <c r="D146" s="65"/>
      <c r="E146" s="65" t="s">
        <v>105</v>
      </c>
      <c r="F146" s="65"/>
      <c r="G146" s="23"/>
      <c r="H146" s="103"/>
      <c r="I146" s="23"/>
      <c r="J146" s="24"/>
      <c r="K146" s="103"/>
      <c r="L146" s="23"/>
      <c r="M146" s="24"/>
      <c r="N146" s="103"/>
      <c r="O146" s="103"/>
      <c r="P146" s="103"/>
      <c r="Q146" s="24"/>
      <c r="R146" s="103"/>
      <c r="S146" s="103"/>
      <c r="T146" s="24"/>
      <c r="U146" s="23"/>
      <c r="V146" s="23"/>
      <c r="W146" s="103"/>
      <c r="X146" s="23"/>
      <c r="Y146" s="103"/>
      <c r="Z146" s="103"/>
      <c r="AA146" s="23"/>
      <c r="AB146" s="24"/>
      <c r="AC146" s="23"/>
      <c r="AD146" s="24"/>
      <c r="AE146" s="103"/>
      <c r="AF146" s="23"/>
      <c r="AG146" s="23"/>
      <c r="AH146" s="23"/>
      <c r="AI146" s="23"/>
      <c r="AJ146" s="23"/>
      <c r="AK146" s="23"/>
      <c r="AL146" s="23"/>
      <c r="AM146" s="103"/>
      <c r="AN146" s="23"/>
      <c r="AO146" s="103"/>
      <c r="AP146" s="23"/>
      <c r="AQ146" s="23"/>
      <c r="AR146" s="103"/>
      <c r="AS146" s="23"/>
      <c r="AT146" s="23"/>
      <c r="AU146" s="103"/>
      <c r="AV146" s="103"/>
      <c r="AW146" s="103"/>
      <c r="AX146" s="103"/>
      <c r="AY146" s="23"/>
      <c r="AZ146" s="103"/>
      <c r="BA146" s="23"/>
      <c r="BB146" s="23"/>
      <c r="BC146" s="23"/>
      <c r="BD146" s="23"/>
      <c r="BE146" s="23"/>
    </row>
    <row r="147" spans="1:57" s="13" customFormat="1" ht="15.75" hidden="1" x14ac:dyDescent="0.25">
      <c r="A147" s="65"/>
      <c r="B147" s="65"/>
      <c r="C147" s="65"/>
      <c r="D147" s="65"/>
      <c r="E147" s="65" t="s">
        <v>106</v>
      </c>
      <c r="F147" s="65"/>
      <c r="G147" s="23"/>
      <c r="H147" s="103"/>
      <c r="I147" s="23"/>
      <c r="J147" s="24"/>
      <c r="K147" s="103"/>
      <c r="L147" s="23"/>
      <c r="M147" s="24"/>
      <c r="N147" s="103"/>
      <c r="O147" s="103"/>
      <c r="P147" s="103"/>
      <c r="Q147" s="24"/>
      <c r="R147" s="103"/>
      <c r="S147" s="103"/>
      <c r="T147" s="24"/>
      <c r="U147" s="23"/>
      <c r="V147" s="23"/>
      <c r="W147" s="103"/>
      <c r="X147" s="23"/>
      <c r="Y147" s="103"/>
      <c r="Z147" s="103"/>
      <c r="AA147" s="23"/>
      <c r="AB147" s="24"/>
      <c r="AC147" s="23"/>
      <c r="AD147" s="24"/>
      <c r="AE147" s="103"/>
      <c r="AF147" s="23"/>
      <c r="AG147" s="23"/>
      <c r="AH147" s="23"/>
      <c r="AI147" s="23"/>
      <c r="AJ147" s="23"/>
      <c r="AK147" s="23"/>
      <c r="AL147" s="23"/>
      <c r="AM147" s="103"/>
      <c r="AN147" s="23"/>
      <c r="AO147" s="103"/>
      <c r="AP147" s="23"/>
      <c r="AQ147" s="23"/>
      <c r="AR147" s="103"/>
      <c r="AS147" s="23"/>
      <c r="AT147" s="23"/>
      <c r="AU147" s="103"/>
      <c r="AV147" s="103"/>
      <c r="AW147" s="103"/>
      <c r="AX147" s="103"/>
      <c r="AY147" s="23"/>
      <c r="AZ147" s="103"/>
      <c r="BA147" s="23"/>
      <c r="BB147" s="23"/>
      <c r="BC147" s="23"/>
      <c r="BD147" s="23"/>
      <c r="BE147" s="23"/>
    </row>
    <row r="148" spans="1:57" s="13" customFormat="1" ht="15.75" hidden="1" x14ac:dyDescent="0.25">
      <c r="A148" s="65"/>
      <c r="B148" s="65"/>
      <c r="C148" s="65"/>
      <c r="D148" s="65"/>
      <c r="E148" s="57" t="s">
        <v>90</v>
      </c>
      <c r="F148" s="65"/>
      <c r="G148" s="71"/>
      <c r="H148" s="117"/>
      <c r="I148" s="71"/>
      <c r="J148" s="72"/>
      <c r="K148" s="117"/>
      <c r="L148" s="71"/>
      <c r="M148" s="72"/>
      <c r="N148" s="117"/>
      <c r="O148" s="117"/>
      <c r="P148" s="117"/>
      <c r="Q148" s="72"/>
      <c r="R148" s="117"/>
      <c r="S148" s="117"/>
      <c r="T148" s="72"/>
      <c r="U148" s="71"/>
      <c r="V148" s="71"/>
      <c r="W148" s="117"/>
      <c r="X148" s="71"/>
      <c r="Y148" s="117"/>
      <c r="Z148" s="117"/>
      <c r="AA148" s="71"/>
      <c r="AB148" s="72"/>
      <c r="AC148" s="71"/>
      <c r="AD148" s="72"/>
      <c r="AE148" s="117"/>
      <c r="AF148" s="71"/>
      <c r="AG148" s="71"/>
      <c r="AH148" s="71"/>
      <c r="AI148" s="71"/>
      <c r="AJ148" s="71"/>
      <c r="AK148" s="71"/>
      <c r="AL148" s="71"/>
      <c r="AM148" s="117"/>
      <c r="AN148" s="71"/>
      <c r="AO148" s="117"/>
      <c r="AP148" s="71"/>
      <c r="AQ148" s="71"/>
      <c r="AR148" s="117"/>
      <c r="AS148" s="71"/>
      <c r="AT148" s="71"/>
      <c r="AU148" s="117"/>
      <c r="AV148" s="117"/>
      <c r="AW148" s="117"/>
      <c r="AX148" s="117"/>
      <c r="AY148" s="71"/>
      <c r="AZ148" s="117"/>
      <c r="BA148" s="71"/>
      <c r="BB148" s="71"/>
      <c r="BC148" s="71"/>
      <c r="BD148" s="71"/>
      <c r="BE148" s="71"/>
    </row>
    <row r="149" spans="1:57" s="13" customFormat="1" ht="16.5" hidden="1" thickBot="1" x14ac:dyDescent="0.3">
      <c r="A149" s="65"/>
      <c r="B149" s="65"/>
      <c r="E149" s="65" t="s">
        <v>99</v>
      </c>
      <c r="G149" s="74">
        <f>SUM(G145:G148)</f>
        <v>0</v>
      </c>
      <c r="H149" s="118">
        <f t="shared" ref="H149:T149" si="17">SUM(H145:H148)</f>
        <v>0</v>
      </c>
      <c r="I149" s="74">
        <f t="shared" si="17"/>
        <v>0</v>
      </c>
      <c r="J149" s="75">
        <f t="shared" si="17"/>
        <v>0</v>
      </c>
      <c r="K149" s="118">
        <f t="shared" si="17"/>
        <v>0</v>
      </c>
      <c r="L149" s="74">
        <f t="shared" si="17"/>
        <v>0</v>
      </c>
      <c r="M149" s="75">
        <f t="shared" si="17"/>
        <v>0</v>
      </c>
      <c r="N149" s="118">
        <f t="shared" si="17"/>
        <v>0</v>
      </c>
      <c r="O149" s="118">
        <f t="shared" si="17"/>
        <v>0</v>
      </c>
      <c r="P149" s="118">
        <f t="shared" si="17"/>
        <v>0</v>
      </c>
      <c r="Q149" s="75">
        <f t="shared" si="17"/>
        <v>0</v>
      </c>
      <c r="R149" s="118">
        <f t="shared" si="17"/>
        <v>0</v>
      </c>
      <c r="S149" s="118">
        <f t="shared" si="17"/>
        <v>0</v>
      </c>
      <c r="T149" s="75">
        <f t="shared" si="17"/>
        <v>0</v>
      </c>
      <c r="U149" s="74"/>
      <c r="V149" s="74"/>
      <c r="W149" s="118"/>
      <c r="X149" s="74"/>
      <c r="Y149" s="118"/>
      <c r="Z149" s="118"/>
      <c r="AA149" s="74"/>
      <c r="AB149" s="75"/>
      <c r="AC149" s="74"/>
      <c r="AD149" s="75"/>
      <c r="AE149" s="118"/>
      <c r="AF149" s="74"/>
      <c r="AG149" s="74"/>
      <c r="AH149" s="74"/>
      <c r="AI149" s="74"/>
      <c r="AJ149" s="74"/>
      <c r="AK149" s="74"/>
      <c r="AL149" s="74"/>
      <c r="AM149" s="118"/>
      <c r="AN149" s="74"/>
      <c r="AO149" s="118"/>
      <c r="AP149" s="74"/>
      <c r="AQ149" s="74"/>
      <c r="AR149" s="118"/>
      <c r="AS149" s="74"/>
      <c r="AT149" s="74"/>
      <c r="AU149" s="118"/>
      <c r="AV149" s="118"/>
      <c r="AW149" s="118"/>
      <c r="AX149" s="118"/>
      <c r="AY149" s="74"/>
      <c r="AZ149" s="118"/>
      <c r="BA149" s="74"/>
      <c r="BB149" s="74"/>
      <c r="BC149" s="74"/>
      <c r="BD149" s="74"/>
      <c r="BE149" s="74"/>
    </row>
    <row r="150" spans="1:57" s="13" customFormat="1" ht="15.75" hidden="1" x14ac:dyDescent="0.25">
      <c r="A150" s="65"/>
      <c r="B150" s="65"/>
      <c r="C150" s="65"/>
      <c r="D150" s="65"/>
      <c r="E150" s="65"/>
      <c r="F150" s="65"/>
      <c r="G150" s="65"/>
      <c r="H150" s="115"/>
      <c r="I150" s="65"/>
      <c r="J150" s="66"/>
      <c r="K150" s="115"/>
      <c r="L150" s="65"/>
      <c r="M150" s="66"/>
      <c r="N150" s="115"/>
      <c r="O150" s="115"/>
      <c r="P150" s="115"/>
      <c r="Q150" s="66"/>
      <c r="R150" s="115"/>
      <c r="S150" s="115"/>
      <c r="T150" s="66"/>
      <c r="U150" s="65"/>
      <c r="V150" s="65"/>
      <c r="W150" s="115"/>
      <c r="X150" s="65"/>
      <c r="Y150" s="115"/>
      <c r="Z150" s="115"/>
      <c r="AA150" s="65"/>
      <c r="AB150" s="66"/>
      <c r="AC150" s="65"/>
      <c r="AD150" s="66"/>
      <c r="AE150" s="115"/>
      <c r="AF150" s="65"/>
      <c r="AG150" s="65"/>
      <c r="AH150" s="65"/>
      <c r="AI150" s="65"/>
      <c r="AJ150" s="65"/>
      <c r="AK150" s="65"/>
      <c r="AL150" s="65"/>
      <c r="AM150" s="115"/>
      <c r="AN150" s="65"/>
      <c r="AO150" s="115"/>
      <c r="AP150" s="65"/>
      <c r="AQ150" s="65"/>
      <c r="AR150" s="115"/>
      <c r="AS150" s="65"/>
      <c r="AT150" s="65"/>
      <c r="AU150" s="115"/>
      <c r="AV150" s="115"/>
      <c r="AW150" s="115"/>
      <c r="AX150" s="115"/>
      <c r="AY150" s="65"/>
      <c r="AZ150" s="115"/>
      <c r="BA150" s="65"/>
      <c r="BB150" s="65"/>
      <c r="BC150" s="65"/>
      <c r="BD150" s="65"/>
      <c r="BE150" s="65"/>
    </row>
    <row r="151" spans="1:57" s="13" customFormat="1" ht="15.75" hidden="1" x14ac:dyDescent="0.25">
      <c r="A151" s="65"/>
      <c r="B151" s="65"/>
      <c r="C151" s="65"/>
      <c r="D151" s="65"/>
      <c r="E151" s="65"/>
      <c r="F151" s="65"/>
      <c r="G151" s="65"/>
      <c r="H151" s="115"/>
      <c r="I151" s="65"/>
      <c r="J151" s="66"/>
      <c r="K151" s="115"/>
      <c r="L151" s="65"/>
      <c r="M151" s="66"/>
      <c r="N151" s="115"/>
      <c r="O151" s="115"/>
      <c r="P151" s="115"/>
      <c r="Q151" s="66"/>
      <c r="R151" s="115"/>
      <c r="S151" s="115"/>
      <c r="T151" s="66"/>
      <c r="U151" s="65"/>
      <c r="V151" s="65"/>
      <c r="W151" s="115"/>
      <c r="X151" s="65"/>
      <c r="Y151" s="115"/>
      <c r="Z151" s="115"/>
      <c r="AA151" s="65"/>
      <c r="AB151" s="66"/>
      <c r="AC151" s="65"/>
      <c r="AD151" s="66"/>
      <c r="AE151" s="115"/>
      <c r="AF151" s="65"/>
      <c r="AG151" s="65"/>
      <c r="AH151" s="65"/>
      <c r="AI151" s="65"/>
      <c r="AJ151" s="65"/>
      <c r="AK151" s="65"/>
      <c r="AL151" s="65"/>
      <c r="AM151" s="115"/>
      <c r="AN151" s="65"/>
      <c r="AO151" s="115"/>
      <c r="AP151" s="65"/>
      <c r="AQ151" s="65"/>
      <c r="AR151" s="115"/>
      <c r="AS151" s="65"/>
      <c r="AT151" s="65"/>
      <c r="AU151" s="115"/>
      <c r="AV151" s="115"/>
      <c r="AW151" s="115"/>
      <c r="AX151" s="115"/>
      <c r="AY151" s="65"/>
      <c r="AZ151" s="115"/>
      <c r="BA151" s="65"/>
      <c r="BB151" s="65"/>
      <c r="BC151" s="65"/>
      <c r="BD151" s="65"/>
      <c r="BE151" s="65"/>
    </row>
    <row r="152" spans="1:57" s="13" customFormat="1" ht="15.75" x14ac:dyDescent="0.25">
      <c r="A152" s="77" t="s">
        <v>107</v>
      </c>
      <c r="B152" s="16"/>
      <c r="C152" s="16"/>
      <c r="D152" s="16"/>
      <c r="E152" s="16"/>
      <c r="F152" s="16"/>
      <c r="G152" s="6"/>
      <c r="H152" s="102"/>
      <c r="I152" s="6"/>
      <c r="J152" s="10"/>
      <c r="K152" s="102"/>
      <c r="L152" s="6"/>
      <c r="M152" s="10"/>
      <c r="N152" s="102"/>
      <c r="O152" s="102"/>
      <c r="P152" s="102"/>
      <c r="Q152" s="10"/>
      <c r="R152" s="102"/>
      <c r="S152" s="102"/>
      <c r="T152" s="10"/>
      <c r="U152" s="6"/>
      <c r="V152" s="6"/>
      <c r="W152" s="102"/>
      <c r="X152" s="6"/>
      <c r="Y152" s="102"/>
      <c r="Z152" s="102"/>
      <c r="AA152" s="6"/>
      <c r="AB152" s="10"/>
      <c r="AC152" s="6"/>
      <c r="AD152" s="10"/>
      <c r="AE152" s="102"/>
      <c r="AF152" s="6"/>
      <c r="AG152" s="6"/>
      <c r="AH152" s="6"/>
      <c r="AI152" s="6"/>
      <c r="AJ152" s="6"/>
      <c r="AK152" s="6"/>
      <c r="AL152" s="6"/>
      <c r="AM152" s="102"/>
      <c r="AN152" s="6"/>
      <c r="AO152" s="102"/>
      <c r="AP152" s="6"/>
      <c r="AQ152" s="6"/>
      <c r="AR152" s="102"/>
      <c r="AS152" s="6"/>
      <c r="AT152" s="6"/>
      <c r="AU152" s="102"/>
      <c r="AV152" s="102"/>
      <c r="AW152" s="102"/>
      <c r="AX152" s="102"/>
      <c r="AY152" s="6"/>
      <c r="AZ152" s="102">
        <f>+AZ110-AZ65-AZ63</f>
        <v>676</v>
      </c>
      <c r="BA152" s="6"/>
      <c r="BB152" s="6"/>
      <c r="BC152" s="6"/>
      <c r="BD152" s="6"/>
      <c r="BE152" s="6"/>
    </row>
    <row r="153" spans="1:57" s="13" customFormat="1" ht="15.75" x14ac:dyDescent="0.25">
      <c r="A153" s="5"/>
      <c r="B153" s="6"/>
      <c r="C153" s="6"/>
      <c r="D153" s="6" t="s">
        <v>108</v>
      </c>
      <c r="E153" s="6"/>
      <c r="F153" s="78"/>
      <c r="G153" s="23"/>
      <c r="H153" s="103"/>
      <c r="I153" s="23"/>
      <c r="J153" s="24"/>
      <c r="K153" s="103"/>
      <c r="L153" s="23"/>
      <c r="M153" s="24"/>
      <c r="N153" s="103"/>
      <c r="O153" s="103"/>
      <c r="P153" s="103">
        <v>1955</v>
      </c>
      <c r="Q153" s="24"/>
      <c r="R153" s="103"/>
      <c r="S153" s="103"/>
      <c r="T153" s="24"/>
      <c r="U153" s="23"/>
      <c r="V153" s="23"/>
      <c r="W153" s="103"/>
      <c r="X153" s="23"/>
      <c r="Y153" s="103"/>
      <c r="Z153" s="103"/>
      <c r="AA153" s="23"/>
      <c r="AB153" s="24"/>
      <c r="AC153" s="23"/>
      <c r="AD153" s="24"/>
      <c r="AE153" s="103"/>
      <c r="AF153" s="23"/>
      <c r="AG153" s="23"/>
      <c r="AH153" s="23"/>
      <c r="AI153" s="23"/>
      <c r="AJ153" s="23"/>
      <c r="AK153" s="23"/>
      <c r="AL153" s="23"/>
      <c r="AM153" s="103"/>
      <c r="AN153" s="23"/>
      <c r="AO153" s="103"/>
      <c r="AP153" s="23">
        <v>5448</v>
      </c>
      <c r="AQ153" s="23"/>
      <c r="AR153" s="103">
        <v>3412</v>
      </c>
      <c r="AS153" s="23">
        <v>2498</v>
      </c>
      <c r="AT153" s="23"/>
      <c r="AU153" s="103"/>
      <c r="AV153" s="103"/>
      <c r="AW153" s="103"/>
      <c r="AX153" s="103"/>
      <c r="AY153" s="23"/>
      <c r="AZ153" s="103"/>
      <c r="BA153" s="23"/>
      <c r="BB153" s="23">
        <v>1248</v>
      </c>
      <c r="BC153" s="23">
        <v>3323</v>
      </c>
      <c r="BD153" s="23">
        <f>964824/1000</f>
        <v>964.82399999999996</v>
      </c>
      <c r="BE153" s="23">
        <v>922</v>
      </c>
    </row>
    <row r="154" spans="1:57" s="13" customFormat="1" ht="15.75" x14ac:dyDescent="0.25">
      <c r="A154" s="5"/>
      <c r="B154" s="6"/>
      <c r="C154" s="6"/>
      <c r="D154" s="6" t="s">
        <v>109</v>
      </c>
      <c r="E154" s="6"/>
      <c r="F154" s="78"/>
      <c r="G154" s="23">
        <v>412</v>
      </c>
      <c r="H154" s="103">
        <v>6168</v>
      </c>
      <c r="I154" s="23">
        <v>2316</v>
      </c>
      <c r="J154" s="24">
        <v>315</v>
      </c>
      <c r="K154" s="103"/>
      <c r="L154" s="23">
        <v>614</v>
      </c>
      <c r="M154" s="24"/>
      <c r="N154" s="103">
        <v>10617</v>
      </c>
      <c r="O154" s="103">
        <v>840</v>
      </c>
      <c r="P154" s="103">
        <v>1195</v>
      </c>
      <c r="Q154" s="24">
        <v>3558</v>
      </c>
      <c r="R154" s="103">
        <v>146</v>
      </c>
      <c r="S154" s="103">
        <v>1042</v>
      </c>
      <c r="T154" s="24">
        <v>1439</v>
      </c>
      <c r="U154" s="23">
        <v>2520</v>
      </c>
      <c r="V154" s="23">
        <v>1839</v>
      </c>
      <c r="W154" s="103">
        <v>3350</v>
      </c>
      <c r="X154" s="23">
        <v>3990</v>
      </c>
      <c r="Y154" s="103">
        <v>12760</v>
      </c>
      <c r="Z154" s="103">
        <v>5631</v>
      </c>
      <c r="AA154" s="23">
        <v>1680</v>
      </c>
      <c r="AB154" s="24">
        <v>592</v>
      </c>
      <c r="AC154" s="23">
        <v>3181</v>
      </c>
      <c r="AD154" s="24">
        <v>210</v>
      </c>
      <c r="AE154" s="103">
        <v>13760</v>
      </c>
      <c r="AF154" s="23">
        <v>1848</v>
      </c>
      <c r="AG154" s="23">
        <v>3610</v>
      </c>
      <c r="AH154" s="23">
        <v>3312</v>
      </c>
      <c r="AI154" s="23">
        <v>3103</v>
      </c>
      <c r="AJ154" s="23">
        <v>2039</v>
      </c>
      <c r="AK154" s="23">
        <v>2761</v>
      </c>
      <c r="AL154" s="23">
        <v>592</v>
      </c>
      <c r="AM154" s="103">
        <v>9</v>
      </c>
      <c r="AN154" s="23">
        <v>1972</v>
      </c>
      <c r="AO154" s="103">
        <v>-142</v>
      </c>
      <c r="AP154" s="23">
        <v>3733</v>
      </c>
      <c r="AQ154" s="23"/>
      <c r="AR154" s="103">
        <v>8749</v>
      </c>
      <c r="AS154" s="23">
        <v>-500</v>
      </c>
      <c r="AT154" s="23">
        <v>300</v>
      </c>
      <c r="AU154" s="103">
        <v>-336</v>
      </c>
      <c r="AV154" s="103">
        <v>7</v>
      </c>
      <c r="AW154" s="103">
        <v>2362</v>
      </c>
      <c r="AX154" s="103">
        <v>5507</v>
      </c>
      <c r="AY154" s="23">
        <v>5451</v>
      </c>
      <c r="AZ154" s="103">
        <v>7133</v>
      </c>
      <c r="BA154" s="23">
        <v>1067</v>
      </c>
      <c r="BB154" s="23">
        <v>250</v>
      </c>
      <c r="BC154" s="23">
        <v>4623</v>
      </c>
      <c r="BD154" s="23">
        <f>3608907/1000</f>
        <v>3608.9070000000002</v>
      </c>
      <c r="BE154" s="23">
        <v>589</v>
      </c>
    </row>
    <row r="155" spans="1:57" s="13" customFormat="1" ht="15.75" x14ac:dyDescent="0.25">
      <c r="A155" s="5"/>
      <c r="B155" s="6"/>
      <c r="C155" s="6"/>
      <c r="D155" s="6" t="s">
        <v>110</v>
      </c>
      <c r="E155" s="6"/>
      <c r="F155" s="78"/>
      <c r="G155" s="23">
        <v>55</v>
      </c>
      <c r="H155" s="103">
        <v>80</v>
      </c>
      <c r="I155" s="23"/>
      <c r="J155" s="24">
        <v>841</v>
      </c>
      <c r="K155" s="103">
        <v>273</v>
      </c>
      <c r="L155" s="23">
        <v>352</v>
      </c>
      <c r="M155" s="24"/>
      <c r="N155" s="103">
        <v>3395</v>
      </c>
      <c r="O155" s="103"/>
      <c r="P155" s="103"/>
      <c r="Q155" s="24">
        <v>380</v>
      </c>
      <c r="R155" s="103"/>
      <c r="S155" s="103"/>
      <c r="T155" s="24">
        <v>899</v>
      </c>
      <c r="U155" s="23"/>
      <c r="V155" s="23"/>
      <c r="W155" s="103"/>
      <c r="X155" s="23"/>
      <c r="Y155" s="103">
        <v>6851</v>
      </c>
      <c r="Z155" s="103">
        <v>219</v>
      </c>
      <c r="AA155" s="23"/>
      <c r="AB155" s="24"/>
      <c r="AC155" s="23"/>
      <c r="AD155" s="24"/>
      <c r="AE155" s="103">
        <v>412</v>
      </c>
      <c r="AF155" s="23">
        <v>198</v>
      </c>
      <c r="AG155" s="23"/>
      <c r="AH155" s="23">
        <v>449</v>
      </c>
      <c r="AI155" s="23">
        <v>592</v>
      </c>
      <c r="AJ155" s="23"/>
      <c r="AK155" s="23">
        <v>191</v>
      </c>
      <c r="AL155" s="23"/>
      <c r="AM155" s="103"/>
      <c r="AN155" s="23">
        <v>165</v>
      </c>
      <c r="AO155" s="103"/>
      <c r="AP155" s="23">
        <v>1596</v>
      </c>
      <c r="AQ155" s="23"/>
      <c r="AR155" s="103"/>
      <c r="AS155" s="23">
        <v>705</v>
      </c>
      <c r="AT155" s="23">
        <v>748</v>
      </c>
      <c r="AU155" s="103"/>
      <c r="AV155" s="103">
        <v>316</v>
      </c>
      <c r="AW155" s="103"/>
      <c r="AX155" s="103">
        <v>585</v>
      </c>
      <c r="AY155" s="23">
        <v>751</v>
      </c>
      <c r="AZ155" s="103"/>
      <c r="BA155" s="23"/>
      <c r="BB155" s="23">
        <v>122</v>
      </c>
      <c r="BC155" s="23"/>
      <c r="BD155" s="23"/>
      <c r="BE155" s="23"/>
    </row>
    <row r="156" spans="1:57" s="13" customFormat="1" ht="15.75" x14ac:dyDescent="0.25">
      <c r="A156" s="5"/>
      <c r="B156" s="6"/>
      <c r="C156" s="6"/>
      <c r="D156" s="79" t="s">
        <v>108</v>
      </c>
      <c r="E156" s="38"/>
      <c r="F156" s="80"/>
      <c r="G156" s="26">
        <v>334</v>
      </c>
      <c r="H156" s="104">
        <v>1633</v>
      </c>
      <c r="I156" s="26">
        <v>7027</v>
      </c>
      <c r="J156" s="27"/>
      <c r="K156" s="104">
        <v>93</v>
      </c>
      <c r="L156" s="26">
        <v>498</v>
      </c>
      <c r="M156" s="27">
        <v>2759</v>
      </c>
      <c r="N156" s="104"/>
      <c r="O156" s="104">
        <v>1486</v>
      </c>
      <c r="P156" s="104">
        <v>381</v>
      </c>
      <c r="Q156" s="27">
        <v>2125</v>
      </c>
      <c r="R156" s="104">
        <v>5347</v>
      </c>
      <c r="S156" s="104">
        <v>2452</v>
      </c>
      <c r="T156" s="27"/>
      <c r="U156" s="26">
        <v>4923</v>
      </c>
      <c r="V156" s="26">
        <v>198</v>
      </c>
      <c r="W156" s="104">
        <v>1576</v>
      </c>
      <c r="X156" s="26">
        <v>460</v>
      </c>
      <c r="Y156" s="104">
        <v>7013</v>
      </c>
      <c r="Z156" s="104">
        <v>6950</v>
      </c>
      <c r="AA156" s="26">
        <v>696</v>
      </c>
      <c r="AB156" s="27">
        <v>637</v>
      </c>
      <c r="AC156" s="26">
        <v>3597</v>
      </c>
      <c r="AD156" s="27">
        <v>605</v>
      </c>
      <c r="AE156" s="104">
        <v>23493</v>
      </c>
      <c r="AF156" s="26">
        <v>668</v>
      </c>
      <c r="AG156" s="26">
        <v>1061</v>
      </c>
      <c r="AH156" s="26">
        <v>894</v>
      </c>
      <c r="AI156" s="26">
        <v>1628</v>
      </c>
      <c r="AJ156" s="26">
        <v>2726</v>
      </c>
      <c r="AK156" s="26">
        <v>1550</v>
      </c>
      <c r="AL156" s="26">
        <v>637</v>
      </c>
      <c r="AM156" s="104">
        <v>781</v>
      </c>
      <c r="AN156" s="26">
        <v>6346</v>
      </c>
      <c r="AO156" s="104">
        <v>3356</v>
      </c>
      <c r="AP156" s="26"/>
      <c r="AQ156" s="26">
        <v>940</v>
      </c>
      <c r="AR156" s="104"/>
      <c r="AS156" s="26"/>
      <c r="AT156" s="26">
        <v>2402</v>
      </c>
      <c r="AU156" s="104">
        <v>1355</v>
      </c>
      <c r="AV156" s="104">
        <v>1493</v>
      </c>
      <c r="AW156" s="104">
        <v>4278</v>
      </c>
      <c r="AX156" s="104">
        <v>4745</v>
      </c>
      <c r="AY156" s="26">
        <v>1407</v>
      </c>
      <c r="AZ156" s="104">
        <v>685</v>
      </c>
      <c r="BA156" s="26">
        <v>1176</v>
      </c>
      <c r="BB156" s="26"/>
      <c r="BC156" s="26"/>
      <c r="BD156" s="26"/>
      <c r="BE156" s="26"/>
    </row>
    <row r="157" spans="1:57" s="13" customFormat="1" ht="15.75" x14ac:dyDescent="0.25">
      <c r="A157" s="5"/>
      <c r="B157" s="6"/>
      <c r="C157" s="6"/>
      <c r="D157" s="6" t="s">
        <v>111</v>
      </c>
      <c r="E157" s="6"/>
      <c r="F157" s="81"/>
      <c r="G157" s="23">
        <v>56</v>
      </c>
      <c r="H157" s="103"/>
      <c r="I157" s="23"/>
      <c r="J157" s="24">
        <v>246</v>
      </c>
      <c r="K157" s="103">
        <v>104</v>
      </c>
      <c r="L157" s="23"/>
      <c r="M157" s="24">
        <v>212</v>
      </c>
      <c r="N157" s="103">
        <v>634</v>
      </c>
      <c r="O157" s="103">
        <v>156</v>
      </c>
      <c r="P157" s="103">
        <v>675</v>
      </c>
      <c r="Q157" s="24">
        <v>140</v>
      </c>
      <c r="R157" s="103">
        <v>369</v>
      </c>
      <c r="S157" s="103"/>
      <c r="T157" s="24">
        <v>231</v>
      </c>
      <c r="U157" s="23">
        <v>264</v>
      </c>
      <c r="V157" s="23">
        <v>223</v>
      </c>
      <c r="W157" s="103">
        <v>75</v>
      </c>
      <c r="X157" s="23">
        <v>19</v>
      </c>
      <c r="Y157" s="103">
        <v>1732</v>
      </c>
      <c r="Z157" s="104">
        <v>259</v>
      </c>
      <c r="AA157" s="23">
        <v>39</v>
      </c>
      <c r="AB157" s="24">
        <v>107</v>
      </c>
      <c r="AC157" s="23">
        <v>126</v>
      </c>
      <c r="AD157" s="24">
        <v>196</v>
      </c>
      <c r="AE157" s="103">
        <v>1409</v>
      </c>
      <c r="AF157" s="23">
        <v>223</v>
      </c>
      <c r="AG157" s="23"/>
      <c r="AH157" s="23">
        <v>168</v>
      </c>
      <c r="AI157" s="23">
        <v>26</v>
      </c>
      <c r="AJ157" s="23">
        <v>198</v>
      </c>
      <c r="AK157" s="23"/>
      <c r="AL157" s="23">
        <v>107</v>
      </c>
      <c r="AM157" s="103">
        <v>66</v>
      </c>
      <c r="AN157" s="23">
        <v>201</v>
      </c>
      <c r="AO157" s="103">
        <v>91</v>
      </c>
      <c r="AP157" s="23">
        <v>587</v>
      </c>
      <c r="AQ157" s="23">
        <v>46</v>
      </c>
      <c r="AR157" s="103">
        <v>364</v>
      </c>
      <c r="AS157" s="23">
        <v>175</v>
      </c>
      <c r="AT157" s="23">
        <v>124</v>
      </c>
      <c r="AU157" s="103">
        <v>87</v>
      </c>
      <c r="AV157" s="103"/>
      <c r="AW157" s="103"/>
      <c r="AX157" s="103">
        <v>382</v>
      </c>
      <c r="AY157" s="23">
        <v>100</v>
      </c>
      <c r="AZ157" s="103"/>
      <c r="BA157" s="23">
        <v>248</v>
      </c>
      <c r="BB157" s="23">
        <v>137</v>
      </c>
      <c r="BC157" s="23"/>
      <c r="BD157" s="23"/>
      <c r="BE157" s="23"/>
    </row>
    <row r="158" spans="1:57" s="13" customFormat="1" ht="15.75" x14ac:dyDescent="0.25">
      <c r="A158" s="5"/>
      <c r="B158" s="6"/>
      <c r="C158" s="6"/>
      <c r="D158" s="6" t="s">
        <v>112</v>
      </c>
      <c r="E158" s="6"/>
      <c r="F158" s="81"/>
      <c r="G158" s="23">
        <v>28</v>
      </c>
      <c r="H158" s="103"/>
      <c r="I158" s="23"/>
      <c r="J158" s="24">
        <v>55</v>
      </c>
      <c r="K158" s="103">
        <v>55</v>
      </c>
      <c r="L158" s="23"/>
      <c r="M158" s="24">
        <v>225</v>
      </c>
      <c r="N158" s="103">
        <v>844</v>
      </c>
      <c r="O158" s="103">
        <v>168</v>
      </c>
      <c r="P158" s="103">
        <v>610</v>
      </c>
      <c r="Q158" s="24">
        <v>337</v>
      </c>
      <c r="R158" s="103">
        <v>599</v>
      </c>
      <c r="S158" s="103"/>
      <c r="T158" s="24">
        <v>75</v>
      </c>
      <c r="U158" s="23">
        <v>84</v>
      </c>
      <c r="V158" s="23">
        <v>138</v>
      </c>
      <c r="W158" s="103">
        <v>77</v>
      </c>
      <c r="X158" s="23">
        <v>109</v>
      </c>
      <c r="Y158" s="103">
        <v>1960</v>
      </c>
      <c r="Z158" s="103">
        <v>915</v>
      </c>
      <c r="AA158" s="23">
        <v>126</v>
      </c>
      <c r="AB158" s="24">
        <v>54</v>
      </c>
      <c r="AC158" s="23"/>
      <c r="AD158" s="24">
        <v>98</v>
      </c>
      <c r="AE158" s="103"/>
      <c r="AF158" s="23"/>
      <c r="AG158" s="23"/>
      <c r="AH158" s="23">
        <v>198</v>
      </c>
      <c r="AI158" s="23">
        <v>165</v>
      </c>
      <c r="AJ158" s="23">
        <v>142</v>
      </c>
      <c r="AK158" s="23"/>
      <c r="AL158" s="23">
        <v>54</v>
      </c>
      <c r="AM158" s="103"/>
      <c r="AN158" s="23">
        <v>702</v>
      </c>
      <c r="AO158" s="103"/>
      <c r="AP158" s="23">
        <v>516</v>
      </c>
      <c r="AQ158" s="23">
        <v>203</v>
      </c>
      <c r="AR158" s="103">
        <v>295</v>
      </c>
      <c r="AS158" s="23">
        <v>90</v>
      </c>
      <c r="AT158" s="23">
        <v>171</v>
      </c>
      <c r="AU158" s="103">
        <v>153</v>
      </c>
      <c r="AV158" s="103"/>
      <c r="AW158" s="103"/>
      <c r="AX158" s="103">
        <v>783</v>
      </c>
      <c r="AY158" s="23">
        <v>251</v>
      </c>
      <c r="AZ158" s="103"/>
      <c r="BA158" s="23">
        <v>85</v>
      </c>
      <c r="BB158" s="23">
        <v>61</v>
      </c>
      <c r="BC158" s="23"/>
      <c r="BD158" s="23"/>
      <c r="BE158" s="23"/>
    </row>
    <row r="159" spans="1:57" s="13" customFormat="1" ht="15.75" x14ac:dyDescent="0.25">
      <c r="A159" s="5"/>
      <c r="B159" s="6"/>
      <c r="C159" s="6"/>
      <c r="D159" s="6" t="s">
        <v>113</v>
      </c>
      <c r="E159" s="6"/>
      <c r="F159" s="81"/>
      <c r="G159" s="23">
        <v>15</v>
      </c>
      <c r="H159" s="103"/>
      <c r="I159" s="23"/>
      <c r="J159" s="24">
        <v>204</v>
      </c>
      <c r="K159" s="103">
        <v>114</v>
      </c>
      <c r="L159" s="23">
        <v>425</v>
      </c>
      <c r="M159" s="24"/>
      <c r="N159" s="103">
        <v>184</v>
      </c>
      <c r="O159" s="103"/>
      <c r="P159" s="103">
        <v>393</v>
      </c>
      <c r="Q159" s="24"/>
      <c r="R159" s="103">
        <v>249</v>
      </c>
      <c r="S159" s="103"/>
      <c r="T159" s="24">
        <v>78</v>
      </c>
      <c r="U159" s="23">
        <v>137</v>
      </c>
      <c r="V159" s="23">
        <v>78</v>
      </c>
      <c r="W159" s="103"/>
      <c r="X159" s="23">
        <v>20</v>
      </c>
      <c r="Y159" s="103">
        <v>997</v>
      </c>
      <c r="Z159" s="103"/>
      <c r="AA159" s="23">
        <v>61</v>
      </c>
      <c r="AB159" s="24"/>
      <c r="AC159" s="23"/>
      <c r="AD159" s="24"/>
      <c r="AE159" s="103">
        <v>413</v>
      </c>
      <c r="AF159" s="23">
        <v>401</v>
      </c>
      <c r="AG159" s="23"/>
      <c r="AH159" s="23">
        <v>394</v>
      </c>
      <c r="AI159" s="23">
        <v>221</v>
      </c>
      <c r="AJ159" s="23">
        <v>49</v>
      </c>
      <c r="AK159" s="23">
        <v>75</v>
      </c>
      <c r="AL159" s="23"/>
      <c r="AM159" s="103">
        <v>21</v>
      </c>
      <c r="AN159" s="23"/>
      <c r="AO159" s="103"/>
      <c r="AP159" s="23">
        <v>314</v>
      </c>
      <c r="AQ159" s="23">
        <v>12</v>
      </c>
      <c r="AR159" s="103">
        <v>41</v>
      </c>
      <c r="AS159" s="23">
        <f>74+434</f>
        <v>508</v>
      </c>
      <c r="AT159" s="23"/>
      <c r="AU159" s="103">
        <v>232</v>
      </c>
      <c r="AV159" s="103"/>
      <c r="AW159" s="103"/>
      <c r="AX159" s="103">
        <v>401</v>
      </c>
      <c r="AY159" s="23"/>
      <c r="AZ159" s="103">
        <v>20</v>
      </c>
      <c r="BA159" s="23">
        <v>51</v>
      </c>
      <c r="BB159" s="23">
        <v>122</v>
      </c>
      <c r="BC159" s="23"/>
      <c r="BD159" s="23"/>
      <c r="BE159" s="23"/>
    </row>
    <row r="160" spans="1:57" s="13" customFormat="1" ht="15.75" x14ac:dyDescent="0.25">
      <c r="A160" s="5"/>
      <c r="B160" s="6"/>
      <c r="C160" s="6"/>
      <c r="D160" s="6" t="s">
        <v>164</v>
      </c>
      <c r="E160" s="6"/>
      <c r="F160" s="81"/>
      <c r="G160" s="26"/>
      <c r="H160" s="104"/>
      <c r="I160" s="26"/>
      <c r="J160" s="27"/>
      <c r="K160" s="104"/>
      <c r="L160" s="26"/>
      <c r="M160" s="27"/>
      <c r="N160" s="104">
        <v>543</v>
      </c>
      <c r="O160" s="104"/>
      <c r="P160" s="104"/>
      <c r="Q160" s="27"/>
      <c r="R160" s="104">
        <v>295</v>
      </c>
      <c r="S160" s="104"/>
      <c r="T160" s="27">
        <v>84</v>
      </c>
      <c r="U160" s="26">
        <v>247</v>
      </c>
      <c r="V160" s="26"/>
      <c r="W160" s="104"/>
      <c r="X160" s="26"/>
      <c r="Y160" s="104"/>
      <c r="Z160" s="104"/>
      <c r="AA160" s="26"/>
      <c r="AB160" s="27"/>
      <c r="AC160" s="26"/>
      <c r="AD160" s="27"/>
      <c r="AE160" s="104"/>
      <c r="AF160" s="26">
        <v>161</v>
      </c>
      <c r="AG160" s="26"/>
      <c r="AH160" s="26">
        <v>92</v>
      </c>
      <c r="AI160" s="26"/>
      <c r="AJ160" s="26"/>
      <c r="AK160" s="26"/>
      <c r="AL160" s="26"/>
      <c r="AM160" s="104"/>
      <c r="AN160" s="26"/>
      <c r="AO160" s="104"/>
      <c r="AP160" s="26"/>
      <c r="AQ160" s="26"/>
      <c r="AR160" s="104">
        <v>262</v>
      </c>
      <c r="AS160" s="26">
        <v>167</v>
      </c>
      <c r="AT160" s="26"/>
      <c r="AU160" s="104"/>
      <c r="AV160" s="104"/>
      <c r="AW160" s="104"/>
      <c r="AX160" s="104"/>
      <c r="AY160" s="26"/>
      <c r="AZ160" s="104"/>
      <c r="BA160" s="26">
        <v>87</v>
      </c>
      <c r="BB160" s="26"/>
      <c r="BC160" s="26"/>
      <c r="BD160" s="26"/>
      <c r="BE160" s="26"/>
    </row>
    <row r="161" spans="1:57" s="13" customFormat="1" ht="15.75" x14ac:dyDescent="0.25">
      <c r="A161" s="5"/>
      <c r="B161" s="6"/>
      <c r="C161" s="6"/>
      <c r="D161" s="6" t="s">
        <v>114</v>
      </c>
      <c r="E161" s="6"/>
      <c r="F161" s="6"/>
      <c r="G161" s="26"/>
      <c r="H161" s="104"/>
      <c r="I161" s="26"/>
      <c r="J161" s="27">
        <v>119</v>
      </c>
      <c r="K161" s="104"/>
      <c r="L161" s="26">
        <v>127</v>
      </c>
      <c r="M161" s="27"/>
      <c r="N161" s="104">
        <v>539</v>
      </c>
      <c r="O161" s="104">
        <v>22</v>
      </c>
      <c r="P161" s="104">
        <v>635</v>
      </c>
      <c r="Q161" s="27">
        <v>327</v>
      </c>
      <c r="R161" s="104">
        <v>115</v>
      </c>
      <c r="S161" s="104"/>
      <c r="T161" s="27">
        <v>302</v>
      </c>
      <c r="U161" s="26"/>
      <c r="V161" s="26"/>
      <c r="W161" s="104"/>
      <c r="X161" s="26"/>
      <c r="Y161" s="104">
        <v>2922</v>
      </c>
      <c r="Z161" s="104"/>
      <c r="AA161" s="26"/>
      <c r="AB161" s="27"/>
      <c r="AC161" s="26"/>
      <c r="AD161" s="27">
        <v>2</v>
      </c>
      <c r="AE161" s="104"/>
      <c r="AF161" s="26"/>
      <c r="AG161" s="26"/>
      <c r="AH161" s="26">
        <v>8</v>
      </c>
      <c r="AI161" s="26"/>
      <c r="AJ161" s="26">
        <v>181</v>
      </c>
      <c r="AK161" s="26"/>
      <c r="AL161" s="26"/>
      <c r="AM161" s="104">
        <v>250</v>
      </c>
      <c r="AN161" s="26"/>
      <c r="AO161" s="104">
        <v>5</v>
      </c>
      <c r="AP161" s="26">
        <v>1281</v>
      </c>
      <c r="AQ161" s="26">
        <v>500</v>
      </c>
      <c r="AR161" s="104">
        <v>374</v>
      </c>
      <c r="AS161" s="26">
        <v>772</v>
      </c>
      <c r="AT161" s="26">
        <v>483</v>
      </c>
      <c r="AU161" s="104"/>
      <c r="AV161" s="104">
        <v>32</v>
      </c>
      <c r="AW161" s="104"/>
      <c r="AX161" s="104">
        <v>109</v>
      </c>
      <c r="AY161" s="26">
        <v>197</v>
      </c>
      <c r="AZ161" s="104"/>
      <c r="BA161" s="26">
        <v>37</v>
      </c>
      <c r="BB161" s="26">
        <v>189</v>
      </c>
      <c r="BC161" s="26"/>
      <c r="BD161" s="26"/>
      <c r="BE161" s="26">
        <v>90</v>
      </c>
    </row>
    <row r="162" spans="1:57" s="13" customFormat="1" ht="15.75" x14ac:dyDescent="0.25">
      <c r="A162" s="5"/>
      <c r="B162" s="6"/>
      <c r="C162" s="6"/>
      <c r="D162" s="6" t="s">
        <v>115</v>
      </c>
      <c r="E162" s="6"/>
      <c r="F162" s="6"/>
      <c r="G162" s="26">
        <v>219</v>
      </c>
      <c r="H162" s="104"/>
      <c r="I162" s="26"/>
      <c r="J162" s="27">
        <v>383</v>
      </c>
      <c r="K162" s="104"/>
      <c r="L162" s="26">
        <v>266</v>
      </c>
      <c r="M162" s="27">
        <v>397</v>
      </c>
      <c r="N162" s="104">
        <v>861</v>
      </c>
      <c r="O162" s="104"/>
      <c r="P162" s="104"/>
      <c r="Q162" s="27">
        <v>191</v>
      </c>
      <c r="R162" s="104">
        <v>809</v>
      </c>
      <c r="S162" s="104"/>
      <c r="T162" s="27">
        <v>228</v>
      </c>
      <c r="U162" s="26">
        <v>474</v>
      </c>
      <c r="V162" s="26"/>
      <c r="W162" s="104"/>
      <c r="X162" s="26">
        <v>94</v>
      </c>
      <c r="Y162" s="104"/>
      <c r="Z162" s="104">
        <v>1848</v>
      </c>
      <c r="AA162" s="26">
        <v>307</v>
      </c>
      <c r="AB162" s="27">
        <v>231</v>
      </c>
      <c r="AC162" s="26"/>
      <c r="AD162" s="27">
        <v>98</v>
      </c>
      <c r="AE162" s="104"/>
      <c r="AF162" s="26"/>
      <c r="AG162" s="26"/>
      <c r="AH162" s="26"/>
      <c r="AI162" s="26"/>
      <c r="AJ162" s="26"/>
      <c r="AK162" s="26">
        <v>123</v>
      </c>
      <c r="AL162" s="26">
        <v>231</v>
      </c>
      <c r="AM162" s="104"/>
      <c r="AN162" s="26"/>
      <c r="AO162" s="104"/>
      <c r="AP162" s="26"/>
      <c r="AQ162" s="26"/>
      <c r="AR162" s="104">
        <v>502</v>
      </c>
      <c r="AS162" s="26"/>
      <c r="AT162" s="26"/>
      <c r="AU162" s="104"/>
      <c r="AV162" s="104"/>
      <c r="AW162" s="104"/>
      <c r="AX162" s="104"/>
      <c r="AY162" s="26"/>
      <c r="AZ162" s="104"/>
      <c r="BA162" s="26">
        <v>284</v>
      </c>
      <c r="BB162" s="26">
        <v>429</v>
      </c>
      <c r="BC162" s="26"/>
      <c r="BD162" s="26"/>
      <c r="BE162" s="26"/>
    </row>
    <row r="163" spans="1:57" s="13" customFormat="1" ht="15.75" x14ac:dyDescent="0.25">
      <c r="A163" s="5"/>
      <c r="B163" s="6"/>
      <c r="C163" s="6"/>
      <c r="D163" s="6" t="s">
        <v>165</v>
      </c>
      <c r="E163" s="6"/>
      <c r="F163" s="6"/>
      <c r="G163" s="26"/>
      <c r="H163" s="104"/>
      <c r="I163" s="26"/>
      <c r="J163" s="27"/>
      <c r="K163" s="104">
        <v>6</v>
      </c>
      <c r="L163" s="26"/>
      <c r="M163" s="27"/>
      <c r="N163" s="104">
        <v>587</v>
      </c>
      <c r="O163" s="104"/>
      <c r="P163" s="104">
        <v>345</v>
      </c>
      <c r="Q163" s="27"/>
      <c r="R163" s="104">
        <v>596</v>
      </c>
      <c r="S163" s="104"/>
      <c r="T163" s="27"/>
      <c r="U163" s="26"/>
      <c r="V163" s="26"/>
      <c r="W163" s="104"/>
      <c r="X163" s="26"/>
      <c r="Y163" s="104"/>
      <c r="Z163" s="104"/>
      <c r="AA163" s="26"/>
      <c r="AB163" s="27"/>
      <c r="AC163" s="26"/>
      <c r="AD163" s="27"/>
      <c r="AE163" s="104"/>
      <c r="AF163" s="26">
        <v>63</v>
      </c>
      <c r="AG163" s="26"/>
      <c r="AH163" s="26">
        <v>29</v>
      </c>
      <c r="AI163" s="26"/>
      <c r="AJ163" s="26"/>
      <c r="AK163" s="26"/>
      <c r="AL163" s="26"/>
      <c r="AM163" s="104"/>
      <c r="AN163" s="26">
        <v>59</v>
      </c>
      <c r="AO163" s="104"/>
      <c r="AP163" s="26"/>
      <c r="AQ163" s="26"/>
      <c r="AR163" s="104">
        <v>-169</v>
      </c>
      <c r="AS163" s="26">
        <v>137</v>
      </c>
      <c r="AT163" s="26"/>
      <c r="AU163" s="104"/>
      <c r="AV163" s="104"/>
      <c r="AW163" s="104"/>
      <c r="AX163" s="104"/>
      <c r="AY163" s="26"/>
      <c r="AZ163" s="104"/>
      <c r="BA163" s="26">
        <v>21</v>
      </c>
      <c r="BB163" s="26"/>
      <c r="BC163" s="26"/>
      <c r="BD163" s="26"/>
      <c r="BE163" s="26"/>
    </row>
    <row r="164" spans="1:57" s="13" customFormat="1" ht="15.75" x14ac:dyDescent="0.25">
      <c r="A164" s="5"/>
      <c r="B164" s="6"/>
      <c r="C164" s="6"/>
      <c r="D164" s="6" t="s">
        <v>116</v>
      </c>
      <c r="E164" s="6"/>
      <c r="F164" s="6"/>
      <c r="G164" s="26"/>
      <c r="H164" s="104"/>
      <c r="I164" s="26"/>
      <c r="J164" s="27">
        <v>153</v>
      </c>
      <c r="K164" s="104"/>
      <c r="L164" s="26"/>
      <c r="M164" s="27"/>
      <c r="N164" s="104">
        <v>844</v>
      </c>
      <c r="O164" s="104"/>
      <c r="P164" s="104"/>
      <c r="Q164" s="27"/>
      <c r="R164" s="104">
        <v>566</v>
      </c>
      <c r="S164" s="104"/>
      <c r="T164" s="27"/>
      <c r="U164" s="26">
        <v>201</v>
      </c>
      <c r="V164" s="26"/>
      <c r="W164" s="104"/>
      <c r="X164" s="26">
        <v>40</v>
      </c>
      <c r="Y164" s="104"/>
      <c r="Z164" s="104">
        <v>1906</v>
      </c>
      <c r="AA164" s="26">
        <v>86</v>
      </c>
      <c r="AB164" s="27"/>
      <c r="AC164" s="26"/>
      <c r="AD164" s="27">
        <v>150</v>
      </c>
      <c r="AE164" s="104"/>
      <c r="AF164" s="26"/>
      <c r="AG164" s="26"/>
      <c r="AH164" s="26"/>
      <c r="AI164" s="26"/>
      <c r="AJ164" s="26"/>
      <c r="AK164" s="26"/>
      <c r="AL164" s="26"/>
      <c r="AM164" s="104"/>
      <c r="AN164" s="26"/>
      <c r="AO164" s="104"/>
      <c r="AP164" s="26"/>
      <c r="AQ164" s="26"/>
      <c r="AR164" s="104">
        <v>429</v>
      </c>
      <c r="AS164" s="26"/>
      <c r="AT164" s="26"/>
      <c r="AU164" s="104"/>
      <c r="AV164" s="104">
        <v>42</v>
      </c>
      <c r="AW164" s="104"/>
      <c r="AX164" s="104"/>
      <c r="AY164" s="26"/>
      <c r="AZ164" s="104"/>
      <c r="BA164" s="26">
        <v>127</v>
      </c>
      <c r="BB164" s="26"/>
      <c r="BC164" s="26"/>
      <c r="BD164" s="26"/>
      <c r="BE164" s="26"/>
    </row>
    <row r="165" spans="1:57" s="13" customFormat="1" ht="16.5" thickBot="1" x14ac:dyDescent="0.3">
      <c r="A165" s="5"/>
      <c r="B165" s="6"/>
      <c r="C165" s="6"/>
      <c r="D165" s="6"/>
      <c r="E165" s="6"/>
      <c r="F165" s="6"/>
      <c r="G165" s="82">
        <f t="shared" ref="G165:AU165" si="18">SUM(G153:G164)</f>
        <v>1119</v>
      </c>
      <c r="H165" s="119">
        <f t="shared" si="18"/>
        <v>7881</v>
      </c>
      <c r="I165" s="82">
        <f t="shared" si="18"/>
        <v>9343</v>
      </c>
      <c r="J165" s="82">
        <f t="shared" si="18"/>
        <v>2316</v>
      </c>
      <c r="K165" s="119">
        <f t="shared" si="18"/>
        <v>645</v>
      </c>
      <c r="L165" s="82">
        <f t="shared" si="18"/>
        <v>2282</v>
      </c>
      <c r="M165" s="82">
        <f t="shared" si="18"/>
        <v>3593</v>
      </c>
      <c r="N165" s="119">
        <f t="shared" si="18"/>
        <v>19048</v>
      </c>
      <c r="O165" s="119">
        <f t="shared" si="18"/>
        <v>2672</v>
      </c>
      <c r="P165" s="119">
        <f t="shared" si="18"/>
        <v>6189</v>
      </c>
      <c r="Q165" s="82">
        <f t="shared" si="18"/>
        <v>7058</v>
      </c>
      <c r="R165" s="119">
        <f t="shared" si="18"/>
        <v>9091</v>
      </c>
      <c r="S165" s="119">
        <f t="shared" si="18"/>
        <v>3494</v>
      </c>
      <c r="T165" s="82">
        <f t="shared" si="18"/>
        <v>3336</v>
      </c>
      <c r="U165" s="82">
        <f t="shared" si="18"/>
        <v>8850</v>
      </c>
      <c r="V165" s="82">
        <f t="shared" si="18"/>
        <v>2476</v>
      </c>
      <c r="W165" s="119">
        <f t="shared" si="18"/>
        <v>5078</v>
      </c>
      <c r="X165" s="82">
        <f t="shared" si="18"/>
        <v>4732</v>
      </c>
      <c r="Y165" s="119">
        <f t="shared" si="18"/>
        <v>34235</v>
      </c>
      <c r="Z165" s="119">
        <f t="shared" si="18"/>
        <v>17728</v>
      </c>
      <c r="AA165" s="82">
        <f t="shared" si="18"/>
        <v>2995</v>
      </c>
      <c r="AB165" s="82">
        <f t="shared" si="18"/>
        <v>1621</v>
      </c>
      <c r="AC165" s="82">
        <f t="shared" si="18"/>
        <v>6904</v>
      </c>
      <c r="AD165" s="82">
        <f t="shared" si="18"/>
        <v>1359</v>
      </c>
      <c r="AE165" s="119">
        <f t="shared" si="18"/>
        <v>39487</v>
      </c>
      <c r="AF165" s="82">
        <f t="shared" si="18"/>
        <v>3562</v>
      </c>
      <c r="AG165" s="82">
        <f t="shared" si="18"/>
        <v>4671</v>
      </c>
      <c r="AH165" s="82">
        <f t="shared" si="18"/>
        <v>5544</v>
      </c>
      <c r="AI165" s="82">
        <f t="shared" si="18"/>
        <v>5735</v>
      </c>
      <c r="AJ165" s="82">
        <f t="shared" si="18"/>
        <v>5335</v>
      </c>
      <c r="AK165" s="82">
        <f t="shared" si="18"/>
        <v>4700</v>
      </c>
      <c r="AL165" s="82">
        <f t="shared" si="18"/>
        <v>1621</v>
      </c>
      <c r="AM165" s="119">
        <f t="shared" si="18"/>
        <v>1127</v>
      </c>
      <c r="AN165" s="82">
        <f t="shared" si="18"/>
        <v>9445</v>
      </c>
      <c r="AO165" s="119">
        <f t="shared" si="18"/>
        <v>3310</v>
      </c>
      <c r="AP165" s="82">
        <f t="shared" si="18"/>
        <v>13475</v>
      </c>
      <c r="AQ165" s="82">
        <f t="shared" si="18"/>
        <v>1701</v>
      </c>
      <c r="AR165" s="119">
        <f t="shared" si="18"/>
        <v>14259</v>
      </c>
      <c r="AS165" s="82">
        <f t="shared" si="18"/>
        <v>4552</v>
      </c>
      <c r="AT165" s="82">
        <f t="shared" si="18"/>
        <v>4228</v>
      </c>
      <c r="AU165" s="119">
        <f t="shared" si="18"/>
        <v>1491</v>
      </c>
      <c r="AV165" s="119">
        <f>SUM(AV152:AV164)</f>
        <v>1890</v>
      </c>
      <c r="AW165" s="119">
        <f t="shared" ref="AW165:BC165" si="19">SUM(AW153:AW164)</f>
        <v>6640</v>
      </c>
      <c r="AX165" s="119">
        <f t="shared" si="19"/>
        <v>12512</v>
      </c>
      <c r="AY165" s="82">
        <f t="shared" si="19"/>
        <v>8157</v>
      </c>
      <c r="AZ165" s="119">
        <f t="shared" si="19"/>
        <v>7838</v>
      </c>
      <c r="BA165" s="82">
        <f t="shared" si="19"/>
        <v>3183</v>
      </c>
      <c r="BB165" s="82">
        <f t="shared" si="19"/>
        <v>2558</v>
      </c>
      <c r="BC165" s="82">
        <f t="shared" si="19"/>
        <v>7946</v>
      </c>
      <c r="BD165" s="82">
        <f>SUM(BD153:BD164)</f>
        <v>4573.7309999999998</v>
      </c>
      <c r="BE165" s="82">
        <f t="shared" ref="BE165" si="20">SUM(BE153:BE164)</f>
        <v>1601</v>
      </c>
    </row>
    <row r="166" spans="1:57" s="13" customFormat="1" ht="16.5" hidden="1" thickTop="1" x14ac:dyDescent="0.25">
      <c r="A166" s="5"/>
      <c r="B166" s="6"/>
      <c r="C166" s="6"/>
      <c r="D166" s="6"/>
      <c r="E166" s="6"/>
      <c r="F166" s="6"/>
      <c r="G166" s="6"/>
      <c r="H166" s="102"/>
      <c r="I166" s="6"/>
      <c r="J166" s="10"/>
      <c r="K166" s="102"/>
      <c r="L166" s="6"/>
      <c r="M166" s="10"/>
      <c r="N166" s="102"/>
      <c r="O166" s="102"/>
      <c r="P166" s="102"/>
      <c r="Q166" s="10"/>
      <c r="R166" s="102"/>
      <c r="S166" s="102"/>
      <c r="T166" s="10"/>
      <c r="U166" s="6"/>
      <c r="V166" s="6"/>
      <c r="W166" s="102"/>
      <c r="X166" s="6"/>
      <c r="Y166" s="102"/>
      <c r="Z166" s="102"/>
      <c r="AA166" s="6"/>
      <c r="AB166" s="10"/>
      <c r="AC166" s="6"/>
      <c r="AD166" s="10"/>
      <c r="AE166" s="102"/>
      <c r="AF166" s="6"/>
      <c r="AG166" s="6"/>
      <c r="AH166" s="6"/>
      <c r="AI166" s="6"/>
      <c r="AJ166" s="6"/>
      <c r="AK166" s="6"/>
      <c r="AL166" s="6"/>
      <c r="AM166" s="102"/>
      <c r="AN166" s="6"/>
      <c r="AO166" s="102"/>
      <c r="AP166" s="6"/>
      <c r="AQ166" s="6"/>
      <c r="AR166" s="102"/>
      <c r="AS166" s="6"/>
      <c r="AT166" s="6"/>
      <c r="AU166" s="102"/>
      <c r="AV166" s="102"/>
      <c r="AW166" s="102"/>
      <c r="AX166" s="102"/>
      <c r="AY166" s="6"/>
      <c r="AZ166" s="102"/>
      <c r="BA166" s="6"/>
      <c r="BB166" s="6"/>
      <c r="BC166" s="6"/>
      <c r="BD166" s="6"/>
      <c r="BE166" s="6"/>
    </row>
    <row r="167" spans="1:57" s="13" customFormat="1" ht="16.5" hidden="1" thickTop="1" x14ac:dyDescent="0.25">
      <c r="A167" s="5"/>
      <c r="B167" s="6"/>
      <c r="C167" s="6"/>
      <c r="D167" s="6"/>
      <c r="E167" s="6"/>
      <c r="F167" s="6"/>
      <c r="G167" s="6"/>
      <c r="H167" s="102"/>
      <c r="I167" s="6"/>
      <c r="J167" s="10"/>
      <c r="K167" s="102"/>
      <c r="L167" s="6"/>
      <c r="M167" s="10"/>
      <c r="N167" s="102"/>
      <c r="O167" s="102"/>
      <c r="P167" s="102"/>
      <c r="Q167" s="10"/>
      <c r="R167" s="102"/>
      <c r="S167" s="102"/>
      <c r="T167" s="10"/>
      <c r="U167" s="6"/>
      <c r="V167" s="6"/>
      <c r="W167" s="102"/>
      <c r="X167" s="6"/>
      <c r="Y167" s="102"/>
      <c r="Z167" s="102"/>
      <c r="AA167" s="6"/>
      <c r="AB167" s="10"/>
      <c r="AC167" s="6"/>
      <c r="AD167" s="10"/>
      <c r="AE167" s="102"/>
      <c r="AF167" s="6"/>
      <c r="AG167" s="6"/>
      <c r="AH167" s="6"/>
      <c r="AI167" s="6"/>
      <c r="AJ167" s="6"/>
      <c r="AK167" s="6"/>
      <c r="AL167" s="6"/>
      <c r="AM167" s="102"/>
      <c r="AN167" s="6"/>
      <c r="AO167" s="102"/>
      <c r="AP167" s="6"/>
      <c r="AQ167" s="6"/>
      <c r="AR167" s="102"/>
      <c r="AS167" s="6"/>
      <c r="AT167" s="6"/>
      <c r="AU167" s="102"/>
      <c r="AV167" s="102"/>
      <c r="AW167" s="102"/>
      <c r="AX167" s="102"/>
      <c r="AY167" s="6"/>
      <c r="AZ167" s="102"/>
      <c r="BA167" s="6"/>
      <c r="BB167" s="6"/>
      <c r="BC167" s="6"/>
      <c r="BD167" s="6"/>
      <c r="BE167" s="6"/>
    </row>
    <row r="168" spans="1:57" s="13" customFormat="1" ht="16.5" thickTop="1" x14ac:dyDescent="0.25">
      <c r="A168" s="5"/>
      <c r="B168" s="6"/>
      <c r="C168" s="6"/>
      <c r="D168" s="6"/>
      <c r="E168" s="6"/>
      <c r="F168" s="6"/>
      <c r="G168" s="6"/>
      <c r="H168" s="102"/>
      <c r="I168" s="6"/>
      <c r="J168" s="10"/>
      <c r="K168" s="102"/>
      <c r="L168" s="6"/>
      <c r="M168" s="10"/>
      <c r="N168" s="102"/>
      <c r="O168" s="102"/>
      <c r="P168" s="102"/>
      <c r="Q168" s="10"/>
      <c r="R168" s="102"/>
      <c r="S168" s="102"/>
      <c r="T168" s="10"/>
      <c r="U168" s="6"/>
      <c r="V168" s="6"/>
      <c r="W168" s="102"/>
      <c r="X168" s="6"/>
      <c r="Y168" s="102"/>
      <c r="Z168" s="102"/>
      <c r="AA168" s="6"/>
      <c r="AB168" s="10"/>
      <c r="AC168" s="6"/>
      <c r="AD168" s="10"/>
      <c r="AE168" s="102"/>
      <c r="AF168" s="6"/>
      <c r="AG168" s="6"/>
      <c r="AH168" s="6"/>
      <c r="AI168" s="6"/>
      <c r="AJ168" s="6"/>
      <c r="AK168" s="6"/>
      <c r="AL168" s="6"/>
      <c r="AM168" s="102"/>
      <c r="AN168" s="6"/>
      <c r="AO168" s="102"/>
      <c r="AP168" s="6"/>
      <c r="AQ168" s="6"/>
      <c r="AR168" s="102"/>
      <c r="AS168" s="6"/>
      <c r="AT168" s="6"/>
      <c r="AU168" s="102"/>
      <c r="AV168" s="102"/>
      <c r="AW168" s="102"/>
      <c r="AX168" s="102"/>
      <c r="AY168" s="6"/>
      <c r="AZ168" s="102">
        <f>+AZ165-AZ154</f>
        <v>705</v>
      </c>
      <c r="BA168" s="6"/>
      <c r="BB168" s="6"/>
      <c r="BC168" s="6"/>
      <c r="BD168" s="6"/>
      <c r="BE168" s="6"/>
    </row>
    <row r="169" spans="1:57" s="13" customFormat="1" ht="18" x14ac:dyDescent="0.4">
      <c r="A169" s="20" t="s">
        <v>117</v>
      </c>
      <c r="B169" s="33" t="s">
        <v>118</v>
      </c>
      <c r="C169" s="84" t="s">
        <v>119</v>
      </c>
      <c r="D169" s="6"/>
      <c r="E169" s="6"/>
      <c r="F169" s="6"/>
      <c r="G169" s="155"/>
      <c r="H169" s="155"/>
      <c r="I169" s="155"/>
      <c r="J169" s="55"/>
      <c r="K169" s="114"/>
      <c r="M169" s="55"/>
      <c r="N169" s="114"/>
      <c r="O169" s="114"/>
      <c r="P169" s="114"/>
      <c r="Q169" s="55"/>
      <c r="R169" s="114"/>
      <c r="S169" s="114"/>
      <c r="T169" s="55"/>
      <c r="W169" s="114"/>
      <c r="Y169" s="114"/>
      <c r="Z169" s="114"/>
      <c r="AB169" s="55"/>
      <c r="AD169" s="55"/>
      <c r="AE169" s="114"/>
      <c r="AM169" s="114"/>
      <c r="AO169" s="114"/>
      <c r="AR169" s="114"/>
      <c r="AU169" s="114"/>
      <c r="AV169" s="114"/>
      <c r="AW169" s="114"/>
      <c r="AX169" s="114"/>
      <c r="AZ169" s="114">
        <f>+AZ168+AZ152+AZ26</f>
        <v>2911</v>
      </c>
    </row>
    <row r="170" spans="1:57" s="13" customFormat="1" ht="16.5" hidden="1" thickBot="1" x14ac:dyDescent="0.3">
      <c r="A170" s="5"/>
      <c r="B170" s="6"/>
      <c r="C170" s="6"/>
      <c r="D170" s="6"/>
      <c r="E170" s="6"/>
      <c r="F170" s="6"/>
      <c r="G170" s="17">
        <v>2010</v>
      </c>
      <c r="H170" s="101">
        <v>0</v>
      </c>
      <c r="I170" s="17">
        <v>0</v>
      </c>
      <c r="J170" s="18">
        <v>0</v>
      </c>
      <c r="K170" s="101">
        <v>0</v>
      </c>
      <c r="L170" s="17">
        <v>0</v>
      </c>
      <c r="M170" s="18">
        <v>0</v>
      </c>
      <c r="N170" s="101">
        <v>0</v>
      </c>
      <c r="O170" s="101">
        <v>0</v>
      </c>
      <c r="P170" s="101">
        <v>0</v>
      </c>
      <c r="Q170" s="18">
        <v>0</v>
      </c>
      <c r="R170" s="101">
        <v>0</v>
      </c>
      <c r="S170" s="101">
        <v>0</v>
      </c>
      <c r="T170" s="18">
        <v>0</v>
      </c>
      <c r="U170" s="17"/>
      <c r="V170" s="17"/>
      <c r="W170" s="101"/>
      <c r="X170" s="17"/>
      <c r="Y170" s="101"/>
      <c r="Z170" s="101"/>
      <c r="AA170" s="17"/>
      <c r="AB170" s="18"/>
      <c r="AC170" s="17"/>
      <c r="AD170" s="18"/>
      <c r="AE170" s="101"/>
      <c r="AF170" s="17"/>
      <c r="AG170" s="17"/>
      <c r="AH170" s="17"/>
      <c r="AI170" s="17"/>
      <c r="AJ170" s="17"/>
      <c r="AK170" s="17"/>
      <c r="AL170" s="17"/>
      <c r="AM170" s="101"/>
      <c r="AN170" s="17"/>
      <c r="AO170" s="101"/>
      <c r="AP170" s="17"/>
      <c r="AQ170" s="17"/>
      <c r="AR170" s="101"/>
      <c r="AS170" s="17"/>
      <c r="AT170" s="17"/>
      <c r="AU170" s="101"/>
      <c r="AV170" s="101"/>
      <c r="AW170" s="101"/>
      <c r="AX170" s="101"/>
      <c r="AY170" s="17"/>
      <c r="AZ170" s="101"/>
      <c r="BA170" s="17"/>
      <c r="BB170" s="17"/>
      <c r="BC170" s="17"/>
      <c r="BD170" s="17"/>
      <c r="BE170" s="17"/>
    </row>
    <row r="171" spans="1:57" s="13" customFormat="1" ht="15.75" x14ac:dyDescent="0.25">
      <c r="A171" s="5"/>
      <c r="B171" s="6"/>
      <c r="C171" s="6"/>
      <c r="D171" s="6" t="s">
        <v>120</v>
      </c>
      <c r="E171" s="6"/>
      <c r="F171" s="6"/>
      <c r="G171" s="23">
        <v>1424</v>
      </c>
      <c r="H171" s="103">
        <v>1739</v>
      </c>
      <c r="I171" s="23">
        <v>2879</v>
      </c>
      <c r="J171" s="24">
        <v>1630</v>
      </c>
      <c r="K171" s="103">
        <v>700</v>
      </c>
      <c r="L171" s="23">
        <v>906</v>
      </c>
      <c r="M171" s="24">
        <v>1454</v>
      </c>
      <c r="N171" s="103">
        <v>2468</v>
      </c>
      <c r="O171" s="103">
        <v>1090</v>
      </c>
      <c r="P171" s="103">
        <v>6864</v>
      </c>
      <c r="Q171" s="24">
        <v>1732</v>
      </c>
      <c r="R171" s="103">
        <v>2075</v>
      </c>
      <c r="S171" s="103">
        <v>1631</v>
      </c>
      <c r="T171" s="24">
        <v>1167</v>
      </c>
      <c r="U171" s="23">
        <v>1860</v>
      </c>
      <c r="V171" s="23">
        <v>1838</v>
      </c>
      <c r="W171" s="103">
        <v>1349</v>
      </c>
      <c r="X171" s="23">
        <v>1237</v>
      </c>
      <c r="Y171" s="103">
        <v>15182</v>
      </c>
      <c r="Z171" s="103">
        <v>4118</v>
      </c>
      <c r="AA171" s="23">
        <v>294</v>
      </c>
      <c r="AB171" s="24">
        <v>809</v>
      </c>
      <c r="AC171" s="23">
        <v>1904</v>
      </c>
      <c r="AD171" s="24">
        <v>1306</v>
      </c>
      <c r="AE171" s="103">
        <v>5841</v>
      </c>
      <c r="AF171" s="23">
        <v>1974</v>
      </c>
      <c r="AG171" s="23">
        <v>868</v>
      </c>
      <c r="AH171" s="23">
        <v>1457</v>
      </c>
      <c r="AI171" s="23">
        <v>1929</v>
      </c>
      <c r="AJ171" s="23">
        <v>2075</v>
      </c>
      <c r="AK171" s="23">
        <v>513</v>
      </c>
      <c r="AL171" s="23">
        <v>809</v>
      </c>
      <c r="AM171" s="103">
        <v>723</v>
      </c>
      <c r="AN171" s="23">
        <v>1880</v>
      </c>
      <c r="AO171" s="103">
        <v>1166</v>
      </c>
      <c r="AP171" s="23">
        <v>10252</v>
      </c>
      <c r="AQ171" s="23">
        <v>805</v>
      </c>
      <c r="AR171" s="103">
        <v>1959</v>
      </c>
      <c r="AS171" s="23">
        <v>1665</v>
      </c>
      <c r="AT171" s="23">
        <v>1203</v>
      </c>
      <c r="AU171" s="103">
        <v>1104</v>
      </c>
      <c r="AV171" s="103">
        <v>696</v>
      </c>
      <c r="AW171" s="103">
        <v>1487</v>
      </c>
      <c r="AX171" s="103">
        <v>2434</v>
      </c>
      <c r="AY171" s="23">
        <v>2317</v>
      </c>
      <c r="AZ171" s="103">
        <v>242</v>
      </c>
      <c r="BA171" s="23">
        <v>656</v>
      </c>
      <c r="BB171" s="23">
        <f>666+15</f>
        <v>681</v>
      </c>
      <c r="BC171" s="23">
        <v>288</v>
      </c>
      <c r="BD171" s="23">
        <f>58015/1000</f>
        <v>58.015000000000001</v>
      </c>
      <c r="BE171" s="23">
        <v>119</v>
      </c>
    </row>
    <row r="172" spans="1:57" s="13" customFormat="1" ht="15.75" x14ac:dyDescent="0.25">
      <c r="A172" s="5"/>
      <c r="B172" s="6"/>
      <c r="C172" s="6"/>
      <c r="D172" s="6" t="s">
        <v>121</v>
      </c>
      <c r="E172" s="14"/>
      <c r="F172" s="6"/>
      <c r="G172" s="23"/>
      <c r="H172" s="103"/>
      <c r="I172" s="23"/>
      <c r="J172" s="24">
        <v>555</v>
      </c>
      <c r="K172" s="103">
        <v>50</v>
      </c>
      <c r="L172" s="23"/>
      <c r="M172" s="24">
        <v>168</v>
      </c>
      <c r="N172" s="103"/>
      <c r="O172" s="103"/>
      <c r="P172" s="103">
        <v>694</v>
      </c>
      <c r="Q172" s="24">
        <v>433</v>
      </c>
      <c r="R172" s="103"/>
      <c r="S172" s="103"/>
      <c r="T172" s="24">
        <v>839</v>
      </c>
      <c r="U172" s="23">
        <v>488</v>
      </c>
      <c r="V172" s="23"/>
      <c r="W172" s="103"/>
      <c r="X172" s="23">
        <v>173</v>
      </c>
      <c r="Y172" s="103">
        <v>2666</v>
      </c>
      <c r="Z172" s="103"/>
      <c r="AA172" s="23">
        <v>282</v>
      </c>
      <c r="AB172" s="24">
        <v>496</v>
      </c>
      <c r="AC172" s="23"/>
      <c r="AD172" s="24"/>
      <c r="AE172" s="103"/>
      <c r="AF172" s="23">
        <v>89</v>
      </c>
      <c r="AG172" s="23"/>
      <c r="AH172" s="23"/>
      <c r="AI172" s="23">
        <v>432</v>
      </c>
      <c r="AJ172" s="23"/>
      <c r="AK172" s="23"/>
      <c r="AL172" s="23">
        <v>496</v>
      </c>
      <c r="AM172" s="103"/>
      <c r="AN172" s="23"/>
      <c r="AO172" s="103"/>
      <c r="AP172" s="23"/>
      <c r="AQ172" s="23"/>
      <c r="AR172" s="103"/>
      <c r="AS172" s="23"/>
      <c r="AT172" s="23"/>
      <c r="AU172" s="103"/>
      <c r="AV172" s="103"/>
      <c r="AW172" s="103"/>
      <c r="AX172" s="103"/>
      <c r="AY172" s="23"/>
      <c r="AZ172" s="103">
        <v>1293</v>
      </c>
      <c r="BA172" s="23">
        <v>520</v>
      </c>
      <c r="BB172" s="23"/>
      <c r="BC172" s="23"/>
      <c r="BD172" s="23"/>
      <c r="BE172" s="23"/>
    </row>
    <row r="173" spans="1:57" s="13" customFormat="1" ht="15.75" x14ac:dyDescent="0.25">
      <c r="A173" s="5"/>
      <c r="B173" s="6"/>
      <c r="C173" s="6"/>
      <c r="D173" s="6" t="s">
        <v>122</v>
      </c>
      <c r="E173" s="14"/>
      <c r="F173" s="6"/>
      <c r="G173" s="23">
        <v>79</v>
      </c>
      <c r="H173" s="103">
        <v>65</v>
      </c>
      <c r="I173" s="23">
        <v>551</v>
      </c>
      <c r="J173" s="24">
        <v>142</v>
      </c>
      <c r="K173" s="103">
        <v>286</v>
      </c>
      <c r="L173" s="23">
        <v>348</v>
      </c>
      <c r="M173" s="24">
        <v>135</v>
      </c>
      <c r="N173" s="103">
        <v>354</v>
      </c>
      <c r="O173" s="103">
        <v>177</v>
      </c>
      <c r="P173" s="103">
        <v>773</v>
      </c>
      <c r="Q173" s="24">
        <v>105</v>
      </c>
      <c r="R173" s="103">
        <v>158</v>
      </c>
      <c r="S173" s="103">
        <v>458</v>
      </c>
      <c r="T173" s="24">
        <v>169</v>
      </c>
      <c r="U173" s="23">
        <v>86</v>
      </c>
      <c r="V173" s="23">
        <v>180</v>
      </c>
      <c r="W173" s="103">
        <v>407</v>
      </c>
      <c r="X173" s="23">
        <v>153</v>
      </c>
      <c r="Y173" s="103">
        <v>345</v>
      </c>
      <c r="Z173" s="103">
        <v>227</v>
      </c>
      <c r="AA173" s="23">
        <v>8</v>
      </c>
      <c r="AB173" s="24">
        <v>57</v>
      </c>
      <c r="AC173" s="23">
        <v>705</v>
      </c>
      <c r="AD173" s="24">
        <v>248</v>
      </c>
      <c r="AE173" s="103">
        <v>442</v>
      </c>
      <c r="AF173" s="23">
        <v>80</v>
      </c>
      <c r="AG173" s="23">
        <v>545</v>
      </c>
      <c r="AH173" s="23">
        <v>238</v>
      </c>
      <c r="AI173" s="23">
        <v>254</v>
      </c>
      <c r="AJ173" s="23">
        <v>120</v>
      </c>
      <c r="AK173" s="23">
        <v>438</v>
      </c>
      <c r="AL173" s="23">
        <v>57</v>
      </c>
      <c r="AM173" s="103">
        <v>206</v>
      </c>
      <c r="AN173" s="23">
        <v>282</v>
      </c>
      <c r="AO173" s="103">
        <v>16</v>
      </c>
      <c r="AP173" s="23">
        <v>327</v>
      </c>
      <c r="AQ173" s="23">
        <v>37</v>
      </c>
      <c r="AR173" s="103">
        <v>189</v>
      </c>
      <c r="AS173" s="23">
        <v>206</v>
      </c>
      <c r="AT173" s="23">
        <v>243</v>
      </c>
      <c r="AU173" s="103">
        <v>92</v>
      </c>
      <c r="AV173" s="103">
        <v>195</v>
      </c>
      <c r="AW173" s="103">
        <v>262</v>
      </c>
      <c r="AX173" s="103"/>
      <c r="AY173" s="23">
        <v>144</v>
      </c>
      <c r="AZ173" s="103">
        <v>161</v>
      </c>
      <c r="BA173" s="23">
        <v>206</v>
      </c>
      <c r="BB173" s="23">
        <v>51</v>
      </c>
      <c r="BC173" s="23">
        <v>543</v>
      </c>
      <c r="BD173" s="23">
        <f>33982/1000</f>
        <v>33.981999999999999</v>
      </c>
      <c r="BE173" s="23">
        <v>47</v>
      </c>
    </row>
    <row r="174" spans="1:57" s="13" customFormat="1" ht="15.75" x14ac:dyDescent="0.25">
      <c r="A174" s="5"/>
      <c r="B174" s="6"/>
      <c r="C174" s="6"/>
      <c r="D174" s="6" t="s">
        <v>123</v>
      </c>
      <c r="E174" s="14"/>
      <c r="F174" s="6"/>
      <c r="G174" s="23">
        <v>75</v>
      </c>
      <c r="H174" s="103">
        <v>42</v>
      </c>
      <c r="I174" s="23">
        <v>680</v>
      </c>
      <c r="J174" s="24">
        <v>191</v>
      </c>
      <c r="K174" s="103">
        <v>117</v>
      </c>
      <c r="L174" s="23">
        <v>143</v>
      </c>
      <c r="M174" s="24">
        <v>332</v>
      </c>
      <c r="N174" s="103">
        <v>542</v>
      </c>
      <c r="O174" s="103">
        <v>295</v>
      </c>
      <c r="P174" s="103">
        <v>1488</v>
      </c>
      <c r="Q174" s="24">
        <v>147</v>
      </c>
      <c r="R174" s="103">
        <v>192</v>
      </c>
      <c r="S174" s="103">
        <v>172</v>
      </c>
      <c r="T174" s="24">
        <v>321</v>
      </c>
      <c r="U174" s="23">
        <v>649</v>
      </c>
      <c r="V174" s="23">
        <v>317</v>
      </c>
      <c r="W174" s="103">
        <v>67</v>
      </c>
      <c r="X174" s="23">
        <v>143</v>
      </c>
      <c r="Y174" s="103">
        <v>1045</v>
      </c>
      <c r="Z174" s="103">
        <v>428</v>
      </c>
      <c r="AA174" s="23">
        <v>125</v>
      </c>
      <c r="AB174" s="24">
        <v>288</v>
      </c>
      <c r="AC174" s="23">
        <v>304</v>
      </c>
      <c r="AD174" s="24">
        <v>289</v>
      </c>
      <c r="AE174" s="103">
        <v>917</v>
      </c>
      <c r="AF174" s="23">
        <v>135</v>
      </c>
      <c r="AG174" s="23">
        <v>167</v>
      </c>
      <c r="AH174" s="23">
        <v>101</v>
      </c>
      <c r="AI174" s="23">
        <v>86</v>
      </c>
      <c r="AJ174" s="23">
        <v>604</v>
      </c>
      <c r="AK174" s="23">
        <v>53</v>
      </c>
      <c r="AL174" s="23">
        <v>288</v>
      </c>
      <c r="AM174" s="103">
        <v>79</v>
      </c>
      <c r="AN174" s="23">
        <v>262</v>
      </c>
      <c r="AO174" s="103">
        <v>305</v>
      </c>
      <c r="AP174" s="23">
        <v>719</v>
      </c>
      <c r="AQ174" s="23">
        <v>130</v>
      </c>
      <c r="AR174" s="103">
        <v>159</v>
      </c>
      <c r="AS174" s="23">
        <v>941</v>
      </c>
      <c r="AT174" s="23">
        <v>144</v>
      </c>
      <c r="AU174" s="103">
        <v>81</v>
      </c>
      <c r="AV174" s="103">
        <v>113</v>
      </c>
      <c r="AW174" s="103">
        <v>401</v>
      </c>
      <c r="AX174" s="103">
        <v>1030</v>
      </c>
      <c r="AY174" s="23">
        <v>309</v>
      </c>
      <c r="AZ174" s="103">
        <v>127</v>
      </c>
      <c r="BA174" s="23">
        <v>199</v>
      </c>
      <c r="BB174" s="23">
        <v>43</v>
      </c>
      <c r="BC174" s="23">
        <v>216</v>
      </c>
      <c r="BD174" s="23"/>
      <c r="BE174" s="23">
        <v>74</v>
      </c>
    </row>
    <row r="175" spans="1:57" s="13" customFormat="1" ht="15.75" x14ac:dyDescent="0.25">
      <c r="A175" s="5"/>
      <c r="B175" s="6"/>
      <c r="C175" s="6"/>
      <c r="D175" s="6" t="s">
        <v>59</v>
      </c>
      <c r="E175" s="14"/>
      <c r="F175" s="6"/>
      <c r="G175" s="23">
        <v>185</v>
      </c>
      <c r="H175" s="103">
        <v>6</v>
      </c>
      <c r="I175" s="23">
        <v>326</v>
      </c>
      <c r="J175" s="24">
        <v>42</v>
      </c>
      <c r="K175" s="103">
        <v>16</v>
      </c>
      <c r="L175" s="23">
        <v>144</v>
      </c>
      <c r="M175" s="24"/>
      <c r="N175" s="103">
        <v>212</v>
      </c>
      <c r="O175" s="103">
        <v>47</v>
      </c>
      <c r="P175" s="103">
        <v>840</v>
      </c>
      <c r="Q175" s="24"/>
      <c r="R175" s="103">
        <v>195</v>
      </c>
      <c r="S175" s="103">
        <v>31</v>
      </c>
      <c r="T175" s="24">
        <v>52</v>
      </c>
      <c r="U175" s="23">
        <v>49</v>
      </c>
      <c r="V175" s="23">
        <v>44</v>
      </c>
      <c r="W175" s="103">
        <v>52</v>
      </c>
      <c r="X175" s="23">
        <v>13</v>
      </c>
      <c r="Y175" s="103">
        <v>1542</v>
      </c>
      <c r="Z175" s="103">
        <v>452</v>
      </c>
      <c r="AA175" s="23"/>
      <c r="AB175" s="24">
        <v>147</v>
      </c>
      <c r="AC175" s="23">
        <v>217</v>
      </c>
      <c r="AD175" s="24">
        <v>74</v>
      </c>
      <c r="AE175" s="103">
        <v>502</v>
      </c>
      <c r="AF175" s="23">
        <v>23</v>
      </c>
      <c r="AG175" s="23"/>
      <c r="AH175" s="23">
        <v>198</v>
      </c>
      <c r="AI175" s="23">
        <v>33</v>
      </c>
      <c r="AJ175" s="23">
        <v>145</v>
      </c>
      <c r="AK175" s="23">
        <v>14</v>
      </c>
      <c r="AL175" s="23">
        <v>147</v>
      </c>
      <c r="AM175" s="103">
        <v>61</v>
      </c>
      <c r="AN175" s="23">
        <v>60</v>
      </c>
      <c r="AO175" s="103"/>
      <c r="AP175" s="23">
        <v>112</v>
      </c>
      <c r="AQ175" s="23">
        <v>23</v>
      </c>
      <c r="AR175" s="103">
        <v>94</v>
      </c>
      <c r="AS175" s="23">
        <v>38</v>
      </c>
      <c r="AT175" s="23">
        <v>74</v>
      </c>
      <c r="AU175" s="103">
        <v>11</v>
      </c>
      <c r="AV175" s="103">
        <v>19</v>
      </c>
      <c r="AW175" s="103">
        <v>8</v>
      </c>
      <c r="AX175" s="103"/>
      <c r="AY175" s="23">
        <v>342</v>
      </c>
      <c r="AZ175" s="103"/>
      <c r="BA175" s="23">
        <v>46</v>
      </c>
      <c r="BB175" s="23">
        <v>58</v>
      </c>
      <c r="BC175" s="23"/>
      <c r="BD175" s="23"/>
      <c r="BE175" s="23">
        <v>35</v>
      </c>
    </row>
    <row r="176" spans="1:57" s="13" customFormat="1" ht="15.75" x14ac:dyDescent="0.25">
      <c r="A176" s="5"/>
      <c r="B176" s="6"/>
      <c r="C176" s="6"/>
      <c r="D176" s="6" t="s">
        <v>124</v>
      </c>
      <c r="E176" s="14"/>
      <c r="F176" s="6"/>
      <c r="G176" s="23">
        <v>27</v>
      </c>
      <c r="H176" s="103">
        <v>151</v>
      </c>
      <c r="I176" s="23"/>
      <c r="J176" s="24"/>
      <c r="K176" s="103">
        <v>49</v>
      </c>
      <c r="L176" s="23">
        <v>61</v>
      </c>
      <c r="M176" s="24">
        <v>99</v>
      </c>
      <c r="N176" s="103">
        <v>444</v>
      </c>
      <c r="O176" s="103">
        <v>102</v>
      </c>
      <c r="P176" s="103">
        <v>338</v>
      </c>
      <c r="Q176" s="24"/>
      <c r="R176" s="103">
        <v>112</v>
      </c>
      <c r="S176" s="103">
        <v>96</v>
      </c>
      <c r="T176" s="24">
        <v>157</v>
      </c>
      <c r="U176" s="23">
        <v>158</v>
      </c>
      <c r="V176" s="23">
        <v>90</v>
      </c>
      <c r="W176" s="103">
        <v>40</v>
      </c>
      <c r="X176" s="23">
        <v>18</v>
      </c>
      <c r="Y176" s="103">
        <v>235</v>
      </c>
      <c r="Z176" s="103">
        <v>127</v>
      </c>
      <c r="AA176" s="23">
        <v>5</v>
      </c>
      <c r="AB176" s="24">
        <v>32</v>
      </c>
      <c r="AC176" s="23">
        <v>105</v>
      </c>
      <c r="AD176" s="24">
        <v>103</v>
      </c>
      <c r="AE176" s="103">
        <v>218</v>
      </c>
      <c r="AF176" s="23"/>
      <c r="AG176" s="23">
        <v>30</v>
      </c>
      <c r="AH176" s="23">
        <v>21</v>
      </c>
      <c r="AI176" s="23">
        <v>53</v>
      </c>
      <c r="AJ176" s="23">
        <v>120</v>
      </c>
      <c r="AK176" s="23">
        <v>30</v>
      </c>
      <c r="AL176" s="23">
        <v>32</v>
      </c>
      <c r="AM176" s="103">
        <v>87</v>
      </c>
      <c r="AN176" s="23">
        <v>86</v>
      </c>
      <c r="AO176" s="103">
        <v>106</v>
      </c>
      <c r="AP176" s="23">
        <v>380</v>
      </c>
      <c r="AQ176" s="23"/>
      <c r="AR176" s="103">
        <v>54</v>
      </c>
      <c r="AS176" s="23">
        <v>134</v>
      </c>
      <c r="AT176" s="23">
        <v>39</v>
      </c>
      <c r="AU176" s="103">
        <v>11</v>
      </c>
      <c r="AV176" s="103"/>
      <c r="AW176" s="103"/>
      <c r="AX176" s="103">
        <v>204</v>
      </c>
      <c r="AY176" s="23">
        <v>37</v>
      </c>
      <c r="AZ176" s="103"/>
      <c r="BA176" s="23">
        <v>22</v>
      </c>
      <c r="BB176" s="23"/>
      <c r="BC176" s="23"/>
      <c r="BD176" s="23"/>
      <c r="BE176" s="23">
        <v>22</v>
      </c>
    </row>
    <row r="177" spans="1:57" s="13" customFormat="1" ht="15.75" x14ac:dyDescent="0.25">
      <c r="A177" s="5"/>
      <c r="B177" s="6"/>
      <c r="C177" s="6"/>
      <c r="D177" s="6" t="s">
        <v>125</v>
      </c>
      <c r="E177" s="6"/>
      <c r="F177" s="6"/>
      <c r="G177" s="23">
        <v>38</v>
      </c>
      <c r="H177" s="103">
        <v>149</v>
      </c>
      <c r="I177" s="23">
        <v>1929</v>
      </c>
      <c r="J177" s="24">
        <v>451</v>
      </c>
      <c r="K177" s="103">
        <v>213</v>
      </c>
      <c r="L177" s="23">
        <v>117</v>
      </c>
      <c r="M177" s="24">
        <v>381</v>
      </c>
      <c r="N177" s="103">
        <v>265</v>
      </c>
      <c r="O177" s="103">
        <v>89</v>
      </c>
      <c r="P177" s="103">
        <v>2062</v>
      </c>
      <c r="Q177" s="24">
        <v>229</v>
      </c>
      <c r="R177" s="103">
        <v>287</v>
      </c>
      <c r="S177" s="103"/>
      <c r="T177" s="24">
        <v>215</v>
      </c>
      <c r="U177" s="23">
        <v>111</v>
      </c>
      <c r="V177" s="23">
        <v>93</v>
      </c>
      <c r="W177" s="103">
        <v>238</v>
      </c>
      <c r="X177" s="23">
        <v>103</v>
      </c>
      <c r="Y177" s="103">
        <v>1928</v>
      </c>
      <c r="Z177" s="103">
        <v>682</v>
      </c>
      <c r="AA177" s="23">
        <v>14</v>
      </c>
      <c r="AB177" s="24">
        <v>186</v>
      </c>
      <c r="AC177" s="23"/>
      <c r="AD177" s="24">
        <v>258</v>
      </c>
      <c r="AE177" s="103">
        <v>673</v>
      </c>
      <c r="AF177" s="23">
        <v>72</v>
      </c>
      <c r="AG177" s="23">
        <v>435</v>
      </c>
      <c r="AH177" s="23">
        <v>191</v>
      </c>
      <c r="AI177" s="23">
        <v>117</v>
      </c>
      <c r="AJ177" s="23">
        <v>337</v>
      </c>
      <c r="AK177" s="23">
        <v>102</v>
      </c>
      <c r="AL177" s="23">
        <v>186</v>
      </c>
      <c r="AM177" s="103">
        <v>57</v>
      </c>
      <c r="AN177" s="23">
        <v>242</v>
      </c>
      <c r="AO177" s="103">
        <v>188</v>
      </c>
      <c r="AP177" s="23">
        <v>2638</v>
      </c>
      <c r="AQ177" s="23">
        <v>263</v>
      </c>
      <c r="AR177" s="103">
        <v>217</v>
      </c>
      <c r="AS177" s="23">
        <v>906</v>
      </c>
      <c r="AT177" s="23">
        <v>84</v>
      </c>
      <c r="AU177" s="103">
        <v>20</v>
      </c>
      <c r="AV177" s="103"/>
      <c r="AW177" s="103"/>
      <c r="AX177" s="103">
        <v>665</v>
      </c>
      <c r="AY177" s="23">
        <v>158</v>
      </c>
      <c r="AZ177" s="103">
        <v>2</v>
      </c>
      <c r="BA177" s="23">
        <v>291</v>
      </c>
      <c r="BB177" s="23">
        <v>184</v>
      </c>
      <c r="BC177" s="23">
        <f>272+94</f>
        <v>366</v>
      </c>
      <c r="BD177" s="23">
        <f>(44833+24933)/1000</f>
        <v>69.766000000000005</v>
      </c>
      <c r="BE177" s="23">
        <v>47</v>
      </c>
    </row>
    <row r="178" spans="1:57" s="13" customFormat="1" ht="15.75" x14ac:dyDescent="0.25">
      <c r="A178" s="5"/>
      <c r="B178" s="6"/>
      <c r="C178" s="6"/>
      <c r="D178" s="6" t="s">
        <v>126</v>
      </c>
      <c r="E178" s="6"/>
      <c r="F178" s="6"/>
      <c r="G178" s="23">
        <v>36</v>
      </c>
      <c r="H178" s="103">
        <v>120</v>
      </c>
      <c r="I178" s="23">
        <v>180</v>
      </c>
      <c r="J178" s="24">
        <v>97</v>
      </c>
      <c r="K178" s="103">
        <v>101</v>
      </c>
      <c r="L178" s="23">
        <v>132</v>
      </c>
      <c r="M178" s="24">
        <v>90</v>
      </c>
      <c r="N178" s="103">
        <v>561</v>
      </c>
      <c r="O178" s="103">
        <v>150</v>
      </c>
      <c r="P178" s="103">
        <v>642</v>
      </c>
      <c r="Q178" s="24">
        <v>107</v>
      </c>
      <c r="R178" s="103">
        <v>298</v>
      </c>
      <c r="S178" s="103">
        <v>98</v>
      </c>
      <c r="T178" s="24">
        <v>216</v>
      </c>
      <c r="U178" s="23">
        <v>120</v>
      </c>
      <c r="V178" s="23">
        <v>210</v>
      </c>
      <c r="W178" s="103">
        <v>80</v>
      </c>
      <c r="X178" s="23">
        <v>86</v>
      </c>
      <c r="Y178" s="103">
        <v>11788</v>
      </c>
      <c r="Z178" s="103">
        <v>316</v>
      </c>
      <c r="AA178" s="23">
        <v>21</v>
      </c>
      <c r="AB178" s="24">
        <v>74</v>
      </c>
      <c r="AC178" s="23">
        <v>79</v>
      </c>
      <c r="AD178" s="24">
        <v>52</v>
      </c>
      <c r="AE178" s="103"/>
      <c r="AF178" s="23">
        <v>90</v>
      </c>
      <c r="AG178" s="23">
        <v>93</v>
      </c>
      <c r="AH178" s="23">
        <v>-10</v>
      </c>
      <c r="AI178" s="23">
        <v>133</v>
      </c>
      <c r="AJ178" s="23">
        <v>412</v>
      </c>
      <c r="AK178" s="23">
        <v>48</v>
      </c>
      <c r="AL178" s="23">
        <v>74</v>
      </c>
      <c r="AM178" s="103">
        <v>104</v>
      </c>
      <c r="AN178" s="23">
        <v>109</v>
      </c>
      <c r="AO178" s="103">
        <v>50</v>
      </c>
      <c r="AP178" s="23">
        <v>2354</v>
      </c>
      <c r="AQ178" s="23">
        <v>28</v>
      </c>
      <c r="AR178" s="103">
        <v>119</v>
      </c>
      <c r="AS178" s="23">
        <v>74</v>
      </c>
      <c r="AT178" s="23">
        <v>116</v>
      </c>
      <c r="AU178" s="103">
        <v>32</v>
      </c>
      <c r="AV178" s="103">
        <v>57</v>
      </c>
      <c r="AW178" s="103">
        <v>223</v>
      </c>
      <c r="AX178" s="103">
        <v>361</v>
      </c>
      <c r="AY178" s="23">
        <v>154</v>
      </c>
      <c r="AZ178" s="103">
        <v>23</v>
      </c>
      <c r="BA178" s="23">
        <v>59</v>
      </c>
      <c r="BB178" s="23">
        <v>40</v>
      </c>
      <c r="BC178" s="23"/>
      <c r="BD178" s="23">
        <v>2.9580000000000002</v>
      </c>
      <c r="BE178" s="23">
        <v>5</v>
      </c>
    </row>
    <row r="179" spans="1:57" s="13" customFormat="1" ht="15.75" x14ac:dyDescent="0.25">
      <c r="A179" s="5"/>
      <c r="B179" s="6"/>
      <c r="C179" s="6"/>
      <c r="D179" s="6" t="s">
        <v>115</v>
      </c>
      <c r="E179" s="6"/>
      <c r="F179" s="6"/>
      <c r="G179" s="23"/>
      <c r="H179" s="103">
        <v>240</v>
      </c>
      <c r="I179" s="23"/>
      <c r="J179" s="24"/>
      <c r="K179" s="103"/>
      <c r="L179" s="23"/>
      <c r="M179" s="24"/>
      <c r="N179" s="103">
        <v>197</v>
      </c>
      <c r="O179" s="103"/>
      <c r="P179" s="103"/>
      <c r="Q179" s="24"/>
      <c r="R179" s="103">
        <v>140</v>
      </c>
      <c r="S179" s="103">
        <v>696</v>
      </c>
      <c r="T179" s="24"/>
      <c r="U179" s="23"/>
      <c r="V179" s="23">
        <v>97</v>
      </c>
      <c r="W179" s="103"/>
      <c r="X179" s="23"/>
      <c r="Y179" s="103">
        <v>1474</v>
      </c>
      <c r="Z179" s="103">
        <v>298</v>
      </c>
      <c r="AA179" s="23"/>
      <c r="AB179" s="24"/>
      <c r="AC179" s="23">
        <v>358</v>
      </c>
      <c r="AD179" s="24"/>
      <c r="AE179" s="103">
        <v>2587</v>
      </c>
      <c r="AF179" s="23">
        <v>141</v>
      </c>
      <c r="AG179" s="23"/>
      <c r="AH179" s="23">
        <v>55</v>
      </c>
      <c r="AI179" s="23">
        <v>227</v>
      </c>
      <c r="AJ179" s="23">
        <v>336</v>
      </c>
      <c r="AK179" s="23"/>
      <c r="AL179" s="23"/>
      <c r="AM179" s="103"/>
      <c r="AN179" s="23"/>
      <c r="AO179" s="103"/>
      <c r="AP179" s="23">
        <v>3831</v>
      </c>
      <c r="AQ179" s="23">
        <v>217</v>
      </c>
      <c r="AR179" s="103">
        <v>78</v>
      </c>
      <c r="AS179" s="23">
        <v>345</v>
      </c>
      <c r="AT179" s="23">
        <v>335</v>
      </c>
      <c r="AU179" s="103">
        <v>279</v>
      </c>
      <c r="AV179" s="103">
        <v>186</v>
      </c>
      <c r="AW179" s="103">
        <v>144</v>
      </c>
      <c r="AX179" s="103">
        <v>1013</v>
      </c>
      <c r="AY179" s="23">
        <v>194</v>
      </c>
      <c r="AZ179" s="103">
        <v>183</v>
      </c>
      <c r="BA179" s="23">
        <v>50</v>
      </c>
      <c r="BB179" s="23"/>
      <c r="BC179" s="23">
        <v>575</v>
      </c>
      <c r="BD179" s="23"/>
      <c r="BE179" s="23"/>
    </row>
    <row r="180" spans="1:57" s="13" customFormat="1" ht="15.75" x14ac:dyDescent="0.25">
      <c r="A180" s="5"/>
      <c r="B180" s="6"/>
      <c r="C180" s="6"/>
      <c r="D180" s="6" t="s">
        <v>127</v>
      </c>
      <c r="E180" s="6"/>
      <c r="F180" s="6"/>
      <c r="G180" s="23">
        <v>436</v>
      </c>
      <c r="H180" s="103">
        <v>61</v>
      </c>
      <c r="I180" s="23">
        <v>569</v>
      </c>
      <c r="J180" s="24"/>
      <c r="K180" s="103">
        <v>578</v>
      </c>
      <c r="L180" s="23">
        <v>666</v>
      </c>
      <c r="M180" s="24">
        <v>546</v>
      </c>
      <c r="N180" s="103">
        <v>823</v>
      </c>
      <c r="O180" s="103">
        <v>620</v>
      </c>
      <c r="P180" s="103">
        <v>1824</v>
      </c>
      <c r="Q180" s="24"/>
      <c r="R180" s="103">
        <v>672</v>
      </c>
      <c r="S180" s="103">
        <v>1247</v>
      </c>
      <c r="T180" s="24"/>
      <c r="U180" s="23"/>
      <c r="V180" s="23">
        <v>688</v>
      </c>
      <c r="W180" s="103">
        <v>332</v>
      </c>
      <c r="X180" s="23">
        <v>169</v>
      </c>
      <c r="Y180" s="103">
        <v>3509</v>
      </c>
      <c r="Z180" s="103">
        <v>1133</v>
      </c>
      <c r="AA180" s="23"/>
      <c r="AB180" s="24"/>
      <c r="AC180" s="23">
        <v>1019</v>
      </c>
      <c r="AD180" s="24">
        <v>810</v>
      </c>
      <c r="AE180" s="103">
        <v>2542</v>
      </c>
      <c r="AF180" s="23">
        <v>437</v>
      </c>
      <c r="AG180" s="23">
        <v>443</v>
      </c>
      <c r="AH180" s="23">
        <v>225</v>
      </c>
      <c r="AI180" s="23">
        <v>143</v>
      </c>
      <c r="AJ180" s="23">
        <v>788</v>
      </c>
      <c r="AK180" s="23">
        <v>1096</v>
      </c>
      <c r="AL180" s="23"/>
      <c r="AM180" s="103">
        <v>448</v>
      </c>
      <c r="AN180" s="23">
        <v>735</v>
      </c>
      <c r="AO180" s="103">
        <v>1668</v>
      </c>
      <c r="AP180" s="23">
        <v>1187</v>
      </c>
      <c r="AQ180" s="23">
        <v>391</v>
      </c>
      <c r="AR180" s="103">
        <v>666</v>
      </c>
      <c r="AS180" s="23">
        <v>530</v>
      </c>
      <c r="AT180" s="23">
        <v>633</v>
      </c>
      <c r="AU180" s="103">
        <v>419</v>
      </c>
      <c r="AV180" s="103">
        <v>439</v>
      </c>
      <c r="AW180" s="103">
        <v>1072</v>
      </c>
      <c r="AX180" s="103">
        <v>1023</v>
      </c>
      <c r="AY180" s="23">
        <v>567</v>
      </c>
      <c r="AZ180" s="103">
        <v>179</v>
      </c>
      <c r="BA180" s="23">
        <v>536</v>
      </c>
      <c r="BB180" s="23">
        <f>248+243+274</f>
        <v>765</v>
      </c>
      <c r="BC180" s="23">
        <v>1093</v>
      </c>
      <c r="BD180" s="23">
        <f>(131152+181862)/1000</f>
        <v>313.01400000000001</v>
      </c>
      <c r="BE180" s="23">
        <v>971</v>
      </c>
    </row>
    <row r="181" spans="1:57" s="13" customFormat="1" ht="15.75" x14ac:dyDescent="0.25">
      <c r="A181" s="5"/>
      <c r="B181" s="6"/>
      <c r="C181" s="6"/>
      <c r="D181" s="79" t="s">
        <v>128</v>
      </c>
      <c r="E181" s="38"/>
      <c r="F181" s="6"/>
      <c r="G181" s="23">
        <v>77</v>
      </c>
      <c r="H181" s="103"/>
      <c r="I181" s="23">
        <v>332</v>
      </c>
      <c r="J181" s="24">
        <v>108</v>
      </c>
      <c r="K181" s="103">
        <v>139</v>
      </c>
      <c r="L181" s="23">
        <v>63</v>
      </c>
      <c r="M181" s="24">
        <v>96</v>
      </c>
      <c r="N181" s="103">
        <v>487</v>
      </c>
      <c r="O181" s="103">
        <v>122</v>
      </c>
      <c r="P181" s="103">
        <v>20</v>
      </c>
      <c r="Q181" s="24">
        <v>178</v>
      </c>
      <c r="R181" s="103">
        <v>87</v>
      </c>
      <c r="S181" s="103"/>
      <c r="T181" s="24">
        <v>168</v>
      </c>
      <c r="U181" s="23">
        <v>91</v>
      </c>
      <c r="V181" s="23">
        <v>181</v>
      </c>
      <c r="W181" s="103">
        <v>66</v>
      </c>
      <c r="X181" s="23">
        <v>112</v>
      </c>
      <c r="Y181" s="103"/>
      <c r="Z181" s="103">
        <v>588</v>
      </c>
      <c r="AA181" s="23"/>
      <c r="AB181" s="24">
        <v>169</v>
      </c>
      <c r="AC181" s="23">
        <v>75</v>
      </c>
      <c r="AD181" s="24">
        <v>265</v>
      </c>
      <c r="AE181" s="103">
        <v>394</v>
      </c>
      <c r="AF181" s="23">
        <v>29</v>
      </c>
      <c r="AG181" s="23">
        <v>97</v>
      </c>
      <c r="AH181" s="23">
        <v>49</v>
      </c>
      <c r="AI181" s="23">
        <v>179</v>
      </c>
      <c r="AJ181" s="23">
        <v>361</v>
      </c>
      <c r="AK181" s="23">
        <v>211</v>
      </c>
      <c r="AL181" s="23">
        <v>169</v>
      </c>
      <c r="AM181" s="103">
        <v>74</v>
      </c>
      <c r="AN181" s="23">
        <v>71</v>
      </c>
      <c r="AO181" s="103">
        <v>73</v>
      </c>
      <c r="AP181" s="23">
        <v>955</v>
      </c>
      <c r="AQ181" s="23"/>
      <c r="AR181" s="103">
        <v>275</v>
      </c>
      <c r="AS181" s="23">
        <v>123</v>
      </c>
      <c r="AT181" s="23">
        <v>162</v>
      </c>
      <c r="AU181" s="103">
        <v>18</v>
      </c>
      <c r="AV181" s="103">
        <v>144</v>
      </c>
      <c r="AW181" s="103">
        <v>131</v>
      </c>
      <c r="AX181" s="103">
        <v>257</v>
      </c>
      <c r="AY181" s="23">
        <v>102</v>
      </c>
      <c r="AZ181" s="103">
        <v>50</v>
      </c>
      <c r="BA181" s="23">
        <v>90</v>
      </c>
      <c r="BB181" s="23">
        <v>158</v>
      </c>
      <c r="BC181" s="23"/>
      <c r="BD181" s="23">
        <v>1.5509999999999999</v>
      </c>
      <c r="BE181" s="23"/>
    </row>
    <row r="182" spans="1:57" s="13" customFormat="1" ht="15.75" x14ac:dyDescent="0.25">
      <c r="A182" s="5"/>
      <c r="B182" s="6"/>
      <c r="C182" s="6"/>
      <c r="D182" s="79" t="s">
        <v>129</v>
      </c>
      <c r="E182" s="38"/>
      <c r="F182" s="6"/>
      <c r="G182" s="26"/>
      <c r="H182" s="104"/>
      <c r="I182" s="26"/>
      <c r="J182" s="27">
        <v>118</v>
      </c>
      <c r="K182" s="104"/>
      <c r="L182" s="26"/>
      <c r="M182" s="27">
        <v>120</v>
      </c>
      <c r="N182" s="104">
        <v>263</v>
      </c>
      <c r="O182" s="104"/>
      <c r="P182" s="104">
        <v>720</v>
      </c>
      <c r="Q182" s="27"/>
      <c r="R182" s="104">
        <v>358</v>
      </c>
      <c r="S182" s="104"/>
      <c r="T182" s="27">
        <v>9</v>
      </c>
      <c r="U182" s="26">
        <v>220</v>
      </c>
      <c r="V182" s="26"/>
      <c r="W182" s="104"/>
      <c r="X182" s="26"/>
      <c r="Y182" s="104"/>
      <c r="Z182" s="104">
        <v>304</v>
      </c>
      <c r="AA182" s="26">
        <v>40</v>
      </c>
      <c r="AB182" s="27">
        <v>176</v>
      </c>
      <c r="AC182" s="26"/>
      <c r="AD182" s="27">
        <v>75</v>
      </c>
      <c r="AE182" s="104"/>
      <c r="AF182" s="26"/>
      <c r="AG182" s="26"/>
      <c r="AH182" s="26"/>
      <c r="AI182" s="26"/>
      <c r="AJ182" s="26"/>
      <c r="AK182" s="26"/>
      <c r="AL182" s="26">
        <v>176</v>
      </c>
      <c r="AM182" s="104"/>
      <c r="AN182" s="26"/>
      <c r="AO182" s="104"/>
      <c r="AP182" s="26"/>
      <c r="AQ182" s="26"/>
      <c r="AR182" s="104">
        <v>180</v>
      </c>
      <c r="AS182" s="26"/>
      <c r="AT182" s="26"/>
      <c r="AU182" s="104"/>
      <c r="AV182" s="104"/>
      <c r="AW182" s="104"/>
      <c r="AX182" s="104">
        <v>345</v>
      </c>
      <c r="AY182" s="26"/>
      <c r="AZ182" s="104"/>
      <c r="BA182" s="26">
        <v>120</v>
      </c>
      <c r="BB182" s="26"/>
      <c r="BC182" s="26"/>
      <c r="BD182" s="26"/>
      <c r="BE182" s="26"/>
    </row>
    <row r="183" spans="1:57" s="13" customFormat="1" ht="15.75" x14ac:dyDescent="0.25">
      <c r="A183" s="5"/>
      <c r="B183" s="6"/>
      <c r="C183" s="6"/>
      <c r="D183" s="79" t="s">
        <v>167</v>
      </c>
      <c r="E183" s="38"/>
      <c r="F183" s="6"/>
      <c r="G183" s="26"/>
      <c r="H183" s="104"/>
      <c r="I183" s="26"/>
      <c r="J183" s="27"/>
      <c r="K183" s="104"/>
      <c r="L183" s="26"/>
      <c r="M183" s="27"/>
      <c r="N183" s="104"/>
      <c r="O183" s="104"/>
      <c r="P183" s="104"/>
      <c r="Q183" s="27"/>
      <c r="R183" s="104"/>
      <c r="S183" s="104"/>
      <c r="T183" s="27"/>
      <c r="U183" s="26"/>
      <c r="V183" s="26"/>
      <c r="W183" s="104"/>
      <c r="X183" s="26"/>
      <c r="Y183" s="104"/>
      <c r="Z183" s="104"/>
      <c r="AA183" s="26"/>
      <c r="AB183" s="27"/>
      <c r="AC183" s="26"/>
      <c r="AD183" s="27"/>
      <c r="AE183" s="104"/>
      <c r="AF183" s="26"/>
      <c r="AG183" s="26"/>
      <c r="AH183" s="26"/>
      <c r="AI183" s="26"/>
      <c r="AJ183" s="26"/>
      <c r="AK183" s="26"/>
      <c r="AL183" s="26"/>
      <c r="AM183" s="104"/>
      <c r="AN183" s="26"/>
      <c r="AO183" s="104"/>
      <c r="AP183" s="26"/>
      <c r="AQ183" s="26"/>
      <c r="AR183" s="104"/>
      <c r="AS183" s="26"/>
      <c r="AT183" s="26"/>
      <c r="AU183" s="104"/>
      <c r="AV183" s="104"/>
      <c r="AW183" s="104"/>
      <c r="AX183" s="104"/>
      <c r="AY183" s="26">
        <v>87</v>
      </c>
      <c r="AZ183" s="104"/>
      <c r="BA183" s="26"/>
      <c r="BB183" s="26"/>
      <c r="BC183" s="26"/>
      <c r="BD183" s="26"/>
      <c r="BE183" s="26"/>
    </row>
    <row r="184" spans="1:57" s="13" customFormat="1" ht="15.75" x14ac:dyDescent="0.25">
      <c r="A184" s="5"/>
      <c r="B184" s="6"/>
      <c r="C184" s="6"/>
      <c r="D184" s="79" t="s">
        <v>166</v>
      </c>
      <c r="E184" s="38"/>
      <c r="F184" s="6"/>
      <c r="G184" s="26">
        <v>26</v>
      </c>
      <c r="H184" s="104">
        <v>54</v>
      </c>
      <c r="I184" s="26"/>
      <c r="J184" s="27">
        <v>44</v>
      </c>
      <c r="K184" s="104"/>
      <c r="L184" s="26"/>
      <c r="M184" s="27">
        <v>232</v>
      </c>
      <c r="N184" s="104">
        <v>193</v>
      </c>
      <c r="O184" s="104"/>
      <c r="P184" s="104"/>
      <c r="Q184" s="27">
        <v>48</v>
      </c>
      <c r="R184" s="104">
        <v>124</v>
      </c>
      <c r="S184" s="104"/>
      <c r="T184" s="27">
        <v>111</v>
      </c>
      <c r="U184" s="26">
        <v>148</v>
      </c>
      <c r="V184" s="26"/>
      <c r="W184" s="104"/>
      <c r="X184" s="26">
        <v>47</v>
      </c>
      <c r="Y184" s="104"/>
      <c r="Z184" s="104">
        <v>162</v>
      </c>
      <c r="AA184" s="26">
        <v>20</v>
      </c>
      <c r="AB184" s="27">
        <v>106</v>
      </c>
      <c r="AC184" s="26"/>
      <c r="AD184" s="27">
        <v>114</v>
      </c>
      <c r="AE184" s="104"/>
      <c r="AF184" s="26">
        <v>43</v>
      </c>
      <c r="AG184" s="26"/>
      <c r="AH184" s="26"/>
      <c r="AI184" s="26">
        <v>215</v>
      </c>
      <c r="AJ184" s="26">
        <v>135</v>
      </c>
      <c r="AK184" s="26"/>
      <c r="AL184" s="26">
        <v>106</v>
      </c>
      <c r="AM184" s="104"/>
      <c r="AN184" s="26"/>
      <c r="AO184" s="104">
        <v>102</v>
      </c>
      <c r="AP184" s="26"/>
      <c r="AQ184" s="26"/>
      <c r="AR184" s="104"/>
      <c r="AS184" s="26"/>
      <c r="AT184" s="26"/>
      <c r="AU184" s="104"/>
      <c r="AV184" s="104"/>
      <c r="AW184" s="104"/>
      <c r="AX184" s="104"/>
      <c r="AY184" s="26">
        <v>86</v>
      </c>
      <c r="AZ184" s="104">
        <v>21</v>
      </c>
      <c r="BA184" s="26">
        <v>125</v>
      </c>
      <c r="BB184" s="26"/>
      <c r="BC184" s="26"/>
      <c r="BD184" s="26"/>
      <c r="BE184" s="26"/>
    </row>
    <row r="185" spans="1:57" s="13" customFormat="1" ht="15.75" x14ac:dyDescent="0.25">
      <c r="A185" s="5"/>
      <c r="B185" s="6"/>
      <c r="C185" s="6"/>
      <c r="D185" s="79" t="s">
        <v>168</v>
      </c>
      <c r="E185" s="38"/>
      <c r="F185" s="6"/>
      <c r="G185" s="26">
        <v>18</v>
      </c>
      <c r="H185" s="104">
        <v>19</v>
      </c>
      <c r="I185" s="26"/>
      <c r="J185" s="27"/>
      <c r="K185" s="104"/>
      <c r="L185" s="26"/>
      <c r="M185" s="27">
        <v>33</v>
      </c>
      <c r="N185" s="104">
        <v>182</v>
      </c>
      <c r="O185" s="104"/>
      <c r="P185" s="104"/>
      <c r="Q185" s="27">
        <v>74</v>
      </c>
      <c r="R185" s="104"/>
      <c r="S185" s="104"/>
      <c r="T185" s="27">
        <v>29</v>
      </c>
      <c r="U185" s="26">
        <v>94</v>
      </c>
      <c r="V185" s="26"/>
      <c r="W185" s="104"/>
      <c r="X185" s="26">
        <v>11</v>
      </c>
      <c r="Y185" s="104"/>
      <c r="Z185" s="104"/>
      <c r="AA185" s="26">
        <v>10</v>
      </c>
      <c r="AB185" s="27"/>
      <c r="AC185" s="26"/>
      <c r="AD185" s="27">
        <v>30</v>
      </c>
      <c r="AE185" s="104"/>
      <c r="AF185" s="26">
        <v>34</v>
      </c>
      <c r="AG185" s="26"/>
      <c r="AH185" s="26"/>
      <c r="AI185" s="26">
        <v>19</v>
      </c>
      <c r="AJ185" s="26"/>
      <c r="AK185" s="26"/>
      <c r="AL185" s="26"/>
      <c r="AM185" s="104"/>
      <c r="AN185" s="26"/>
      <c r="AO185" s="104"/>
      <c r="AP185" s="26"/>
      <c r="AQ185" s="26"/>
      <c r="AR185" s="104"/>
      <c r="AS185" s="26"/>
      <c r="AT185" s="26"/>
      <c r="AU185" s="104"/>
      <c r="AV185" s="104"/>
      <c r="AW185" s="104"/>
      <c r="AX185" s="104">
        <v>83</v>
      </c>
      <c r="AY185" s="26">
        <v>184</v>
      </c>
      <c r="AZ185" s="104">
        <v>42</v>
      </c>
      <c r="BA185" s="26">
        <v>19</v>
      </c>
      <c r="BB185" s="26"/>
      <c r="BC185" s="26"/>
      <c r="BD185" s="26"/>
      <c r="BE185" s="26"/>
    </row>
    <row r="186" spans="1:57" s="13" customFormat="1" ht="15.75" x14ac:dyDescent="0.25">
      <c r="A186" s="5"/>
      <c r="B186" s="6"/>
      <c r="C186" s="6"/>
      <c r="D186" s="79" t="s">
        <v>130</v>
      </c>
      <c r="E186" s="38"/>
      <c r="F186" s="6"/>
      <c r="G186" s="26"/>
      <c r="H186" s="104"/>
      <c r="I186" s="26"/>
      <c r="J186" s="27"/>
      <c r="K186" s="104"/>
      <c r="L186" s="26"/>
      <c r="M186" s="27"/>
      <c r="N186" s="104"/>
      <c r="O186" s="104"/>
      <c r="P186" s="104"/>
      <c r="Q186" s="27">
        <v>217</v>
      </c>
      <c r="R186" s="104"/>
      <c r="S186" s="104"/>
      <c r="T186" s="27"/>
      <c r="U186" s="26"/>
      <c r="V186" s="26"/>
      <c r="W186" s="104"/>
      <c r="X186" s="26"/>
      <c r="Y186" s="104"/>
      <c r="Z186" s="104"/>
      <c r="AA186" s="26"/>
      <c r="AB186" s="27"/>
      <c r="AC186" s="26"/>
      <c r="AD186" s="27"/>
      <c r="AE186" s="104"/>
      <c r="AF186" s="26"/>
      <c r="AG186" s="26"/>
      <c r="AH186" s="26"/>
      <c r="AI186" s="26"/>
      <c r="AJ186" s="26"/>
      <c r="AK186" s="26"/>
      <c r="AL186" s="26"/>
      <c r="AM186" s="104"/>
      <c r="AN186" s="26"/>
      <c r="AO186" s="104"/>
      <c r="AP186" s="26"/>
      <c r="AQ186" s="26"/>
      <c r="AR186" s="104"/>
      <c r="AS186" s="26"/>
      <c r="AT186" s="26"/>
      <c r="AU186" s="104"/>
      <c r="AV186" s="104"/>
      <c r="AW186" s="104"/>
      <c r="AX186" s="104"/>
      <c r="AY186" s="26"/>
      <c r="AZ186" s="104"/>
      <c r="BA186" s="26"/>
      <c r="BB186" s="26"/>
      <c r="BC186" s="26"/>
      <c r="BD186" s="26"/>
      <c r="BE186" s="26"/>
    </row>
    <row r="187" spans="1:57" s="13" customFormat="1" ht="15.75" x14ac:dyDescent="0.25">
      <c r="A187" s="5"/>
      <c r="B187" s="6"/>
      <c r="C187" s="6"/>
      <c r="D187" s="79"/>
      <c r="E187" s="38"/>
      <c r="F187" s="6"/>
      <c r="G187" s="26"/>
      <c r="H187" s="104"/>
      <c r="I187" s="26"/>
      <c r="J187" s="27"/>
      <c r="K187" s="104"/>
      <c r="L187" s="26"/>
      <c r="M187" s="27"/>
      <c r="N187" s="104"/>
      <c r="O187" s="104"/>
      <c r="P187" s="104"/>
      <c r="Q187" s="27"/>
      <c r="R187" s="104"/>
      <c r="S187" s="104"/>
      <c r="T187" s="27"/>
      <c r="U187" s="26"/>
      <c r="V187" s="26"/>
      <c r="W187" s="104"/>
      <c r="X187" s="26"/>
      <c r="Y187" s="104"/>
      <c r="Z187" s="104"/>
      <c r="AA187" s="26"/>
      <c r="AB187" s="27"/>
      <c r="AC187" s="26"/>
      <c r="AD187" s="27"/>
      <c r="AE187" s="104"/>
      <c r="AF187" s="26"/>
      <c r="AG187" s="26"/>
      <c r="AH187" s="26"/>
      <c r="AI187" s="26"/>
      <c r="AJ187" s="26"/>
      <c r="AK187" s="26"/>
      <c r="AL187" s="26"/>
      <c r="AM187" s="104"/>
      <c r="AN187" s="26"/>
      <c r="AO187" s="104"/>
      <c r="AP187" s="26"/>
      <c r="AQ187" s="26"/>
      <c r="AR187" s="104"/>
      <c r="AS187" s="26"/>
      <c r="AT187" s="26"/>
      <c r="AU187" s="104"/>
      <c r="AV187" s="104"/>
      <c r="AW187" s="104"/>
      <c r="AX187" s="104"/>
      <c r="AY187" s="26"/>
      <c r="AZ187" s="104"/>
      <c r="BA187" s="26"/>
      <c r="BB187" s="26"/>
      <c r="BC187" s="26"/>
      <c r="BD187" s="26"/>
      <c r="BE187" s="26"/>
    </row>
    <row r="188" spans="1:57" s="13" customFormat="1" ht="15.75" x14ac:dyDescent="0.25">
      <c r="A188" s="5"/>
      <c r="B188" s="6"/>
      <c r="C188" s="6"/>
      <c r="D188" s="79"/>
      <c r="E188" s="38"/>
      <c r="F188" s="6"/>
      <c r="G188" s="26"/>
      <c r="H188" s="104"/>
      <c r="I188" s="26"/>
      <c r="J188" s="27"/>
      <c r="K188" s="104"/>
      <c r="L188" s="26"/>
      <c r="M188" s="27"/>
      <c r="N188" s="104"/>
      <c r="O188" s="104"/>
      <c r="P188" s="104"/>
      <c r="Q188" s="27"/>
      <c r="R188" s="104"/>
      <c r="S188" s="104"/>
      <c r="T188" s="27"/>
      <c r="U188" s="26"/>
      <c r="V188" s="26"/>
      <c r="W188" s="104"/>
      <c r="X188" s="26"/>
      <c r="Y188" s="104"/>
      <c r="Z188" s="104"/>
      <c r="AA188" s="26"/>
      <c r="AB188" s="27"/>
      <c r="AC188" s="26"/>
      <c r="AD188" s="27"/>
      <c r="AE188" s="104"/>
      <c r="AF188" s="26"/>
      <c r="AG188" s="26"/>
      <c r="AH188" s="26"/>
      <c r="AI188" s="26"/>
      <c r="AJ188" s="26"/>
      <c r="AK188" s="26"/>
      <c r="AL188" s="26"/>
      <c r="AM188" s="104"/>
      <c r="AN188" s="26"/>
      <c r="AO188" s="104"/>
      <c r="AP188" s="26"/>
      <c r="AQ188" s="26"/>
      <c r="AR188" s="104"/>
      <c r="AS188" s="26"/>
      <c r="AT188" s="26"/>
      <c r="AU188" s="104"/>
      <c r="AV188" s="104"/>
      <c r="AW188" s="104"/>
      <c r="AX188" s="104"/>
      <c r="AY188" s="26"/>
      <c r="AZ188" s="104"/>
      <c r="BA188" s="26"/>
      <c r="BB188" s="26"/>
      <c r="BC188" s="26"/>
      <c r="BD188" s="26"/>
      <c r="BE188" s="26"/>
    </row>
    <row r="189" spans="1:57" s="13" customFormat="1" ht="15.75" x14ac:dyDescent="0.25">
      <c r="A189" s="5"/>
      <c r="B189" s="6"/>
      <c r="C189" s="6"/>
      <c r="D189" s="79"/>
      <c r="E189" s="38"/>
      <c r="F189" s="6"/>
      <c r="G189" s="26"/>
      <c r="H189" s="104"/>
      <c r="I189" s="26"/>
      <c r="J189" s="27"/>
      <c r="K189" s="104"/>
      <c r="L189" s="26"/>
      <c r="M189" s="27"/>
      <c r="N189" s="104"/>
      <c r="O189" s="104"/>
      <c r="P189" s="104"/>
      <c r="Q189" s="27"/>
      <c r="R189" s="104"/>
      <c r="S189" s="104"/>
      <c r="T189" s="27"/>
      <c r="U189" s="26"/>
      <c r="V189" s="26"/>
      <c r="W189" s="104"/>
      <c r="X189" s="26"/>
      <c r="Y189" s="104"/>
      <c r="Z189" s="104"/>
      <c r="AA189" s="26"/>
      <c r="AB189" s="27"/>
      <c r="AC189" s="26"/>
      <c r="AD189" s="27"/>
      <c r="AE189" s="104"/>
      <c r="AF189" s="26"/>
      <c r="AG189" s="26"/>
      <c r="AH189" s="26"/>
      <c r="AI189" s="26"/>
      <c r="AJ189" s="26"/>
      <c r="AK189" s="26"/>
      <c r="AL189" s="26"/>
      <c r="AM189" s="104"/>
      <c r="AN189" s="26"/>
      <c r="AO189" s="104"/>
      <c r="AP189" s="26"/>
      <c r="AQ189" s="26"/>
      <c r="AR189" s="104"/>
      <c r="AS189" s="26"/>
      <c r="AT189" s="26"/>
      <c r="AU189" s="104"/>
      <c r="AV189" s="104"/>
      <c r="AW189" s="104"/>
      <c r="AX189" s="104"/>
      <c r="AY189" s="26"/>
      <c r="AZ189" s="104"/>
      <c r="BA189" s="26"/>
      <c r="BB189" s="26"/>
      <c r="BC189" s="26"/>
      <c r="BD189" s="26"/>
      <c r="BE189" s="26"/>
    </row>
    <row r="190" spans="1:57" s="13" customFormat="1" ht="16.5" thickBot="1" x14ac:dyDescent="0.3">
      <c r="A190" s="5"/>
      <c r="B190" s="6"/>
      <c r="C190" s="6"/>
      <c r="D190" s="6"/>
      <c r="E190" s="6"/>
      <c r="F190" s="6"/>
      <c r="G190" s="82">
        <f>SUM(G171:G188)</f>
        <v>2421</v>
      </c>
      <c r="H190" s="119">
        <f t="shared" ref="H190:BA190" si="21">SUM(H171:H188)</f>
        <v>2646</v>
      </c>
      <c r="I190" s="82">
        <f t="shared" si="21"/>
        <v>7446</v>
      </c>
      <c r="J190" s="82">
        <f t="shared" si="21"/>
        <v>3378</v>
      </c>
      <c r="K190" s="119">
        <f t="shared" si="21"/>
        <v>2249</v>
      </c>
      <c r="L190" s="82">
        <f t="shared" si="21"/>
        <v>2580</v>
      </c>
      <c r="M190" s="82">
        <f t="shared" si="21"/>
        <v>3686</v>
      </c>
      <c r="N190" s="119">
        <f t="shared" si="21"/>
        <v>6991</v>
      </c>
      <c r="O190" s="119">
        <f t="shared" si="21"/>
        <v>2692</v>
      </c>
      <c r="P190" s="119">
        <f t="shared" si="21"/>
        <v>16265</v>
      </c>
      <c r="Q190" s="82">
        <f t="shared" si="21"/>
        <v>3270</v>
      </c>
      <c r="R190" s="119">
        <f t="shared" si="21"/>
        <v>4698</v>
      </c>
      <c r="S190" s="119">
        <f t="shared" si="21"/>
        <v>4429</v>
      </c>
      <c r="T190" s="82">
        <f t="shared" si="21"/>
        <v>3453</v>
      </c>
      <c r="U190" s="82">
        <f t="shared" si="21"/>
        <v>4074</v>
      </c>
      <c r="V190" s="82">
        <f t="shared" si="21"/>
        <v>3738</v>
      </c>
      <c r="W190" s="119">
        <f t="shared" si="21"/>
        <v>2631</v>
      </c>
      <c r="X190" s="82">
        <f t="shared" si="21"/>
        <v>2265</v>
      </c>
      <c r="Y190" s="119">
        <f t="shared" si="21"/>
        <v>39714</v>
      </c>
      <c r="Z190" s="119">
        <f t="shared" si="21"/>
        <v>8835</v>
      </c>
      <c r="AA190" s="82">
        <f t="shared" si="21"/>
        <v>819</v>
      </c>
      <c r="AB190" s="82">
        <f t="shared" si="21"/>
        <v>2540</v>
      </c>
      <c r="AC190" s="82">
        <f t="shared" si="21"/>
        <v>4766</v>
      </c>
      <c r="AD190" s="82">
        <f t="shared" si="21"/>
        <v>3624</v>
      </c>
      <c r="AE190" s="119">
        <f t="shared" si="21"/>
        <v>14116</v>
      </c>
      <c r="AF190" s="82">
        <f t="shared" si="21"/>
        <v>3147</v>
      </c>
      <c r="AG190" s="82">
        <f t="shared" si="21"/>
        <v>2678</v>
      </c>
      <c r="AH190" s="82">
        <f t="shared" si="21"/>
        <v>2525</v>
      </c>
      <c r="AI190" s="82">
        <f t="shared" si="21"/>
        <v>3820</v>
      </c>
      <c r="AJ190" s="82">
        <f t="shared" si="21"/>
        <v>5433</v>
      </c>
      <c r="AK190" s="82">
        <f t="shared" si="21"/>
        <v>2505</v>
      </c>
      <c r="AL190" s="82">
        <f t="shared" si="21"/>
        <v>2540</v>
      </c>
      <c r="AM190" s="119">
        <f t="shared" si="21"/>
        <v>1839</v>
      </c>
      <c r="AN190" s="82">
        <f t="shared" si="21"/>
        <v>3727</v>
      </c>
      <c r="AO190" s="119">
        <f t="shared" si="21"/>
        <v>3674</v>
      </c>
      <c r="AP190" s="82">
        <f t="shared" si="21"/>
        <v>22755</v>
      </c>
      <c r="AQ190" s="82">
        <f t="shared" si="21"/>
        <v>1894</v>
      </c>
      <c r="AR190" s="119">
        <f t="shared" si="21"/>
        <v>3990</v>
      </c>
      <c r="AS190" s="82">
        <f t="shared" si="21"/>
        <v>4962</v>
      </c>
      <c r="AT190" s="82">
        <f t="shared" si="21"/>
        <v>3033</v>
      </c>
      <c r="AU190" s="119">
        <f t="shared" si="21"/>
        <v>2067</v>
      </c>
      <c r="AV190" s="119">
        <f t="shared" si="21"/>
        <v>1849</v>
      </c>
      <c r="AW190" s="119">
        <f t="shared" si="21"/>
        <v>3728</v>
      </c>
      <c r="AX190" s="119">
        <f t="shared" si="21"/>
        <v>7415</v>
      </c>
      <c r="AY190" s="82">
        <f t="shared" si="21"/>
        <v>4681</v>
      </c>
      <c r="AZ190" s="119">
        <f t="shared" si="21"/>
        <v>2323</v>
      </c>
      <c r="BA190" s="82">
        <f t="shared" si="21"/>
        <v>2939</v>
      </c>
      <c r="BB190" s="82">
        <f t="shared" ref="BB190" si="22">SUM(BB171:BB188)</f>
        <v>1980</v>
      </c>
      <c r="BC190" s="82">
        <f t="shared" ref="BC190" si="23">SUM(BC171:BC188)</f>
        <v>3081</v>
      </c>
      <c r="BD190" s="82">
        <f>SUM(BD171:BD188)</f>
        <v>479.286</v>
      </c>
      <c r="BE190" s="82">
        <f t="shared" ref="BE190" si="24">SUM(BE171:BE188)</f>
        <v>1320</v>
      </c>
    </row>
    <row r="191" spans="1:57" s="13" customFormat="1" ht="16.5" thickTop="1" x14ac:dyDescent="0.25">
      <c r="A191" s="5"/>
      <c r="B191" s="6"/>
      <c r="C191" s="6"/>
      <c r="D191" s="6"/>
      <c r="E191" s="6"/>
      <c r="F191" s="6"/>
      <c r="G191" s="42"/>
      <c r="H191" s="108"/>
      <c r="I191" s="42"/>
      <c r="J191" s="43"/>
      <c r="K191" s="108"/>
      <c r="L191" s="42"/>
      <c r="M191" s="43"/>
      <c r="N191" s="108"/>
      <c r="O191" s="108"/>
      <c r="P191" s="108"/>
      <c r="Q191" s="43"/>
      <c r="R191" s="108"/>
      <c r="S191" s="108"/>
      <c r="T191" s="43"/>
      <c r="U191" s="42"/>
      <c r="V191" s="42"/>
      <c r="W191" s="108"/>
      <c r="X191" s="42"/>
      <c r="Y191" s="108"/>
      <c r="Z191" s="108"/>
      <c r="AA191" s="42"/>
      <c r="AB191" s="43"/>
      <c r="AC191" s="42"/>
      <c r="AD191" s="43"/>
      <c r="AE191" s="108"/>
      <c r="AF191" s="42"/>
      <c r="AG191" s="42"/>
      <c r="AH191" s="42"/>
      <c r="AI191" s="42"/>
      <c r="AJ191" s="42"/>
      <c r="AK191" s="42"/>
      <c r="AL191" s="42"/>
      <c r="AM191" s="108"/>
      <c r="AN191" s="42"/>
      <c r="AO191" s="108"/>
      <c r="AP191" s="42"/>
      <c r="AQ191" s="42"/>
      <c r="AR191" s="108"/>
      <c r="AS191" s="42"/>
      <c r="AT191" s="42"/>
      <c r="AU191" s="108"/>
      <c r="AV191" s="108"/>
      <c r="AW191" s="108"/>
      <c r="AX191" s="108"/>
      <c r="AY191" s="42"/>
      <c r="AZ191" s="108"/>
      <c r="BA191" s="42"/>
      <c r="BB191" s="42"/>
      <c r="BC191" s="42"/>
      <c r="BD191" s="42"/>
      <c r="BE191" s="42"/>
    </row>
    <row r="192" spans="1:57" x14ac:dyDescent="0.2">
      <c r="D192" s="1" t="s">
        <v>131</v>
      </c>
      <c r="G192" s="1">
        <f t="shared" ref="G192:AL192" si="25">+(G25-G12-G14-G21)+(G110-G66-G65-G63)+(G165-G154)</f>
        <v>5062</v>
      </c>
      <c r="H192" s="100">
        <f t="shared" si="25"/>
        <v>8467</v>
      </c>
      <c r="I192" s="1">
        <f t="shared" si="25"/>
        <v>19094</v>
      </c>
      <c r="J192" s="2">
        <f t="shared" si="25"/>
        <v>9753</v>
      </c>
      <c r="K192" s="100">
        <f t="shared" si="25"/>
        <v>3187</v>
      </c>
      <c r="L192" s="1">
        <f t="shared" si="25"/>
        <v>5494</v>
      </c>
      <c r="M192" s="2">
        <f t="shared" si="25"/>
        <v>9580</v>
      </c>
      <c r="N192" s="100">
        <f t="shared" si="25"/>
        <v>28666</v>
      </c>
      <c r="O192" s="100">
        <f t="shared" si="25"/>
        <v>5119</v>
      </c>
      <c r="P192" s="100">
        <f t="shared" si="25"/>
        <v>21408</v>
      </c>
      <c r="Q192" s="2">
        <f t="shared" si="25"/>
        <v>8584</v>
      </c>
      <c r="R192" s="100">
        <f t="shared" si="25"/>
        <v>25832</v>
      </c>
      <c r="S192" s="100">
        <f t="shared" si="25"/>
        <v>13850</v>
      </c>
      <c r="T192" s="2">
        <f t="shared" si="25"/>
        <v>9993</v>
      </c>
      <c r="U192" s="1">
        <f t="shared" si="25"/>
        <v>16131</v>
      </c>
      <c r="V192" s="1">
        <f t="shared" si="25"/>
        <v>6542</v>
      </c>
      <c r="W192" s="100">
        <f t="shared" si="25"/>
        <v>7515</v>
      </c>
      <c r="X192" s="1">
        <f t="shared" si="25"/>
        <v>4179</v>
      </c>
      <c r="Y192" s="100">
        <f t="shared" si="25"/>
        <v>120151</v>
      </c>
      <c r="Z192" s="100">
        <f t="shared" si="25"/>
        <v>55062</v>
      </c>
      <c r="AA192" s="1">
        <f t="shared" si="25"/>
        <v>3594</v>
      </c>
      <c r="AB192" s="2">
        <f t="shared" si="25"/>
        <v>5917</v>
      </c>
      <c r="AC192" s="1">
        <f t="shared" si="25"/>
        <v>16441</v>
      </c>
      <c r="AD192" s="2">
        <f t="shared" si="25"/>
        <v>5091</v>
      </c>
      <c r="AE192" s="100">
        <f t="shared" si="25"/>
        <v>102323.07999999999</v>
      </c>
      <c r="AF192" s="1">
        <f t="shared" si="25"/>
        <v>7372</v>
      </c>
      <c r="AG192" s="1">
        <f t="shared" si="25"/>
        <v>7116</v>
      </c>
      <c r="AH192" s="1">
        <f t="shared" si="25"/>
        <v>7614</v>
      </c>
      <c r="AI192" s="1">
        <f t="shared" si="25"/>
        <v>7479</v>
      </c>
      <c r="AJ192" s="1">
        <f t="shared" si="25"/>
        <v>8858</v>
      </c>
      <c r="AK192" s="1">
        <f t="shared" si="25"/>
        <v>12746</v>
      </c>
      <c r="AL192" s="1">
        <f t="shared" si="25"/>
        <v>5917</v>
      </c>
      <c r="AM192" s="100">
        <f>+(AM25-AM12-AM14-AM21)+(AM110-AM67-AM65-AM63)+(AM165-AM154)</f>
        <v>3753</v>
      </c>
      <c r="AN192" s="1">
        <f t="shared" ref="AN192:BA192" si="26">+(AN25-AN12-AN14-AN21)+(AN110-AN66-AN65-AN63)+(AN165-AN154)</f>
        <v>26918</v>
      </c>
      <c r="AO192" s="100">
        <f t="shared" si="26"/>
        <v>9715</v>
      </c>
      <c r="AP192" s="1">
        <f t="shared" si="26"/>
        <v>24458</v>
      </c>
      <c r="AQ192" s="1">
        <f t="shared" si="26"/>
        <v>5517</v>
      </c>
      <c r="AR192" s="100">
        <f t="shared" si="26"/>
        <v>17211</v>
      </c>
      <c r="AS192" s="1">
        <f t="shared" si="26"/>
        <v>10796</v>
      </c>
      <c r="AT192" s="1">
        <f t="shared" si="26"/>
        <v>13169</v>
      </c>
      <c r="AU192" s="100">
        <f t="shared" si="26"/>
        <v>5530</v>
      </c>
      <c r="AV192" s="100">
        <f t="shared" si="26"/>
        <v>5946</v>
      </c>
      <c r="AW192" s="100">
        <f t="shared" si="26"/>
        <v>20846</v>
      </c>
      <c r="AX192" s="100">
        <f t="shared" si="26"/>
        <v>25049</v>
      </c>
      <c r="AY192" s="1">
        <f t="shared" si="26"/>
        <v>12881</v>
      </c>
      <c r="AZ192" s="100">
        <f t="shared" si="26"/>
        <v>2911</v>
      </c>
      <c r="BA192" s="1">
        <f t="shared" si="26"/>
        <v>8639</v>
      </c>
      <c r="BB192" s="1">
        <f t="shared" ref="BB192" si="27">+(BB25-BB12-BB14-BB21)+(BB110-BB66-BB65-BB63)+(BB165-BB154)</f>
        <v>5191</v>
      </c>
      <c r="BC192" s="1">
        <f t="shared" ref="BC192" si="28">+(BC25-BC12-BC14-BC21)+(BC110-BC66-BC65-BC63)+(BC165-BC154)</f>
        <v>16565</v>
      </c>
      <c r="BD192" s="1">
        <f>+(BD25-BD12-BD14-BD21)+(BD110-BD66-BD65-BD63)+(BD165-BD154)</f>
        <v>8212.0159999999996</v>
      </c>
      <c r="BE192" s="1">
        <f t="shared" ref="BE192" si="29">+(BE25-BE12-BE14-BE21)+(BE110-BE66-BE65-BE63)+(BE165-BE154)</f>
        <v>6114</v>
      </c>
    </row>
    <row r="194" spans="4:57" x14ac:dyDescent="0.2">
      <c r="D194" s="1" t="s">
        <v>132</v>
      </c>
      <c r="G194" s="1">
        <f>+(G25-G12-G14-G21)+(G165-G154)*2/3</f>
        <v>2524.3333333333335</v>
      </c>
      <c r="H194" s="1">
        <f t="shared" ref="H194:BE194" si="30">+(H25-H12-H14-H21)+(H165-H154)*2/3</f>
        <v>4151</v>
      </c>
      <c r="I194" s="1">
        <f t="shared" si="30"/>
        <v>13800.666666666668</v>
      </c>
      <c r="J194" s="1">
        <f t="shared" si="30"/>
        <v>6892</v>
      </c>
      <c r="K194" s="1">
        <f t="shared" si="30"/>
        <v>1822</v>
      </c>
      <c r="L194" s="1">
        <f t="shared" si="30"/>
        <v>2636</v>
      </c>
      <c r="M194" s="1">
        <f t="shared" si="30"/>
        <v>6875.3333333333339</v>
      </c>
      <c r="N194" s="1">
        <f t="shared" si="30"/>
        <v>17824.666666666668</v>
      </c>
      <c r="O194" s="1">
        <f t="shared" si="30"/>
        <v>3213.333333333333</v>
      </c>
      <c r="P194" s="1">
        <f t="shared" si="30"/>
        <v>11478.333333333334</v>
      </c>
      <c r="Q194" s="1">
        <f t="shared" si="30"/>
        <v>4663.3333333333339</v>
      </c>
      <c r="R194" s="1">
        <f t="shared" si="30"/>
        <v>14161.333333333332</v>
      </c>
      <c r="S194" s="1">
        <f t="shared" si="30"/>
        <v>7019.666666666667</v>
      </c>
      <c r="T194" s="1">
        <f t="shared" si="30"/>
        <v>6164.666666666667</v>
      </c>
      <c r="U194" s="1">
        <f t="shared" si="30"/>
        <v>8587</v>
      </c>
      <c r="V194" s="1">
        <f t="shared" si="30"/>
        <v>3576.6666666666665</v>
      </c>
      <c r="W194" s="1">
        <f t="shared" si="30"/>
        <v>4636</v>
      </c>
      <c r="X194" s="1">
        <f t="shared" si="30"/>
        <v>2675.6666666666665</v>
      </c>
      <c r="Y194" s="1">
        <f t="shared" si="30"/>
        <v>68368.666666666672</v>
      </c>
      <c r="Z194" s="1">
        <f t="shared" si="30"/>
        <v>39798.666666666664</v>
      </c>
      <c r="AA194" s="1">
        <f t="shared" si="30"/>
        <v>1939.6666666666665</v>
      </c>
      <c r="AB194" s="1">
        <f t="shared" si="30"/>
        <v>2858</v>
      </c>
      <c r="AC194" s="1">
        <f t="shared" si="30"/>
        <v>9241</v>
      </c>
      <c r="AD194" s="1">
        <f t="shared" si="30"/>
        <v>3785</v>
      </c>
      <c r="AE194" s="1">
        <f t="shared" si="30"/>
        <v>59538.333333333328</v>
      </c>
      <c r="AF194" s="1">
        <f t="shared" si="30"/>
        <v>4137.666666666667</v>
      </c>
      <c r="AG194" s="1">
        <f t="shared" si="30"/>
        <v>3750.3333333333335</v>
      </c>
      <c r="AH194" s="1">
        <f t="shared" si="30"/>
        <v>4229</v>
      </c>
      <c r="AI194" s="1">
        <f t="shared" si="30"/>
        <v>4794.666666666667</v>
      </c>
      <c r="AJ194" s="1">
        <f t="shared" si="30"/>
        <v>4846.3333333333339</v>
      </c>
      <c r="AK194" s="1">
        <f t="shared" si="30"/>
        <v>5712.666666666667</v>
      </c>
      <c r="AL194" s="1">
        <f t="shared" si="30"/>
        <v>2858</v>
      </c>
      <c r="AM194" s="1">
        <f t="shared" si="30"/>
        <v>2350.3333333333335</v>
      </c>
      <c r="AN194" s="1">
        <f t="shared" si="30"/>
        <v>9295</v>
      </c>
      <c r="AO194" s="1">
        <f t="shared" si="30"/>
        <v>6365.3333333333339</v>
      </c>
      <c r="AP194" s="1">
        <f t="shared" si="30"/>
        <v>14328.666666666668</v>
      </c>
      <c r="AQ194" s="1">
        <f t="shared" si="30"/>
        <v>2964</v>
      </c>
      <c r="AR194" s="1">
        <f t="shared" si="30"/>
        <v>11038.333333333334</v>
      </c>
      <c r="AS194" s="1">
        <f t="shared" si="30"/>
        <v>6886</v>
      </c>
      <c r="AT194" s="1">
        <f t="shared" si="30"/>
        <v>7714.6666666666661</v>
      </c>
      <c r="AU194" s="1">
        <f t="shared" si="30"/>
        <v>3112</v>
      </c>
      <c r="AV194" s="1">
        <f t="shared" si="30"/>
        <v>3146.333333333333</v>
      </c>
      <c r="AW194" s="1">
        <f t="shared" si="30"/>
        <v>11516</v>
      </c>
      <c r="AX194" s="1">
        <f t="shared" si="30"/>
        <v>10682</v>
      </c>
      <c r="AY194" s="1">
        <f t="shared" si="30"/>
        <v>7504</v>
      </c>
      <c r="AZ194" s="1">
        <f t="shared" si="30"/>
        <v>2000</v>
      </c>
      <c r="BA194" s="1">
        <f t="shared" si="30"/>
        <v>5445.666666666667</v>
      </c>
      <c r="BB194" s="1">
        <f t="shared" si="30"/>
        <v>3108.666666666667</v>
      </c>
      <c r="BC194" s="1">
        <f t="shared" si="30"/>
        <v>8642.3333333333339</v>
      </c>
      <c r="BD194" s="1">
        <f t="shared" si="30"/>
        <v>4528.878999999999</v>
      </c>
      <c r="BE194" s="1">
        <f t="shared" si="30"/>
        <v>1119.6666666666665</v>
      </c>
    </row>
    <row r="196" spans="4:57" x14ac:dyDescent="0.2">
      <c r="D196" s="1" t="s">
        <v>133</v>
      </c>
      <c r="G196" s="1">
        <f>+(G110-G66-G65-G63)+(G165-G154)*1/3</f>
        <v>2537.6666666666665</v>
      </c>
      <c r="H196" s="1">
        <f t="shared" ref="H196:BE196" si="31">+(H110-H66-H65-H63)+(H165-H154)*1/3</f>
        <v>4316</v>
      </c>
      <c r="I196" s="1">
        <f t="shared" si="31"/>
        <v>5293.3333333333339</v>
      </c>
      <c r="J196" s="1">
        <f t="shared" si="31"/>
        <v>2861</v>
      </c>
      <c r="K196" s="1">
        <f t="shared" si="31"/>
        <v>1365</v>
      </c>
      <c r="L196" s="1">
        <f t="shared" si="31"/>
        <v>2858</v>
      </c>
      <c r="M196" s="1">
        <f t="shared" si="31"/>
        <v>2704.666666666667</v>
      </c>
      <c r="N196" s="1">
        <f t="shared" si="31"/>
        <v>10841.333333333334</v>
      </c>
      <c r="O196" s="1">
        <f t="shared" si="31"/>
        <v>1905.6666666666665</v>
      </c>
      <c r="P196" s="1">
        <f t="shared" si="31"/>
        <v>9929.6666666666661</v>
      </c>
      <c r="Q196" s="1">
        <f t="shared" si="31"/>
        <v>3920.666666666667</v>
      </c>
      <c r="R196" s="1">
        <f t="shared" si="31"/>
        <v>11670.666666666666</v>
      </c>
      <c r="S196" s="1">
        <f t="shared" si="31"/>
        <v>6830.333333333333</v>
      </c>
      <c r="T196" s="1">
        <f t="shared" si="31"/>
        <v>3828.3333333333335</v>
      </c>
      <c r="U196" s="1">
        <f t="shared" si="31"/>
        <v>7544</v>
      </c>
      <c r="V196" s="1">
        <f t="shared" si="31"/>
        <v>2965.3333333333335</v>
      </c>
      <c r="W196" s="1">
        <f t="shared" si="31"/>
        <v>2879</v>
      </c>
      <c r="X196" s="1">
        <f t="shared" si="31"/>
        <v>1503.3333333333333</v>
      </c>
      <c r="Y196" s="1">
        <f t="shared" si="31"/>
        <v>51782.333333333336</v>
      </c>
      <c r="Z196" s="1">
        <f t="shared" si="31"/>
        <v>15263.333333333334</v>
      </c>
      <c r="AA196" s="1">
        <f t="shared" si="31"/>
        <v>1654.3333333333333</v>
      </c>
      <c r="AB196" s="1">
        <f t="shared" si="31"/>
        <v>3059</v>
      </c>
      <c r="AC196" s="1">
        <f t="shared" si="31"/>
        <v>7200</v>
      </c>
      <c r="AD196" s="1">
        <f t="shared" si="31"/>
        <v>1306</v>
      </c>
      <c r="AE196" s="1">
        <f t="shared" si="31"/>
        <v>42784.746666666659</v>
      </c>
      <c r="AF196" s="1">
        <f t="shared" si="31"/>
        <v>3234.3333333333335</v>
      </c>
      <c r="AG196" s="1">
        <f t="shared" si="31"/>
        <v>3365.6666666666665</v>
      </c>
      <c r="AH196" s="1">
        <f t="shared" si="31"/>
        <v>3385</v>
      </c>
      <c r="AI196" s="1">
        <f t="shared" si="31"/>
        <v>2684.3333333333335</v>
      </c>
      <c r="AJ196" s="1">
        <f t="shared" si="31"/>
        <v>4011.666666666667</v>
      </c>
      <c r="AK196" s="1">
        <f t="shared" si="31"/>
        <v>7033.333333333333</v>
      </c>
      <c r="AL196" s="1">
        <f t="shared" si="31"/>
        <v>3059</v>
      </c>
      <c r="AM196" s="1">
        <f t="shared" si="31"/>
        <v>1002.6666666666667</v>
      </c>
      <c r="AN196" s="1">
        <f t="shared" si="31"/>
        <v>17623</v>
      </c>
      <c r="AO196" s="1">
        <f t="shared" si="31"/>
        <v>3349.666666666667</v>
      </c>
      <c r="AP196" s="1">
        <f t="shared" si="31"/>
        <v>10129.333333333334</v>
      </c>
      <c r="AQ196" s="1">
        <f t="shared" si="31"/>
        <v>2553</v>
      </c>
      <c r="AR196" s="1">
        <f t="shared" si="31"/>
        <v>6172.666666666667</v>
      </c>
      <c r="AS196" s="1">
        <f t="shared" si="31"/>
        <v>3910</v>
      </c>
      <c r="AT196" s="1">
        <f t="shared" si="31"/>
        <v>5454.333333333333</v>
      </c>
      <c r="AU196" s="1">
        <f t="shared" si="31"/>
        <v>2418</v>
      </c>
      <c r="AV196" s="1">
        <f t="shared" si="31"/>
        <v>2799.6666666666665</v>
      </c>
      <c r="AW196" s="1">
        <f t="shared" si="31"/>
        <v>9330</v>
      </c>
      <c r="AX196" s="1">
        <f t="shared" si="31"/>
        <v>14367</v>
      </c>
      <c r="AY196" s="1">
        <f t="shared" si="31"/>
        <v>5377</v>
      </c>
      <c r="AZ196" s="1">
        <f t="shared" si="31"/>
        <v>911</v>
      </c>
      <c r="BA196" s="1">
        <f t="shared" si="31"/>
        <v>3193.3333333333335</v>
      </c>
      <c r="BB196" s="1">
        <f t="shared" si="31"/>
        <v>2082.3333333333335</v>
      </c>
      <c r="BC196" s="1">
        <f t="shared" si="31"/>
        <v>7922.666666666667</v>
      </c>
      <c r="BD196" s="1">
        <f t="shared" si="31"/>
        <v>3683.1369999999997</v>
      </c>
      <c r="BE196" s="1">
        <f t="shared" si="31"/>
        <v>4994.333333333333</v>
      </c>
    </row>
    <row r="198" spans="4:57" x14ac:dyDescent="0.2">
      <c r="D198" s="1" t="s">
        <v>134</v>
      </c>
      <c r="G198" s="1">
        <f>+G194/G192*G190</f>
        <v>1207.3115369419204</v>
      </c>
      <c r="H198" s="100">
        <f>+H194/H192*H190</f>
        <v>1297.2181410180701</v>
      </c>
      <c r="I198" s="1">
        <f t="shared" ref="I198:BA198" si="32">+I194/I192*I190</f>
        <v>5381.7829684717717</v>
      </c>
      <c r="J198" s="2">
        <f t="shared" si="32"/>
        <v>2387.0784374038758</v>
      </c>
      <c r="K198" s="100">
        <f t="shared" si="32"/>
        <v>1285.7477251333542</v>
      </c>
      <c r="L198" s="1">
        <f t="shared" si="32"/>
        <v>1237.8740444120858</v>
      </c>
      <c r="M198" s="2">
        <f t="shared" si="32"/>
        <v>2645.3526791927629</v>
      </c>
      <c r="N198" s="100">
        <f t="shared" si="32"/>
        <v>4347.0398613921261</v>
      </c>
      <c r="O198" s="100">
        <f t="shared" si="32"/>
        <v>1689.8404636322198</v>
      </c>
      <c r="P198" s="100">
        <f t="shared" si="32"/>
        <v>8720.8095883158949</v>
      </c>
      <c r="Q198" s="2">
        <f t="shared" si="32"/>
        <v>1776.4561975768875</v>
      </c>
      <c r="R198" s="100">
        <f t="shared" si="32"/>
        <v>2575.4855992567354</v>
      </c>
      <c r="S198" s="100">
        <f t="shared" si="32"/>
        <v>2244.7728279181711</v>
      </c>
      <c r="T198" s="2">
        <f t="shared" si="32"/>
        <v>2130.1505053537476</v>
      </c>
      <c r="U198" s="1">
        <f t="shared" si="32"/>
        <v>2168.7085735540263</v>
      </c>
      <c r="V198" s="1">
        <f t="shared" si="32"/>
        <v>2043.6533170284317</v>
      </c>
      <c r="W198" s="100">
        <f t="shared" si="32"/>
        <v>1623.0626746506985</v>
      </c>
      <c r="X198" s="1">
        <f t="shared" si="32"/>
        <v>1450.1998085666426</v>
      </c>
      <c r="Y198" s="100">
        <f t="shared" si="32"/>
        <v>22598.17419746819</v>
      </c>
      <c r="Z198" s="100">
        <f t="shared" si="32"/>
        <v>6385.9144237405108</v>
      </c>
      <c r="AA198" s="1">
        <f t="shared" si="32"/>
        <v>442.01085141903172</v>
      </c>
      <c r="AB198" s="2">
        <f t="shared" si="32"/>
        <v>1226.8582051715396</v>
      </c>
      <c r="AC198" s="1">
        <f t="shared" si="32"/>
        <v>2678.82768688036</v>
      </c>
      <c r="AD198" s="2">
        <f t="shared" si="32"/>
        <v>2694.3311726576312</v>
      </c>
      <c r="AE198" s="100">
        <f t="shared" si="32"/>
        <v>8213.6221205746879</v>
      </c>
      <c r="AF198" s="1">
        <f t="shared" si="32"/>
        <v>1766.3099565925124</v>
      </c>
      <c r="AG198" s="1">
        <f t="shared" si="32"/>
        <v>1411.3817687839612</v>
      </c>
      <c r="AH198" s="1">
        <f t="shared" si="32"/>
        <v>1402.4461518255846</v>
      </c>
      <c r="AI198" s="1">
        <f t="shared" si="32"/>
        <v>2448.9405892053305</v>
      </c>
      <c r="AJ198" s="1">
        <f t="shared" si="32"/>
        <v>2972.4688417249945</v>
      </c>
      <c r="AK198" s="1">
        <f t="shared" si="32"/>
        <v>1122.7232072807155</v>
      </c>
      <c r="AL198" s="1">
        <f t="shared" si="32"/>
        <v>1226.8582051715396</v>
      </c>
      <c r="AM198" s="100">
        <f t="shared" si="32"/>
        <v>1151.6821209698908</v>
      </c>
      <c r="AN198" s="1">
        <f t="shared" si="32"/>
        <v>1286.9628129875919</v>
      </c>
      <c r="AO198" s="100">
        <f t="shared" si="32"/>
        <v>2407.229507634243</v>
      </c>
      <c r="AP198" s="1">
        <f t="shared" si="32"/>
        <v>13330.967781502986</v>
      </c>
      <c r="AQ198" s="1">
        <f t="shared" si="32"/>
        <v>1017.5486677542142</v>
      </c>
      <c r="AR198" s="100">
        <f t="shared" si="32"/>
        <v>2559.0000581023764</v>
      </c>
      <c r="AS198" s="1">
        <f t="shared" si="32"/>
        <v>3164.9066320859579</v>
      </c>
      <c r="AT198" s="1">
        <f t="shared" si="32"/>
        <v>1776.7927709013591</v>
      </c>
      <c r="AU198" s="100">
        <f t="shared" si="32"/>
        <v>1163.2014466546111</v>
      </c>
      <c r="AV198" s="100">
        <f t="shared" si="32"/>
        <v>978.40066150913765</v>
      </c>
      <c r="AW198" s="100">
        <f t="shared" si="32"/>
        <v>2059.4669480955577</v>
      </c>
      <c r="AX198" s="100">
        <f t="shared" si="32"/>
        <v>3162.0835163080365</v>
      </c>
      <c r="AY198" s="1">
        <f t="shared" si="32"/>
        <v>2726.9795823305644</v>
      </c>
      <c r="AZ198" s="100">
        <f t="shared" si="32"/>
        <v>1596.0151150807283</v>
      </c>
      <c r="BA198" s="1">
        <f t="shared" si="32"/>
        <v>1852.6234903731142</v>
      </c>
      <c r="BB198" s="1">
        <f t="shared" ref="BB198" si="33">+BB194/BB192*BB190</f>
        <v>1185.7368522442691</v>
      </c>
      <c r="BC198" s="1">
        <f t="shared" ref="BC198:BE198" si="34">+BC194/BC192*BC190</f>
        <v>1607.4270449743435</v>
      </c>
      <c r="BD198" s="1">
        <f t="shared" si="34"/>
        <v>264.3234378006569</v>
      </c>
      <c r="BE198" s="1">
        <f t="shared" si="34"/>
        <v>241.73372587504088</v>
      </c>
    </row>
    <row r="200" spans="4:57" x14ac:dyDescent="0.2">
      <c r="D200" s="1" t="s">
        <v>135</v>
      </c>
      <c r="G200" s="1">
        <f>+G196/G192*G190</f>
        <v>1213.6884630580796</v>
      </c>
      <c r="H200" s="100">
        <f>+H196/H192*H190</f>
        <v>1348.7818589819296</v>
      </c>
      <c r="I200" s="1">
        <f t="shared" ref="I200:BA200" si="35">+I196/I192*I190</f>
        <v>2064.2170315282292</v>
      </c>
      <c r="J200" s="2">
        <f t="shared" si="35"/>
        <v>990.92156259612432</v>
      </c>
      <c r="K200" s="100">
        <f t="shared" si="35"/>
        <v>963.25227486664585</v>
      </c>
      <c r="L200" s="1">
        <f t="shared" si="35"/>
        <v>1342.1259555879139</v>
      </c>
      <c r="M200" s="2">
        <f t="shared" si="35"/>
        <v>1040.6473208072375</v>
      </c>
      <c r="N200" s="100">
        <f t="shared" si="35"/>
        <v>2643.9601386078748</v>
      </c>
      <c r="O200" s="100">
        <f t="shared" si="35"/>
        <v>1002.15953636778</v>
      </c>
      <c r="P200" s="100">
        <f t="shared" si="35"/>
        <v>7544.1904116841051</v>
      </c>
      <c r="Q200" s="2">
        <f t="shared" si="35"/>
        <v>1493.5438024231128</v>
      </c>
      <c r="R200" s="100">
        <f t="shared" si="35"/>
        <v>2122.5144007432641</v>
      </c>
      <c r="S200" s="100">
        <f t="shared" si="35"/>
        <v>2184.2271720818289</v>
      </c>
      <c r="T200" s="2">
        <f t="shared" si="35"/>
        <v>1322.8494946462524</v>
      </c>
      <c r="U200" s="1">
        <f t="shared" si="35"/>
        <v>1905.2914264459737</v>
      </c>
      <c r="V200" s="1">
        <f t="shared" si="35"/>
        <v>1694.3466829715685</v>
      </c>
      <c r="W200" s="100">
        <f t="shared" si="35"/>
        <v>1007.9373253493014</v>
      </c>
      <c r="X200" s="1">
        <f t="shared" si="35"/>
        <v>814.80019143335721</v>
      </c>
      <c r="Y200" s="100">
        <f t="shared" si="35"/>
        <v>17115.825802531817</v>
      </c>
      <c r="Z200" s="100">
        <f t="shared" si="35"/>
        <v>2449.0855762594897</v>
      </c>
      <c r="AA200" s="1">
        <f t="shared" si="35"/>
        <v>376.98914858096828</v>
      </c>
      <c r="AB200" s="2">
        <f t="shared" si="35"/>
        <v>1313.1417948284604</v>
      </c>
      <c r="AC200" s="1">
        <f t="shared" si="35"/>
        <v>2087.17231311964</v>
      </c>
      <c r="AD200" s="2">
        <f t="shared" si="35"/>
        <v>929.6688273423689</v>
      </c>
      <c r="AE200" s="100">
        <f t="shared" si="35"/>
        <v>5902.377879425313</v>
      </c>
      <c r="AF200" s="1">
        <f t="shared" si="35"/>
        <v>1380.6900434074878</v>
      </c>
      <c r="AG200" s="1">
        <f t="shared" si="35"/>
        <v>1266.6182312160388</v>
      </c>
      <c r="AH200" s="1">
        <f t="shared" si="35"/>
        <v>1122.5538481744156</v>
      </c>
      <c r="AI200" s="1">
        <f t="shared" si="35"/>
        <v>1371.0594107946697</v>
      </c>
      <c r="AJ200" s="1">
        <f t="shared" si="35"/>
        <v>2460.531158275006</v>
      </c>
      <c r="AK200" s="1">
        <f t="shared" si="35"/>
        <v>1382.2767927192845</v>
      </c>
      <c r="AL200" s="1">
        <f t="shared" si="35"/>
        <v>1313.1417948284604</v>
      </c>
      <c r="AM200" s="100">
        <f t="shared" si="35"/>
        <v>491.31468158806297</v>
      </c>
      <c r="AN200" s="1">
        <f t="shared" si="35"/>
        <v>2440.0371870124081</v>
      </c>
      <c r="AO200" s="100">
        <f t="shared" si="35"/>
        <v>1266.7704923657575</v>
      </c>
      <c r="AP200" s="1">
        <f t="shared" si="35"/>
        <v>9424.0322184970155</v>
      </c>
      <c r="AQ200" s="1">
        <f t="shared" si="35"/>
        <v>876.45133224578569</v>
      </c>
      <c r="AR200" s="100">
        <f t="shared" si="35"/>
        <v>1430.9999418976238</v>
      </c>
      <c r="AS200" s="1">
        <f t="shared" si="35"/>
        <v>1797.0933679140421</v>
      </c>
      <c r="AT200" s="1">
        <f t="shared" si="35"/>
        <v>1256.2072290986407</v>
      </c>
      <c r="AU200" s="100">
        <f t="shared" si="35"/>
        <v>903.79855334538877</v>
      </c>
      <c r="AV200" s="100">
        <f t="shared" si="35"/>
        <v>870.59933849086224</v>
      </c>
      <c r="AW200" s="100">
        <f t="shared" si="35"/>
        <v>1668.5330519044421</v>
      </c>
      <c r="AX200" s="100">
        <f t="shared" si="35"/>
        <v>4252.9164836919635</v>
      </c>
      <c r="AY200" s="1">
        <f t="shared" si="35"/>
        <v>1954.0204176694356</v>
      </c>
      <c r="AZ200" s="100">
        <f t="shared" si="35"/>
        <v>726.98488491927174</v>
      </c>
      <c r="BA200" s="1">
        <f t="shared" si="35"/>
        <v>1086.3765096268858</v>
      </c>
      <c r="BB200" s="1">
        <f t="shared" ref="BB200" si="36">+BB196/BB192*BB190</f>
        <v>794.26314775573121</v>
      </c>
      <c r="BC200" s="1">
        <f t="shared" ref="BC200:BE200" si="37">+BC196/BC192*BC190</f>
        <v>1473.5729550256565</v>
      </c>
      <c r="BD200" s="1">
        <f t="shared" si="37"/>
        <v>214.96256219934298</v>
      </c>
      <c r="BE200" s="1">
        <f t="shared" si="37"/>
        <v>1078.266274124959</v>
      </c>
    </row>
    <row r="202" spans="4:57" x14ac:dyDescent="0.2">
      <c r="D202" s="1" t="s">
        <v>136</v>
      </c>
      <c r="G202" s="1">
        <f>+G198+G194</f>
        <v>3731.6448702752541</v>
      </c>
      <c r="H202" s="100">
        <f t="shared" ref="H202:AZ202" si="38">+H198+H194</f>
        <v>5448.2181410180701</v>
      </c>
      <c r="I202" s="1">
        <f t="shared" si="38"/>
        <v>19182.44963513844</v>
      </c>
      <c r="J202" s="2">
        <f t="shared" si="38"/>
        <v>9279.0784374038758</v>
      </c>
      <c r="K202" s="100">
        <f t="shared" si="38"/>
        <v>3107.7477251333539</v>
      </c>
      <c r="L202" s="1">
        <f t="shared" si="38"/>
        <v>3873.8740444120858</v>
      </c>
      <c r="M202" s="2">
        <f t="shared" si="38"/>
        <v>9520.6860125260973</v>
      </c>
      <c r="N202" s="100">
        <f t="shared" si="38"/>
        <v>22171.706528058792</v>
      </c>
      <c r="O202" s="100">
        <f t="shared" si="38"/>
        <v>4903.1737969655533</v>
      </c>
      <c r="P202" s="100">
        <f t="shared" si="38"/>
        <v>20199.142921649229</v>
      </c>
      <c r="Q202" s="2">
        <f t="shared" si="38"/>
        <v>6439.7895309102214</v>
      </c>
      <c r="R202" s="100">
        <f t="shared" si="38"/>
        <v>16736.818932590068</v>
      </c>
      <c r="S202" s="100">
        <f t="shared" si="38"/>
        <v>9264.439494584838</v>
      </c>
      <c r="T202" s="2">
        <f t="shared" si="38"/>
        <v>8294.8171720204155</v>
      </c>
      <c r="U202" s="1">
        <f t="shared" si="38"/>
        <v>10755.708573554026</v>
      </c>
      <c r="V202" s="1">
        <f t="shared" si="38"/>
        <v>5620.319983695098</v>
      </c>
      <c r="W202" s="100">
        <f t="shared" si="38"/>
        <v>6259.0626746506987</v>
      </c>
      <c r="X202" s="1">
        <f t="shared" si="38"/>
        <v>4125.8664752333088</v>
      </c>
      <c r="Y202" s="100">
        <f t="shared" si="38"/>
        <v>90966.840864134865</v>
      </c>
      <c r="Z202" s="100">
        <f t="shared" si="38"/>
        <v>46184.581090407177</v>
      </c>
      <c r="AA202" s="1">
        <f t="shared" si="38"/>
        <v>2381.6775180856985</v>
      </c>
      <c r="AB202" s="2">
        <f t="shared" si="38"/>
        <v>4084.8582051715393</v>
      </c>
      <c r="AC202" s="1">
        <f t="shared" si="38"/>
        <v>11919.82768688036</v>
      </c>
      <c r="AD202" s="2">
        <f t="shared" si="38"/>
        <v>6479.3311726576312</v>
      </c>
      <c r="AE202" s="100">
        <f t="shared" si="38"/>
        <v>67751.955453908013</v>
      </c>
      <c r="AF202" s="1">
        <f t="shared" si="38"/>
        <v>5903.9766232591792</v>
      </c>
      <c r="AG202" s="1">
        <f t="shared" si="38"/>
        <v>5161.7151021172949</v>
      </c>
      <c r="AH202" s="1">
        <f t="shared" si="38"/>
        <v>5631.4461518255848</v>
      </c>
      <c r="AI202" s="1">
        <f t="shared" si="38"/>
        <v>7243.607255871997</v>
      </c>
      <c r="AJ202" s="1">
        <f t="shared" si="38"/>
        <v>7818.8021750583284</v>
      </c>
      <c r="AK202" s="1">
        <f t="shared" si="38"/>
        <v>6835.3898739473825</v>
      </c>
      <c r="AL202" s="1">
        <f t="shared" si="38"/>
        <v>4084.8582051715393</v>
      </c>
      <c r="AM202" s="100">
        <f t="shared" si="38"/>
        <v>3502.015454303224</v>
      </c>
      <c r="AN202" s="1">
        <f t="shared" si="38"/>
        <v>10581.962812987593</v>
      </c>
      <c r="AO202" s="100">
        <f t="shared" si="38"/>
        <v>8772.5628409675774</v>
      </c>
      <c r="AP202" s="1">
        <f t="shared" si="38"/>
        <v>27659.634448169654</v>
      </c>
      <c r="AQ202" s="1">
        <f t="shared" si="38"/>
        <v>3981.548667754214</v>
      </c>
      <c r="AR202" s="100">
        <f t="shared" si="38"/>
        <v>13597.33339143571</v>
      </c>
      <c r="AS202" s="1">
        <f>+AS198+AS194</f>
        <v>10050.906632085958</v>
      </c>
      <c r="AT202" s="1">
        <f t="shared" si="38"/>
        <v>9491.4594375680244</v>
      </c>
      <c r="AU202" s="100">
        <f t="shared" si="38"/>
        <v>4275.2014466546116</v>
      </c>
      <c r="AV202" s="100">
        <f t="shared" si="38"/>
        <v>4124.7339948424706</v>
      </c>
      <c r="AW202" s="100">
        <f t="shared" si="38"/>
        <v>13575.466948095558</v>
      </c>
      <c r="AX202" s="100">
        <f t="shared" si="38"/>
        <v>13844.083516308037</v>
      </c>
      <c r="AY202" s="1">
        <f t="shared" si="38"/>
        <v>10230.979582330565</v>
      </c>
      <c r="AZ202" s="100">
        <f t="shared" si="38"/>
        <v>3596.0151150807283</v>
      </c>
      <c r="BA202" s="1">
        <f>+BA198+BA194</f>
        <v>7298.2901570397808</v>
      </c>
      <c r="BB202" s="1">
        <f t="shared" ref="BB202" si="39">+BB198+BB194</f>
        <v>4294.4035189109363</v>
      </c>
      <c r="BC202" s="1">
        <f t="shared" ref="BC202:BE202" si="40">+BC198+BC194</f>
        <v>10249.760378307677</v>
      </c>
      <c r="BD202" s="1">
        <f t="shared" si="40"/>
        <v>4793.2024378006563</v>
      </c>
      <c r="BE202" s="1">
        <f t="shared" si="40"/>
        <v>1361.4003925417073</v>
      </c>
    </row>
    <row r="204" spans="4:57" x14ac:dyDescent="0.2">
      <c r="D204" s="1" t="s">
        <v>137</v>
      </c>
      <c r="G204" s="1">
        <f>+G200+G196</f>
        <v>3751.3551297247459</v>
      </c>
      <c r="H204" s="100">
        <f t="shared" ref="H204:BA204" si="41">+H200+H196</f>
        <v>5664.7818589819299</v>
      </c>
      <c r="I204" s="1">
        <f t="shared" si="41"/>
        <v>7357.5503648615631</v>
      </c>
      <c r="J204" s="2">
        <f t="shared" si="41"/>
        <v>3851.9215625961242</v>
      </c>
      <c r="K204" s="100">
        <f t="shared" si="41"/>
        <v>2328.2522748666461</v>
      </c>
      <c r="L204" s="1">
        <f t="shared" si="41"/>
        <v>4200.1259555879142</v>
      </c>
      <c r="M204" s="2">
        <f t="shared" si="41"/>
        <v>3745.3139874739045</v>
      </c>
      <c r="N204" s="100">
        <f t="shared" si="41"/>
        <v>13485.293471941208</v>
      </c>
      <c r="O204" s="100">
        <f t="shared" si="41"/>
        <v>2907.8262030344467</v>
      </c>
      <c r="P204" s="100">
        <f t="shared" si="41"/>
        <v>17473.857078350771</v>
      </c>
      <c r="Q204" s="2">
        <f t="shared" si="41"/>
        <v>5414.2104690897795</v>
      </c>
      <c r="R204" s="100">
        <f t="shared" si="41"/>
        <v>13793.181067409931</v>
      </c>
      <c r="S204" s="100">
        <f t="shared" si="41"/>
        <v>9014.560505415162</v>
      </c>
      <c r="T204" s="2">
        <f t="shared" si="41"/>
        <v>5151.1828279795864</v>
      </c>
      <c r="U204" s="1">
        <f t="shared" si="41"/>
        <v>9449.2914264459741</v>
      </c>
      <c r="V204" s="1">
        <f t="shared" si="41"/>
        <v>4659.680016304902</v>
      </c>
      <c r="W204" s="100">
        <f t="shared" si="41"/>
        <v>3886.9373253493013</v>
      </c>
      <c r="X204" s="1">
        <f t="shared" si="41"/>
        <v>2318.1335247666902</v>
      </c>
      <c r="Y204" s="100">
        <f t="shared" si="41"/>
        <v>68898.159135865149</v>
      </c>
      <c r="Z204" s="100">
        <f t="shared" si="41"/>
        <v>17712.418909592823</v>
      </c>
      <c r="AA204" s="1">
        <f t="shared" si="41"/>
        <v>2031.3224819143015</v>
      </c>
      <c r="AB204" s="2">
        <f t="shared" si="41"/>
        <v>4372.1417948284607</v>
      </c>
      <c r="AC204" s="1">
        <f t="shared" si="41"/>
        <v>9287.1723131196395</v>
      </c>
      <c r="AD204" s="2">
        <f t="shared" si="41"/>
        <v>2235.6688273423688</v>
      </c>
      <c r="AE204" s="100">
        <f t="shared" si="41"/>
        <v>48687.124546091974</v>
      </c>
      <c r="AF204" s="1">
        <f t="shared" si="41"/>
        <v>4615.0233767408208</v>
      </c>
      <c r="AG204" s="1">
        <f t="shared" si="41"/>
        <v>4632.2848978827051</v>
      </c>
      <c r="AH204" s="1">
        <f t="shared" si="41"/>
        <v>4507.5538481744152</v>
      </c>
      <c r="AI204" s="1">
        <f t="shared" si="41"/>
        <v>4055.392744128003</v>
      </c>
      <c r="AJ204" s="1">
        <f>+AJ200+AJ196</f>
        <v>6472.1978249416734</v>
      </c>
      <c r="AK204" s="1">
        <f>+AK200+AK196</f>
        <v>8415.6101260526175</v>
      </c>
      <c r="AL204" s="1">
        <f t="shared" si="41"/>
        <v>4372.1417948284607</v>
      </c>
      <c r="AM204" s="100">
        <f t="shared" si="41"/>
        <v>1493.9813482547297</v>
      </c>
      <c r="AN204" s="1">
        <f t="shared" si="41"/>
        <v>20063.037187012407</v>
      </c>
      <c r="AO204" s="100">
        <f t="shared" si="41"/>
        <v>4616.4371590324245</v>
      </c>
      <c r="AP204" s="1">
        <f t="shared" si="41"/>
        <v>19553.365551830349</v>
      </c>
      <c r="AQ204" s="1">
        <f t="shared" si="41"/>
        <v>3429.4513322457856</v>
      </c>
      <c r="AR204" s="100">
        <f>+AR200+AR196</f>
        <v>7603.666608564291</v>
      </c>
      <c r="AS204" s="1">
        <f t="shared" si="41"/>
        <v>5707.0933679140417</v>
      </c>
      <c r="AT204" s="1">
        <f t="shared" si="41"/>
        <v>6710.5405624319737</v>
      </c>
      <c r="AU204" s="100">
        <f t="shared" si="41"/>
        <v>3321.7985533453889</v>
      </c>
      <c r="AV204" s="100">
        <f t="shared" si="41"/>
        <v>3670.2660051575285</v>
      </c>
      <c r="AW204" s="100">
        <f t="shared" si="41"/>
        <v>10998.533051904442</v>
      </c>
      <c r="AX204" s="100">
        <f>+AX200+AX196</f>
        <v>18619.916483691963</v>
      </c>
      <c r="AY204" s="1">
        <f t="shared" si="41"/>
        <v>7331.0204176694351</v>
      </c>
      <c r="AZ204" s="100">
        <f t="shared" si="41"/>
        <v>1637.9848849192717</v>
      </c>
      <c r="BA204" s="1">
        <f t="shared" si="41"/>
        <v>4279.7098429602192</v>
      </c>
      <c r="BB204" s="1">
        <f t="shared" ref="BB204" si="42">+BB200+BB196</f>
        <v>2876.5964810890646</v>
      </c>
      <c r="BC204" s="1">
        <f t="shared" ref="BC204:BE204" si="43">+BC200+BC196</f>
        <v>9396.2396216923225</v>
      </c>
      <c r="BD204" s="1">
        <f t="shared" si="43"/>
        <v>3898.0995621993425</v>
      </c>
      <c r="BE204" s="1">
        <f t="shared" si="43"/>
        <v>6072.5996074582918</v>
      </c>
    </row>
    <row r="206" spans="4:57" s="85" customFormat="1" ht="15" x14ac:dyDescent="0.25">
      <c r="D206" s="85" t="s">
        <v>138</v>
      </c>
      <c r="G206" s="86">
        <f>+G202/G210</f>
        <v>2.1334510713294828</v>
      </c>
      <c r="H206" s="120">
        <f t="shared" ref="H206:AK206" si="44">+H202/H210</f>
        <v>1.070276966494889</v>
      </c>
      <c r="I206" s="86">
        <f t="shared" si="44"/>
        <v>2.2104355920806498</v>
      </c>
      <c r="J206" s="87">
        <f t="shared" si="44"/>
        <v>1.6484487475881717</v>
      </c>
      <c r="K206" s="120">
        <f t="shared" si="44"/>
        <v>0.99091135697429733</v>
      </c>
      <c r="L206" s="86">
        <f t="shared" si="44"/>
        <v>1.6289649153163364</v>
      </c>
      <c r="M206" s="87">
        <f t="shared" si="44"/>
        <v>1.3599913396115215</v>
      </c>
      <c r="N206" s="120">
        <f>+N202/N210</f>
        <v>1.0970459932704251</v>
      </c>
      <c r="O206" s="120">
        <f t="shared" si="44"/>
        <v>1.4288193984325661</v>
      </c>
      <c r="P206" s="120">
        <f t="shared" si="44"/>
        <v>1.0884222107283015</v>
      </c>
      <c r="Q206" s="87">
        <f t="shared" si="44"/>
        <v>1.1996951353772078</v>
      </c>
      <c r="R206" s="120">
        <f t="shared" si="44"/>
        <v>1.1519400307854997</v>
      </c>
      <c r="S206" s="120">
        <f t="shared" si="44"/>
        <v>0.81960412579838504</v>
      </c>
      <c r="T206" s="87">
        <f t="shared" si="44"/>
        <v>1.5271001674637863</v>
      </c>
      <c r="U206" s="86">
        <f t="shared" si="44"/>
        <v>1.0692212867440729</v>
      </c>
      <c r="V206" s="86">
        <f t="shared" si="44"/>
        <v>0.91563893682697006</v>
      </c>
      <c r="W206" s="120">
        <f t="shared" si="44"/>
        <v>1.2963112711988365</v>
      </c>
      <c r="X206" s="86">
        <f t="shared" si="44"/>
        <v>1.2930426897265621</v>
      </c>
      <c r="Y206" s="120">
        <f t="shared" si="44"/>
        <v>1.5235704698530734</v>
      </c>
      <c r="Z206" s="120">
        <f t="shared" si="44"/>
        <v>1.9671364520359642</v>
      </c>
      <c r="AA206" s="86">
        <f t="shared" si="44"/>
        <v>0.92969453646020206</v>
      </c>
      <c r="AB206" s="87">
        <f t="shared" si="44"/>
        <v>1.0761855722295861</v>
      </c>
      <c r="AC206" s="86">
        <f t="shared" si="44"/>
        <v>1.2436826567282286</v>
      </c>
      <c r="AD206" s="87">
        <f t="shared" si="44"/>
        <v>1.7856421679541239</v>
      </c>
      <c r="AE206" s="120">
        <f t="shared" si="44"/>
        <v>1.5272115651482665</v>
      </c>
      <c r="AF206" s="86">
        <f t="shared" si="44"/>
        <v>0.78314769625251979</v>
      </c>
      <c r="AG206" s="86">
        <f t="shared" si="44"/>
        <v>1.2285971659581481</v>
      </c>
      <c r="AH206" s="86">
        <f t="shared" si="44"/>
        <v>1.0613206962107173</v>
      </c>
      <c r="AI206" s="86">
        <f t="shared" si="44"/>
        <v>1.6905798638948732</v>
      </c>
      <c r="AJ206" s="86">
        <f t="shared" si="44"/>
        <v>1.4965420515334018</v>
      </c>
      <c r="AK206" s="86">
        <f t="shared" si="44"/>
        <v>0.94142480117545135</v>
      </c>
      <c r="AL206" s="86">
        <f>+AL202/AL210</f>
        <v>1.0761855722295861</v>
      </c>
      <c r="AM206" s="120">
        <f t="shared" ref="AM206:AN206" si="45">+AM202/AM210</f>
        <v>1.2733555185294678</v>
      </c>
      <c r="AN206" s="86">
        <f t="shared" si="45"/>
        <v>1.1968910597949503</v>
      </c>
      <c r="AO206" s="120">
        <f>+AO202/AO210</f>
        <v>1.4215357338819221</v>
      </c>
      <c r="AP206" s="86">
        <f>+AP202/AP210</f>
        <v>1.5389493960027658</v>
      </c>
      <c r="AQ206" s="86">
        <f>+AQ202/AQ210</f>
        <v>1.104101101801013</v>
      </c>
      <c r="AR206" s="145">
        <f>+AR202/AR210</f>
        <v>1.3332969930252647</v>
      </c>
      <c r="AS206" s="86">
        <f>+AS202/AS210</f>
        <v>1.5540302469086413</v>
      </c>
      <c r="AT206" s="86">
        <f t="shared" ref="AT206:AZ206" si="46">+AT202/AT210</f>
        <v>1.2682699245860249</v>
      </c>
      <c r="AU206" s="120">
        <f t="shared" si="46"/>
        <v>1.0513738402613215</v>
      </c>
      <c r="AV206" s="120">
        <f t="shared" si="46"/>
        <v>1.2090392119904767</v>
      </c>
      <c r="AW206" s="120">
        <f t="shared" si="46"/>
        <v>0.89912948370982826</v>
      </c>
      <c r="AX206" s="120">
        <f t="shared" si="46"/>
        <v>0.8279080298226914</v>
      </c>
      <c r="AY206" s="86">
        <f t="shared" si="46"/>
        <v>1.1464782822368871</v>
      </c>
      <c r="AZ206" s="120">
        <f t="shared" si="46"/>
        <v>0.70856086397574836</v>
      </c>
      <c r="BA206" s="86">
        <f>+BA202/BA210</f>
        <v>1.712068655736992</v>
      </c>
      <c r="BB206" s="86">
        <f t="shared" ref="BB206" si="47">+BB202/BB210</f>
        <v>1.3380325786584029</v>
      </c>
      <c r="BC206" s="86">
        <f t="shared" ref="BC206" si="48">+BC202/BC210</f>
        <v>0.83199078362438905</v>
      </c>
      <c r="BD206" s="86">
        <f>+BD202/BD210</f>
        <v>1.099246163591252</v>
      </c>
      <c r="BE206" s="86">
        <f t="shared" ref="BE206" si="49">+BE202/BE210</f>
        <v>1.3378817689257614</v>
      </c>
    </row>
    <row r="207" spans="4:57" x14ac:dyDescent="0.2">
      <c r="AR207" s="136"/>
    </row>
    <row r="208" spans="4:57" s="85" customFormat="1" ht="15" x14ac:dyDescent="0.25">
      <c r="D208" s="85" t="s">
        <v>139</v>
      </c>
      <c r="G208" s="86">
        <f>+G204/G212</f>
        <v>2.4346169165680704</v>
      </c>
      <c r="H208" s="120">
        <f t="shared" ref="H208:BA208" si="50">+H204/H212</f>
        <v>1.1333804827730394</v>
      </c>
      <c r="I208" s="86">
        <f t="shared" si="50"/>
        <v>0.8667544899061419</v>
      </c>
      <c r="J208" s="87">
        <f t="shared" si="50"/>
        <v>0.75136911380842952</v>
      </c>
      <c r="K208" s="120">
        <f t="shared" si="50"/>
        <v>0.79543490161886465</v>
      </c>
      <c r="L208" s="86">
        <f t="shared" si="50"/>
        <v>1.8477450731961882</v>
      </c>
      <c r="M208" s="87">
        <f t="shared" si="50"/>
        <v>0.55406208665720347</v>
      </c>
      <c r="N208" s="120">
        <f t="shared" si="50"/>
        <v>0.712390118629323</v>
      </c>
      <c r="O208" s="120">
        <f t="shared" si="50"/>
        <v>0.91113867903141754</v>
      </c>
      <c r="P208" s="120">
        <f t="shared" si="50"/>
        <v>0.99772378928652461</v>
      </c>
      <c r="Q208" s="87">
        <f t="shared" si="50"/>
        <v>1.0351169898824364</v>
      </c>
      <c r="R208" s="120">
        <f t="shared" si="50"/>
        <v>1.0538876212357844</v>
      </c>
      <c r="S208" s="120">
        <f t="shared" si="50"/>
        <v>0.88679711684071583</v>
      </c>
      <c r="T208" s="87">
        <f t="shared" si="50"/>
        <v>1.1973761466264377</v>
      </c>
      <c r="U208" s="86">
        <f t="shared" si="50"/>
        <v>1.0081445438215655</v>
      </c>
      <c r="V208" s="86">
        <f t="shared" si="50"/>
        <v>0.80172441365229152</v>
      </c>
      <c r="W208" s="120">
        <f t="shared" si="50"/>
        <v>0.84156814481122788</v>
      </c>
      <c r="X208" s="86">
        <f t="shared" si="50"/>
        <v>0.7632788295726477</v>
      </c>
      <c r="Y208" s="120">
        <f t="shared" si="50"/>
        <v>1.188932149502586</v>
      </c>
      <c r="Z208" s="120">
        <f t="shared" si="50"/>
        <v>0.7758334179622135</v>
      </c>
      <c r="AA208" s="86">
        <f t="shared" si="50"/>
        <v>0.86972488427529371</v>
      </c>
      <c r="AB208" s="87">
        <f t="shared" si="50"/>
        <v>1.2420289284576647</v>
      </c>
      <c r="AC208" s="86">
        <f t="shared" si="50"/>
        <v>0.98758888620178165</v>
      </c>
      <c r="AD208" s="87">
        <f t="shared" si="50"/>
        <v>0.64110291407872932</v>
      </c>
      <c r="AE208" s="120">
        <f t="shared" si="50"/>
        <v>1.1675745831673709</v>
      </c>
      <c r="AF208" s="86">
        <f t="shared" si="50"/>
        <v>0.62156821023213538</v>
      </c>
      <c r="AG208" s="86">
        <f t="shared" si="50"/>
        <v>1.1060429634690903</v>
      </c>
      <c r="AH208" s="86">
        <f t="shared" si="50"/>
        <v>0.86308848684816586</v>
      </c>
      <c r="AI208" s="86">
        <f t="shared" si="50"/>
        <v>0.96890967103458114</v>
      </c>
      <c r="AJ208" s="86">
        <f>+AJ204/AJ212</f>
        <v>1.2843466552328531</v>
      </c>
      <c r="AK208" s="86">
        <f>+AK204/AK212</f>
        <v>1.3142051807401018</v>
      </c>
      <c r="AL208" s="86">
        <f t="shared" si="50"/>
        <v>1.2420289284576647</v>
      </c>
      <c r="AM208" s="120">
        <f t="shared" si="50"/>
        <v>0.58097231568373775</v>
      </c>
      <c r="AN208" s="86">
        <f t="shared" si="50"/>
        <v>2.3984159446621693</v>
      </c>
      <c r="AO208" s="120">
        <f t="shared" si="50"/>
        <v>0.82755548256156952</v>
      </c>
      <c r="AP208" s="86">
        <f t="shared" si="50"/>
        <v>1.1265573661134303</v>
      </c>
      <c r="AQ208" s="86">
        <f t="shared" si="50"/>
        <v>1.0163150085573147</v>
      </c>
      <c r="AR208" s="145">
        <f>+AR204/AR212</f>
        <v>0.75491354287943946</v>
      </c>
      <c r="AS208" s="86">
        <f t="shared" si="50"/>
        <v>0.97732619229259665</v>
      </c>
      <c r="AT208" s="86">
        <f t="shared" si="50"/>
        <v>0.92321334944703481</v>
      </c>
      <c r="AU208" s="120">
        <f t="shared" si="50"/>
        <v>0.89104181856123932</v>
      </c>
      <c r="AV208" s="120">
        <f t="shared" si="50"/>
        <v>1.1386961741829218</v>
      </c>
      <c r="AW208" s="120">
        <f t="shared" si="50"/>
        <v>0.76099527462028305</v>
      </c>
      <c r="AX208" s="120">
        <f>+AX204/AX212</f>
        <v>1.2026718090068484</v>
      </c>
      <c r="AY208" s="86">
        <f t="shared" si="50"/>
        <v>0.8279179359173916</v>
      </c>
      <c r="AZ208" s="120">
        <f t="shared" si="50"/>
        <v>0.32437213410104859</v>
      </c>
      <c r="BA208" s="86">
        <f t="shared" si="50"/>
        <v>1.1664678384540252</v>
      </c>
      <c r="BB208" s="86">
        <f t="shared" ref="BB208" si="51">+BB204/BB212</f>
        <v>0.95269047162278664</v>
      </c>
      <c r="BC208" s="86">
        <f t="shared" ref="BC208" si="52">+BC204/BC212</f>
        <v>0.81203127447913037</v>
      </c>
      <c r="BD208" s="86">
        <f t="shared" ref="BD208" si="53">+BD204/BD212</f>
        <v>0.9371681948431444</v>
      </c>
      <c r="BE208" s="86">
        <f>+BE204/BE212</f>
        <v>0.81174383341569278</v>
      </c>
    </row>
    <row r="210" spans="4:57" ht="15" x14ac:dyDescent="0.25">
      <c r="D210" s="1" t="s">
        <v>181</v>
      </c>
      <c r="G210" s="1">
        <f>+VLOOKUP(G2,'נתוני מים 2011'!$C:$Q,6,0)/1000</f>
        <v>1749.1120000000001</v>
      </c>
      <c r="H210" s="100">
        <f>+VLOOKUP(H2,'נתוני מים 2011'!$C:$Q,6,0)/1000</f>
        <v>5090.4750000000004</v>
      </c>
      <c r="I210" s="1">
        <f>+VLOOKUP(I2,'נתוני מים 2011'!$C:$Q,6,0)/1000</f>
        <v>8678.1309999999994</v>
      </c>
      <c r="J210" s="1">
        <f>+VLOOKUP(J2,'נתוני מים 2011'!$C:$Q,6,0)/1000</f>
        <v>5628.9759999999997</v>
      </c>
      <c r="K210" s="100">
        <f>+VLOOKUP(K2,'נתוני מים 2011'!$C:$Q,6,0)/1000</f>
        <v>3136.252</v>
      </c>
      <c r="L210" s="1">
        <f>+VLOOKUP(L2,'נתוני מים 2011'!$C:$Q,6,0)/1000</f>
        <v>2378.12</v>
      </c>
      <c r="M210" s="1">
        <f>+VLOOKUP(M2,'נתוני מים 2011'!$C:$Q,6,0)/1000</f>
        <v>7000.549</v>
      </c>
      <c r="N210" s="100">
        <f>+VLOOKUP(N2,'נתוני מים 2011'!$C:$Q,6,0)/1000</f>
        <v>20210.370999999999</v>
      </c>
      <c r="O210" s="100">
        <f>+VLOOKUP(O2,'נתוני מים 2011'!$C:$Q,6,0)/1000</f>
        <v>3431.6260000000002</v>
      </c>
      <c r="P210" s="100">
        <f>+VLOOKUP(P2,'נתוני מים 2011'!$C:$Q,6,0)/1000</f>
        <v>18558.187000000002</v>
      </c>
      <c r="Q210" s="1">
        <f>+VLOOKUP(Q2,'נתוני מים 2011'!$C:$Q,6,0)/1000</f>
        <v>5367.8549999999996</v>
      </c>
      <c r="R210" s="100">
        <f>+VLOOKUP(R2,'נתוני מים 2011'!$C:$Q,6,0)/1000</f>
        <v>14529.245000000001</v>
      </c>
      <c r="S210" s="100">
        <f>+VLOOKUP(S2,'נתוני מים 2011'!$C:$Q,6,0)/1000</f>
        <v>11303.554</v>
      </c>
      <c r="T210" s="1">
        <f>+VLOOKUP(T2,'נתוני מים 2011'!$C:$Q,6,0)/1000</f>
        <v>5431.7439999999997</v>
      </c>
      <c r="U210" s="1">
        <f>+VLOOKUP(U2,'נתוני מים 2011'!$C:$Q,6,0)/1000</f>
        <v>10059.385</v>
      </c>
      <c r="V210" s="1">
        <f>+VLOOKUP(V2,'נתוני מים 2011'!$C:$Q,6,0)/1000</f>
        <v>6138.14</v>
      </c>
      <c r="W210" s="100">
        <f>+VLOOKUP(W2,'נתוני מים 2011'!$C:$Q,6,0)/1000</f>
        <v>4828.3639999999996</v>
      </c>
      <c r="X210" s="1">
        <f>+VLOOKUP(X2,'נתוני מים 2011'!$C:$Q,6,0)/1000</f>
        <v>3190.82</v>
      </c>
      <c r="Y210" s="100">
        <f>+VLOOKUP(Y2,'נתוני מים 2011'!$C:$Q,6,0)/1000</f>
        <v>59706.356</v>
      </c>
      <c r="Z210" s="100">
        <f>+VLOOKUP(Z2,'נתוני מים 2011'!$C:$Q,6,0)/1000</f>
        <v>23478.077000000001</v>
      </c>
      <c r="AA210" s="1">
        <f>+VLOOKUP(AA2,'נתוני מים 2011'!$C:$Q,6,0)/1000</f>
        <v>2561.7849999999999</v>
      </c>
      <c r="AB210" s="1">
        <f>+VLOOKUP(AB2,'נתוני מים 2011'!$C:$Q,6,0)/1000</f>
        <v>3795.6819999999998</v>
      </c>
      <c r="AC210" s="1">
        <f>+VLOOKUP(AC2,'נתוני מים 2011'!$C:$Q,6,0)/1000</f>
        <v>9584.2999999999993</v>
      </c>
      <c r="AD210" s="1">
        <f>+VLOOKUP(AD2,'נתוני מים 2011'!$C:$Q,6,0)/1000</f>
        <v>3628.5720000000001</v>
      </c>
      <c r="AE210" s="100">
        <f>+VLOOKUP(AE2,'נתוני מים 2011'!$C:$Q,6,0)/1000</f>
        <v>44363.175999999999</v>
      </c>
      <c r="AF210" s="1">
        <f>+VLOOKUP(AF2,'נתוני מים 2011'!$C:$Q,6,0)/1000</f>
        <v>7538.7780000000002</v>
      </c>
      <c r="AG210" s="1">
        <f>+VLOOKUP(AG2,'נתוני מים 2011'!$C:$Q,6,0)/1000</f>
        <v>4201.308</v>
      </c>
      <c r="AH210" s="1">
        <f>+VLOOKUP(AH2,'נתוני מים 2011'!$C:$Q,6,0)/1000</f>
        <v>5306.0739999999996</v>
      </c>
      <c r="AI210" s="1">
        <f>+VLOOKUP(AI2,'נתוני מים 2011'!$C:$Q,6,0)/1000</f>
        <v>4284.6880000000001</v>
      </c>
      <c r="AJ210" s="1">
        <f>+VLOOKUP(AJ2,'נתוני מים 2011'!$C:$Q,6,0)/1000</f>
        <v>5224.5789999999997</v>
      </c>
      <c r="AK210" s="1">
        <f>+VLOOKUP(AK2,'נתוני מים 2011'!$C:$Q,6,0)/1000</f>
        <v>7260.6859999999997</v>
      </c>
      <c r="AL210" s="1">
        <f>+VLOOKUP(AL2,'נתוני מים 2011'!$C:$Q,6,0)/1000</f>
        <v>3795.6819999999998</v>
      </c>
      <c r="AM210" s="100">
        <f>+VLOOKUP(AM2,'נתוני מים 2011'!$C:$Q,6,0)/1000</f>
        <v>2750.2260000000001</v>
      </c>
      <c r="AN210" s="1">
        <f>+VLOOKUP(AN2,'נתוני מים 2011'!$C:$Q,6,0)/1000</f>
        <v>8841.2080000000005</v>
      </c>
      <c r="AO210" s="100">
        <f>+VLOOKUP(AO2,'נתוני מים 2011'!$C:$Q,6,0)/1000</f>
        <v>6171.1869999999999</v>
      </c>
      <c r="AP210" s="1">
        <f>+VLOOKUP(AP2,'נתוני מים 2011'!$C:$Q,6,0)/1000</f>
        <v>17973.062999999998</v>
      </c>
      <c r="AQ210" s="1">
        <f>+VLOOKUP(AQ2,'נתוני מים 2011'!$C:$Q,6,0)/1000</f>
        <v>3606.145</v>
      </c>
      <c r="AR210" s="100">
        <f>+VLOOKUP(AR2,'נתוני מים 2011'!$C:$Q,6,0)/1000</f>
        <v>10198.278</v>
      </c>
      <c r="AS210" s="1">
        <f>+VLOOKUP(AS2,'נתוני מים 2011'!$C:$Q,6,0)/1000</f>
        <v>6467.6390000000001</v>
      </c>
      <c r="AT210" s="1">
        <f>+VLOOKUP(AT2,'נתוני מים 2011'!$C:$Q,6,0)/1000</f>
        <v>7483.7849999999999</v>
      </c>
      <c r="AU210" s="100">
        <f>+VLOOKUP(AU2,'נתוני מים 2011'!$C:$Q,6,0)/1000</f>
        <v>4066.3</v>
      </c>
      <c r="AV210" s="100">
        <f>+VLOOKUP(AV2,'נתוני מים 2011'!$C:$Q,6,0)/1000</f>
        <v>3411.58</v>
      </c>
      <c r="AW210" s="100">
        <f>+VLOOKUP(AW2,'נתוני מים 2011'!$C:$Q,6,0)/1000</f>
        <v>15098.456</v>
      </c>
      <c r="AX210" s="100">
        <f>+VLOOKUP(AX2,'נתוני מים 2011'!$C:$Q,6,0)/1000</f>
        <v>16721.764999999999</v>
      </c>
      <c r="AY210" s="1">
        <f>+VLOOKUP(AY2,'נתוני מים 2011'!$C:$Q,6,0)/1000</f>
        <v>8923.8320000000003</v>
      </c>
      <c r="AZ210" s="100">
        <f>+VLOOKUP(AZ2,'נתוני מים 2011'!$C:$Q,6,0)/1000</f>
        <v>5075.0969999999998</v>
      </c>
      <c r="BA210" s="1">
        <f>+VLOOKUP(BA2,'נתוני מים 2011'!$C:$Q,6,0)/1000</f>
        <v>4262.8490000000002</v>
      </c>
      <c r="BB210" s="1">
        <f>+VLOOKUP(BB2,'נתוני מים 2011'!$C:$Q,6,0)/1000</f>
        <v>3209.491</v>
      </c>
      <c r="BC210" s="1">
        <f>+VLOOKUP(BC2,'נתוני מים 2011'!$C:$Q,6,0)/1000</f>
        <v>12319.56</v>
      </c>
      <c r="BD210" s="85">
        <v>4360.4449999999997</v>
      </c>
      <c r="BE210" s="1">
        <f>1017579/1000</f>
        <v>1017.579</v>
      </c>
    </row>
    <row r="212" spans="4:57" ht="15" x14ac:dyDescent="0.25">
      <c r="D212" s="1" t="s">
        <v>182</v>
      </c>
      <c r="G212" s="1">
        <f>+VLOOKUP(G2,'נתוני מים 2011'!$C:$Q,6,0)/1000-VLOOKUP(G2,'נתוני מים 2011'!$C:$Q,10,0)/1000-VLOOKUP(G2,'התפלגות מים 2011'!$C:$U,4,0)/1000</f>
        <v>1540.8400000000001</v>
      </c>
      <c r="H212" s="1">
        <f>+VLOOKUP(H2,'נתוני מים 2011'!$C:$Q,6,0)/1000-VLOOKUP(H2,'נתוני מים 2011'!$C:$Q,10,0)/1000-VLOOKUP(H2,'התפלגות מים 2011'!$C:$U,4,0)/1000</f>
        <v>4998.1290000000008</v>
      </c>
      <c r="I212" s="1">
        <f>+VLOOKUP(I2,'נתוני מים 2011'!$C:$Q,6,0)/1000-VLOOKUP(I2,'נתוני מים 2011'!$C:$Q,10,0)/1000-VLOOKUP(I2,'התפלגות מים 2011'!$C:$U,4,0)/1000</f>
        <v>8488.6209999999992</v>
      </c>
      <c r="J212" s="1">
        <f>+VLOOKUP(J2,'נתוני מים 2011'!$C:$Q,6,0)/1000-VLOOKUP(J2,'נתוני מים 2011'!$C:$Q,10,0)/1000-VLOOKUP(J2,'התפלגות מים 2011'!$C:$U,4,0)/1000</f>
        <v>5126.5369999999994</v>
      </c>
      <c r="K212" s="1">
        <f>+VLOOKUP(K2,'נתוני מים 2011'!$C:$Q,6,0)/1000-VLOOKUP(K2,'נתוני מים 2011'!$C:$Q,10,0)/1000-VLOOKUP(K2,'התפלגות מים 2011'!$C:$U,4,0)/1000</f>
        <v>2927.018</v>
      </c>
      <c r="L212" s="1">
        <f>+VLOOKUP(L2,'נתוני מים 2011'!$C:$Q,6,0)/1000-VLOOKUP(L2,'נתוני מים 2011'!$C:$Q,10,0)/1000-VLOOKUP(L2,'התפלגות מים 2011'!$C:$U,4,0)/1000</f>
        <v>2273.1089999999999</v>
      </c>
      <c r="M212" s="1">
        <f>+VLOOKUP(M2,'נתוני מים 2011'!$C:$Q,6,0)/1000-VLOOKUP(M2,'נתוני מים 2011'!$C:$Q,10,0)/1000-VLOOKUP(M2,'התפלגות מים 2011'!$C:$U,4,0)/1000</f>
        <v>6759.7370000000001</v>
      </c>
      <c r="N212" s="1">
        <f>+VLOOKUP(N2,'נתוני מים 2011'!$C:$Q,6,0)/1000-VLOOKUP(N2,'נתוני מים 2011'!$C:$Q,10,0)/1000-VLOOKUP(N2,'התפלגות מים 2011'!$C:$U,4,0)/1000</f>
        <v>18929.647000000001</v>
      </c>
      <c r="O212" s="1">
        <f>+VLOOKUP(O2,'נתוני מים 2011'!$C:$Q,6,0)/1000-VLOOKUP(O2,'נתוני מים 2011'!$C:$Q,10,0)/1000-VLOOKUP(O2,'התפלגות מים 2011'!$C:$U,4,0)/1000</f>
        <v>3191.42</v>
      </c>
      <c r="P212" s="1">
        <f>+VLOOKUP(P2,'נתוני מים 2011'!$C:$Q,6,0)/1000-VLOOKUP(P2,'נתוני מים 2011'!$C:$Q,10,0)/1000-VLOOKUP(P2,'התפלגות מים 2011'!$C:$U,4,0)/1000</f>
        <v>17513.722000000002</v>
      </c>
      <c r="Q212" s="1">
        <f>+VLOOKUP(Q2,'נתוני מים 2011'!$C:$Q,6,0)/1000-VLOOKUP(Q2,'נתוני מים 2011'!$C:$Q,10,0)/1000-VLOOKUP(Q2,'התפלגות מים 2011'!$C:$U,4,0)/1000</f>
        <v>5230.53</v>
      </c>
      <c r="R212" s="1">
        <f>+VLOOKUP(R2,'נתוני מים 2011'!$C:$Q,6,0)/1000-VLOOKUP(R2,'נתוני מים 2011'!$C:$Q,10,0)/1000-VLOOKUP(R2,'התפלגות מים 2011'!$C:$U,4,0)/1000</f>
        <v>13087.905000000001</v>
      </c>
      <c r="S212" s="1">
        <f>+VLOOKUP(S2,'נתוני מים 2011'!$C:$Q,6,0)/1000-VLOOKUP(S2,'נתוני מים 2011'!$C:$Q,10,0)/1000-VLOOKUP(S2,'התפלגות מים 2011'!$C:$U,4,0)/1000</f>
        <v>10165.302</v>
      </c>
      <c r="T212" s="1">
        <f>+VLOOKUP(T2,'נתוני מים 2011'!$C:$Q,6,0)/1000-VLOOKUP(T2,'נתוני מים 2011'!$C:$Q,10,0)/1000-VLOOKUP(T2,'התפלגות מים 2011'!$C:$U,4,0)/1000</f>
        <v>4302.0590000000002</v>
      </c>
      <c r="U212" s="1">
        <f>+VLOOKUP(U2,'נתוני מים 2011'!$C:$Q,6,0)/1000-VLOOKUP(U2,'נתוני מים 2011'!$C:$Q,10,0)/1000-VLOOKUP(U2,'התפלגות מים 2011'!$C:$U,4,0)/1000</f>
        <v>9372.9530000000013</v>
      </c>
      <c r="V212" s="1">
        <f>+VLOOKUP(V2,'נתוני מים 2011'!$C:$Q,6,0)/1000-VLOOKUP(V2,'נתוני מים 2011'!$C:$Q,10,0)/1000-VLOOKUP(V2,'התפלגות מים 2011'!$C:$U,4,0)/1000</f>
        <v>5812.072000000001</v>
      </c>
      <c r="W212" s="1">
        <f>+VLOOKUP(W2,'נתוני מים 2011'!$C:$Q,6,0)/1000-VLOOKUP(W2,'נתוני מים 2011'!$C:$Q,10,0)/1000-VLOOKUP(W2,'התפלגות מים 2011'!$C:$U,4,0)/1000</f>
        <v>4618.6840000000002</v>
      </c>
      <c r="X212" s="1">
        <f>+VLOOKUP(X2,'נתוני מים 2011'!$C:$Q,6,0)/1000-VLOOKUP(X2,'נתוני מים 2011'!$C:$Q,10,0)/1000-VLOOKUP(X2,'התפלגות מים 2011'!$C:$U,4,0)/1000</f>
        <v>3037.0730000000003</v>
      </c>
      <c r="Y212" s="1">
        <f>+VLOOKUP(Y2,'נתוני מים 2011'!$C:$Q,6,0)/1000-VLOOKUP(Y2,'נתוני מים 2011'!$C:$Q,10,0)/1000-VLOOKUP(Y2,'התפלגות מים 2011'!$C:$U,4,0)/1000</f>
        <v>57949.614000000001</v>
      </c>
      <c r="Z212" s="1">
        <f>+VLOOKUP(Z2,'נתוני מים 2011'!$C:$Q,6,0)/1000-VLOOKUP(Z2,'נתוני מים 2011'!$C:$Q,10,0)/1000-VLOOKUP(Z2,'התפלגות מים 2011'!$C:$U,4,0)/1000</f>
        <v>22830.183000000001</v>
      </c>
      <c r="AA212" s="1">
        <f>+VLOOKUP(AA2,'נתוני מים 2011'!$C:$Q,6,0)/1000-VLOOKUP(AA2,'נתוני מים 2011'!$C:$Q,10,0)/1000-VLOOKUP(AA2,'התפלגות מים 2011'!$C:$U,4,0)/1000</f>
        <v>2335.5919999999996</v>
      </c>
      <c r="AB212" s="1">
        <f>+VLOOKUP(AB2,'נתוני מים 2011'!$C:$Q,6,0)/1000-VLOOKUP(AB2,'נתוני מים 2011'!$C:$Q,10,0)/1000-VLOOKUP(AB2,'התפלגות מים 2011'!$C:$U,4,0)/1000</f>
        <v>3520.1609999999996</v>
      </c>
      <c r="AC212" s="1">
        <f>+VLOOKUP(AC2,'נתוני מים 2011'!$C:$Q,6,0)/1000-VLOOKUP(AC2,'נתוני מים 2011'!$C:$Q,10,0)/1000-VLOOKUP(AC2,'התפלגות מים 2011'!$C:$U,4,0)/1000</f>
        <v>9403.8849999999984</v>
      </c>
      <c r="AD212" s="1">
        <f>+VLOOKUP(AD2,'נתוני מים 2011'!$C:$Q,6,0)/1000-VLOOKUP(AD2,'נתוני מים 2011'!$C:$Q,10,0)/1000-VLOOKUP(AD2,'התפלגות מים 2011'!$C:$U,4,0)/1000</f>
        <v>3487.223</v>
      </c>
      <c r="AE212" s="1">
        <f>+VLOOKUP(AE2,'נתוני מים 2011'!$C:$Q,6,0)/1000-VLOOKUP(AE2,'נתוני מים 2011'!$C:$Q,10,0)/1000-VLOOKUP(AE2,'התפלגות מים 2011'!$C:$U,4,0)/1000</f>
        <v>41699.370000000003</v>
      </c>
      <c r="AF212" s="1">
        <f>+VLOOKUP(AF2,'נתוני מים 2011'!$C:$Q,6,0)/1000-VLOOKUP(AF2,'נתוני מים 2011'!$C:$Q,10,0)/1000-VLOOKUP(AF2,'התפלגות מים 2011'!$C:$U,4,0)/1000</f>
        <v>7424.8060000000005</v>
      </c>
      <c r="AG212" s="1">
        <f>+VLOOKUP(AG2,'נתוני מים 2011'!$C:$Q,6,0)/1000-VLOOKUP(AG2,'נתוני מים 2011'!$C:$Q,10,0)/1000-VLOOKUP(AG2,'התפלגות מים 2011'!$C:$U,4,0)/1000</f>
        <v>4188.16</v>
      </c>
      <c r="AH212" s="1">
        <f>+VLOOKUP(AH2,'נתוני מים 2011'!$C:$Q,6,0)/1000-VLOOKUP(AH2,'נתוני מים 2011'!$C:$Q,10,0)/1000-VLOOKUP(AH2,'התפלגות מים 2011'!$C:$U,4,0)/1000</f>
        <v>5222.5860000000002</v>
      </c>
      <c r="AI212" s="1">
        <f>+VLOOKUP(AI2,'נתוני מים 2011'!$C:$Q,6,0)/1000-VLOOKUP(AI2,'נתוני מים 2011'!$C:$Q,10,0)/1000-VLOOKUP(AI2,'התפלגות מים 2011'!$C:$U,4,0)/1000</f>
        <v>4185.5220000000008</v>
      </c>
      <c r="AJ212" s="1">
        <f>+VLOOKUP(AJ2,'נתוני מים 2011'!$C:$Q,6,0)/1000-VLOOKUP(AJ2,'נתוני מים 2011'!$C:$Q,10,0)/1000-VLOOKUP(AJ2,'התפלגות מים 2011'!$C:$U,4,0)/1000</f>
        <v>5039.2919999999995</v>
      </c>
      <c r="AK212" s="1">
        <f>+VLOOKUP(AK2,'נתוני מים 2011'!$C:$Q,6,0)/1000-VLOOKUP(AK2,'נתוני מים 2011'!$C:$Q,10,0)/1000-VLOOKUP(AK2,'התפלגות מים 2011'!$C:$U,4,0)/1000</f>
        <v>6403.5740000000005</v>
      </c>
      <c r="AL212" s="1">
        <f>+VLOOKUP(AL2,'נתוני מים 2011'!$C:$Q,6,0)/1000-VLOOKUP(AL2,'נתוני מים 2011'!$C:$Q,10,0)/1000-VLOOKUP(AL2,'התפלגות מים 2011'!$C:$U,4,0)/1000</f>
        <v>3520.1609999999996</v>
      </c>
      <c r="AM212" s="1">
        <f>+VLOOKUP(AM2,'נתוני מים 2011'!$C:$Q,6,0)/1000-VLOOKUP(AM2,'נתוני מים 2011'!$C:$Q,10,0)/1000-VLOOKUP(AM2,'התפלגות מים 2011'!$C:$U,4,0)/1000</f>
        <v>2571.5190000000002</v>
      </c>
      <c r="AN212" s="1">
        <f>+VLOOKUP(AN2,'נתוני מים 2011'!$C:$Q,6,0)/1000-VLOOKUP(AN2,'נתוני מים 2011'!$C:$Q,10,0)/1000-VLOOKUP(AN2,'התפלגות מים 2011'!$C:$U,4,0)/1000</f>
        <v>8365.1200000000008</v>
      </c>
      <c r="AO212" s="1">
        <f>+VLOOKUP(AO2,'נתוני מים 2011'!$C:$Q,6,0)/1000-VLOOKUP(AO2,'נתוני מים 2011'!$C:$Q,10,0)/1000-VLOOKUP(AO2,'התפלגות מים 2011'!$C:$U,4,0)/1000</f>
        <v>5578.402</v>
      </c>
      <c r="AP212" s="1">
        <f>+VLOOKUP(AP2,'נתוני מים 2011'!$C:$Q,6,0)/1000-VLOOKUP(AP2,'נתוני מים 2011'!$C:$Q,10,0)/1000-VLOOKUP(AP2,'התפלגות מים 2011'!$C:$U,4,0)/1000</f>
        <v>17356.741999999998</v>
      </c>
      <c r="AQ212" s="1">
        <f>+VLOOKUP(AQ2,'נתוני מים 2011'!$C:$Q,6,0)/1000-VLOOKUP(AQ2,'נתוני מים 2011'!$C:$Q,10,0)/1000-VLOOKUP(AQ2,'התפלגות מים 2011'!$C:$U,4,0)/1000</f>
        <v>3374.3979999999997</v>
      </c>
      <c r="AR212" s="1">
        <f>+VLOOKUP(AR2,'נתוני מים 2011'!$C:$Q,6,0)/1000-VLOOKUP(AR2,'נתוני מים 2011'!$C:$Q,10,0)/1000-VLOOKUP(AR2,'התפלגות מים 2011'!$C:$U,4,0)/1000</f>
        <v>10072.235000000001</v>
      </c>
      <c r="AS212" s="1">
        <f>+VLOOKUP(AS2,'נתוני מים 2011'!$C:$Q,6,0)/1000-VLOOKUP(AS2,'נתוני מים 2011'!$C:$Q,10,0)/1000-VLOOKUP(AS2,'התפלגות מים 2011'!$C:$U,4,0)/1000</f>
        <v>5839.4970000000003</v>
      </c>
      <c r="AT212" s="1">
        <f>+VLOOKUP(AT2,'נתוני מים 2011'!$C:$Q,6,0)/1000-VLOOKUP(AT2,'נתוני מים 2011'!$C:$Q,10,0)/1000-VLOOKUP(AT2,'התפלגות מים 2011'!$C:$U,4,0)/1000</f>
        <v>7268.6779999999999</v>
      </c>
      <c r="AU212" s="1">
        <f>+VLOOKUP(AU2,'נתוני מים 2011'!$C:$Q,6,0)/1000-VLOOKUP(AU2,'נתוני מים 2011'!$C:$Q,10,0)/1000-VLOOKUP(AU2,'התפלגות מים 2011'!$C:$U,4,0)/1000</f>
        <v>3727.9940000000001</v>
      </c>
      <c r="AV212" s="1">
        <f>+VLOOKUP(AV2,'נתוני מים 2011'!$C:$Q,6,0)/1000-VLOOKUP(AV2,'נתוני מים 2011'!$C:$Q,10,0)/1000-VLOOKUP(AV2,'התפלגות מים 2011'!$C:$U,4,0)/1000</f>
        <v>3223.2179999999998</v>
      </c>
      <c r="AW212" s="1">
        <f>+VLOOKUP(AW2,'נתוני מים 2011'!$C:$Q,6,0)/1000-VLOOKUP(AW2,'נתוני מים 2011'!$C:$Q,10,0)/1000-VLOOKUP(AW2,'התפלגות מים 2011'!$C:$U,4,0)/1000</f>
        <v>14452.827000000001</v>
      </c>
      <c r="AX212" s="1">
        <f>+VLOOKUP(AX2,'נתוני מים 2011'!$C:$Q,6,0)/1000-VLOOKUP(AX2,'נתוני מים 2011'!$C:$Q,10,0)/1000-VLOOKUP(AX2,'התפלגות מים 2011'!$C:$U,4,0)/1000</f>
        <v>15482.126</v>
      </c>
      <c r="AY212" s="1">
        <f>+VLOOKUP(AY2,'נתוני מים 2011'!$C:$Q,6,0)/1000-VLOOKUP(AY2,'נתוני מים 2011'!$C:$Q,10,0)/1000-VLOOKUP(AY2,'התפלגות מים 2011'!$C:$U,4,0)/1000</f>
        <v>8854.7670000000016</v>
      </c>
      <c r="AZ212" s="1">
        <f>+VLOOKUP(AZ2,'נתוני מים 2011'!$C:$Q,6,0)/1000-VLOOKUP(AZ2,'נתוני מים 2011'!$C:$Q,10,0)/1000-VLOOKUP(AZ2,'התפלגות מים 2011'!$C:$U,4,0)/1000</f>
        <v>5049.7089999999989</v>
      </c>
      <c r="BA212" s="1">
        <f>+VLOOKUP(BA2,'נתוני מים 2011'!$C:$Q,6,0)/1000-VLOOKUP(BA2,'נתוני מים 2011'!$C:$Q,10,0)/1000-VLOOKUP(BA2,'התפלגות מים 2011'!$C:$U,4,0)/1000</f>
        <v>3668.9480000000003</v>
      </c>
      <c r="BB212" s="1">
        <f>+VLOOKUP(BB2,'נתוני מים 2011'!$C:$Q,6,0)/1000-VLOOKUP(BB2,'נתוני מים 2011'!$C:$Q,10,0)/1000-VLOOKUP(BB2,'התפלגות מים 2011'!$C:$U,4,0)/1000</f>
        <v>3019.4449999999997</v>
      </c>
      <c r="BC212" s="1">
        <f>+VLOOKUP(BC2,'נתוני מים 2011'!$C:$Q,6,0)/1000-VLOOKUP(BC2,'נתוני מים 2011'!$C:$Q,10,0)/1000-VLOOKUP(BC2,'התפלגות מים 2011'!$C:$U,4,0)/1000</f>
        <v>11571.278</v>
      </c>
      <c r="BD212" s="85">
        <f>+BD210-201</f>
        <v>4159.4449999999997</v>
      </c>
      <c r="BE212" s="1">
        <f>+BE210+7747589/1000-697537/1000-519375/1000-67325/1000</f>
        <v>7480.9309999999996</v>
      </c>
    </row>
    <row r="215" spans="4:57" hidden="1" x14ac:dyDescent="0.2">
      <c r="G215" s="90" t="e">
        <f>136/#REF!</f>
        <v>#REF!</v>
      </c>
      <c r="H215" s="121" t="e">
        <f>+#REF!/#REF!</f>
        <v>#REF!</v>
      </c>
      <c r="I215" s="90" t="e">
        <f>+#REF!/#REF!</f>
        <v>#REF!</v>
      </c>
      <c r="J215" s="98" t="e">
        <f>+#REF!/#REF!</f>
        <v>#REF!</v>
      </c>
      <c r="K215" s="121" t="e">
        <f>+#REF!/#REF!</f>
        <v>#REF!</v>
      </c>
      <c r="L215" s="90" t="e">
        <f>+#REF!/#REF!</f>
        <v>#REF!</v>
      </c>
      <c r="M215" s="98" t="e">
        <f>+#REF!/#REF!</f>
        <v>#REF!</v>
      </c>
      <c r="N215" s="121" t="e">
        <f>+#REF!/#REF!</f>
        <v>#REF!</v>
      </c>
      <c r="O215" s="121" t="e">
        <f>+#REF!/#REF!</f>
        <v>#REF!</v>
      </c>
      <c r="P215" s="121" t="e">
        <f>+#REF!/#REF!</f>
        <v>#REF!</v>
      </c>
      <c r="Q215" s="98" t="e">
        <f>+#REF!/#REF!</f>
        <v>#REF!</v>
      </c>
      <c r="R215" s="121" t="e">
        <f>+#REF!/#REF!</f>
        <v>#REF!</v>
      </c>
      <c r="S215" s="136" t="e">
        <f>+#REF!/#REF!</f>
        <v>#REF!</v>
      </c>
      <c r="T215" s="98" t="e">
        <f>+#REF!/#REF!</f>
        <v>#REF!</v>
      </c>
      <c r="U215" s="90" t="e">
        <f>+#REF!/#REF!</f>
        <v>#REF!</v>
      </c>
      <c r="V215" s="90" t="e">
        <f>+#REF!/#REF!</f>
        <v>#REF!</v>
      </c>
      <c r="W215" s="121" t="e">
        <f>+#REF!/#REF!</f>
        <v>#REF!</v>
      </c>
      <c r="X215" s="90" t="e">
        <f>+#REF!/#REF!</f>
        <v>#REF!</v>
      </c>
      <c r="Y215" s="121" t="e">
        <f>+#REF!/#REF!</f>
        <v>#REF!</v>
      </c>
      <c r="Z215" s="121" t="e">
        <f>+#REF!/#REF!</f>
        <v>#REF!</v>
      </c>
      <c r="AA215" s="90" t="e">
        <f>+#REF!/#REF!</f>
        <v>#REF!</v>
      </c>
      <c r="AB215" s="98" t="e">
        <f>+#REF!/#REF!</f>
        <v>#REF!</v>
      </c>
      <c r="AC215" s="90" t="e">
        <f>+#REF!/#REF!</f>
        <v>#REF!</v>
      </c>
      <c r="AD215" s="98" t="e">
        <f>+#REF!/#REF!</f>
        <v>#REF!</v>
      </c>
      <c r="AE215" s="121" t="e">
        <f>+#REF!/#REF!</f>
        <v>#REF!</v>
      </c>
      <c r="AF215" s="90" t="e">
        <f>+#REF!/#REF!</f>
        <v>#REF!</v>
      </c>
      <c r="AG215" s="90" t="e">
        <f>+#REF!/#REF!</f>
        <v>#REF!</v>
      </c>
      <c r="AH215" s="90" t="e">
        <f>+#REF!/#REF!</f>
        <v>#REF!</v>
      </c>
      <c r="AI215" s="90" t="e">
        <f>+#REF!/#REF!</f>
        <v>#REF!</v>
      </c>
      <c r="AJ215" s="90" t="e">
        <f>+#REF!/#REF!</f>
        <v>#REF!</v>
      </c>
      <c r="AK215" s="90" t="e">
        <f>+#REF!/#REF!</f>
        <v>#REF!</v>
      </c>
      <c r="AL215" s="90" t="e">
        <f>+#REF!/#REF!</f>
        <v>#REF!</v>
      </c>
      <c r="AM215" s="121" t="e">
        <f>+#REF!/#REF!</f>
        <v>#REF!</v>
      </c>
      <c r="AN215" s="90" t="e">
        <f>+#REF!/#REF!</f>
        <v>#REF!</v>
      </c>
      <c r="AO215" s="121" t="e">
        <f>+#REF!/#REF!</f>
        <v>#REF!</v>
      </c>
      <c r="AP215" s="90" t="e">
        <f>+#REF!/#REF!</f>
        <v>#REF!</v>
      </c>
      <c r="AQ215" s="90" t="e">
        <f>+#REF!/#REF!</f>
        <v>#REF!</v>
      </c>
      <c r="AR215" s="121" t="e">
        <f>+#REF!/#REF!</f>
        <v>#REF!</v>
      </c>
      <c r="AS215" s="90" t="e">
        <f>+#REF!/#REF!</f>
        <v>#REF!</v>
      </c>
      <c r="AT215" s="90" t="e">
        <f>+#REF!/#REF!</f>
        <v>#REF!</v>
      </c>
      <c r="AU215" s="121" t="e">
        <f>+#REF!/#REF!</f>
        <v>#REF!</v>
      </c>
      <c r="AV215" s="121" t="e">
        <f>+#REF!/#REF!</f>
        <v>#REF!</v>
      </c>
      <c r="AW215" s="121" t="e">
        <f>+#REF!/#REF!</f>
        <v>#REF!</v>
      </c>
      <c r="AX215" s="121" t="e">
        <f>+#REF!/#REF!</f>
        <v>#REF!</v>
      </c>
      <c r="AY215" s="90" t="e">
        <f>+#REF!/#REF!</f>
        <v>#REF!</v>
      </c>
      <c r="AZ215" s="121" t="e">
        <f>+#REF!/#REF!</f>
        <v>#REF!</v>
      </c>
      <c r="BA215" s="90" t="e">
        <f>+#REF!/#REF!</f>
        <v>#REF!</v>
      </c>
      <c r="BB215" s="90" t="e">
        <f>+#REF!/#REF!</f>
        <v>#REF!</v>
      </c>
      <c r="BC215" s="90" t="e">
        <f>+#REF!/#REF!</f>
        <v>#REF!</v>
      </c>
      <c r="BD215" s="90" t="e">
        <f>+#REF!/#REF!</f>
        <v>#REF!</v>
      </c>
      <c r="BE215" s="90" t="e">
        <f>+#REF!/#REF!</f>
        <v>#REF!</v>
      </c>
    </row>
  </sheetData>
  <mergeCells count="5">
    <mergeCell ref="G48:I48"/>
    <mergeCell ref="D130:I131"/>
    <mergeCell ref="G136:I136"/>
    <mergeCell ref="G143:I143"/>
    <mergeCell ref="G169:I169"/>
  </mergeCells>
  <pageMargins left="0.7" right="0.7" top="0.75" bottom="0.75" header="0.3" footer="0.3"/>
  <pageSetup paperSize="9" orientation="portrait" verticalDpi="30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5"/>
  <sheetViews>
    <sheetView rightToLeft="1" workbookViewId="0">
      <pane xSplit="2" ySplit="3" topLeftCell="C14" activePane="bottomRight" state="frozen"/>
      <selection pane="topRight" activeCell="C1" sqref="C1"/>
      <selection pane="bottomLeft" activeCell="A4" sqref="A4"/>
      <selection pane="bottomRight" activeCell="G34" sqref="G34"/>
    </sheetView>
  </sheetViews>
  <sheetFormatPr defaultRowHeight="14.25" x14ac:dyDescent="0.2"/>
  <cols>
    <col min="1" max="1" width="5.25" customWidth="1"/>
    <col min="2" max="2" width="4.625" hidden="1" customWidth="1"/>
    <col min="3" max="3" width="11.25" customWidth="1"/>
    <col min="4" max="4" width="5.625" customWidth="1"/>
    <col min="5" max="5" width="8.125" style="129" bestFit="1" customWidth="1"/>
    <col min="6" max="10" width="9.875" style="129" bestFit="1" customWidth="1"/>
    <col min="11" max="11" width="8.875" style="129" bestFit="1" customWidth="1"/>
    <col min="12" max="12" width="8.125" style="129" bestFit="1" customWidth="1"/>
    <col min="13" max="13" width="9.875" style="129" bestFit="1" customWidth="1"/>
    <col min="14" max="14" width="8.875" style="129" bestFit="1" customWidth="1"/>
    <col min="15" max="17" width="9" style="130"/>
    <col min="257" max="257" width="5.25" customWidth="1"/>
    <col min="258" max="258" width="0" hidden="1" customWidth="1"/>
    <col min="259" max="259" width="11.25" customWidth="1"/>
    <col min="260" max="260" width="5.625" customWidth="1"/>
    <col min="261" max="261" width="8.125" bestFit="1" customWidth="1"/>
    <col min="262" max="266" width="8.875" bestFit="1" customWidth="1"/>
    <col min="267" max="268" width="8.125" bestFit="1" customWidth="1"/>
    <col min="269" max="269" width="8.875" bestFit="1" customWidth="1"/>
    <col min="270" max="270" width="8.125" bestFit="1" customWidth="1"/>
    <col min="513" max="513" width="5.25" customWidth="1"/>
    <col min="514" max="514" width="0" hidden="1" customWidth="1"/>
    <col min="515" max="515" width="11.25" customWidth="1"/>
    <col min="516" max="516" width="5.625" customWidth="1"/>
    <col min="517" max="517" width="8.125" bestFit="1" customWidth="1"/>
    <col min="518" max="522" width="8.875" bestFit="1" customWidth="1"/>
    <col min="523" max="524" width="8.125" bestFit="1" customWidth="1"/>
    <col min="525" max="525" width="8.875" bestFit="1" customWidth="1"/>
    <col min="526" max="526" width="8.125" bestFit="1" customWidth="1"/>
    <col min="769" max="769" width="5.25" customWidth="1"/>
    <col min="770" max="770" width="0" hidden="1" customWidth="1"/>
    <col min="771" max="771" width="11.25" customWidth="1"/>
    <col min="772" max="772" width="5.625" customWidth="1"/>
    <col min="773" max="773" width="8.125" bestFit="1" customWidth="1"/>
    <col min="774" max="778" width="8.875" bestFit="1" customWidth="1"/>
    <col min="779" max="780" width="8.125" bestFit="1" customWidth="1"/>
    <col min="781" max="781" width="8.875" bestFit="1" customWidth="1"/>
    <col min="782" max="782" width="8.125" bestFit="1" customWidth="1"/>
    <col min="1025" max="1025" width="5.25" customWidth="1"/>
    <col min="1026" max="1026" width="0" hidden="1" customWidth="1"/>
    <col min="1027" max="1027" width="11.25" customWidth="1"/>
    <col min="1028" max="1028" width="5.625" customWidth="1"/>
    <col min="1029" max="1029" width="8.125" bestFit="1" customWidth="1"/>
    <col min="1030" max="1034" width="8.875" bestFit="1" customWidth="1"/>
    <col min="1035" max="1036" width="8.125" bestFit="1" customWidth="1"/>
    <col min="1037" max="1037" width="8.875" bestFit="1" customWidth="1"/>
    <col min="1038" max="1038" width="8.125" bestFit="1" customWidth="1"/>
    <col min="1281" max="1281" width="5.25" customWidth="1"/>
    <col min="1282" max="1282" width="0" hidden="1" customWidth="1"/>
    <col min="1283" max="1283" width="11.25" customWidth="1"/>
    <col min="1284" max="1284" width="5.625" customWidth="1"/>
    <col min="1285" max="1285" width="8.125" bestFit="1" customWidth="1"/>
    <col min="1286" max="1290" width="8.875" bestFit="1" customWidth="1"/>
    <col min="1291" max="1292" width="8.125" bestFit="1" customWidth="1"/>
    <col min="1293" max="1293" width="8.875" bestFit="1" customWidth="1"/>
    <col min="1294" max="1294" width="8.125" bestFit="1" customWidth="1"/>
    <col min="1537" max="1537" width="5.25" customWidth="1"/>
    <col min="1538" max="1538" width="0" hidden="1" customWidth="1"/>
    <col min="1539" max="1539" width="11.25" customWidth="1"/>
    <col min="1540" max="1540" width="5.625" customWidth="1"/>
    <col min="1541" max="1541" width="8.125" bestFit="1" customWidth="1"/>
    <col min="1542" max="1546" width="8.875" bestFit="1" customWidth="1"/>
    <col min="1547" max="1548" width="8.125" bestFit="1" customWidth="1"/>
    <col min="1549" max="1549" width="8.875" bestFit="1" customWidth="1"/>
    <col min="1550" max="1550" width="8.125" bestFit="1" customWidth="1"/>
    <col min="1793" max="1793" width="5.25" customWidth="1"/>
    <col min="1794" max="1794" width="0" hidden="1" customWidth="1"/>
    <col min="1795" max="1795" width="11.25" customWidth="1"/>
    <col min="1796" max="1796" width="5.625" customWidth="1"/>
    <col min="1797" max="1797" width="8.125" bestFit="1" customWidth="1"/>
    <col min="1798" max="1802" width="8.875" bestFit="1" customWidth="1"/>
    <col min="1803" max="1804" width="8.125" bestFit="1" customWidth="1"/>
    <col min="1805" max="1805" width="8.875" bestFit="1" customWidth="1"/>
    <col min="1806" max="1806" width="8.125" bestFit="1" customWidth="1"/>
    <col min="2049" max="2049" width="5.25" customWidth="1"/>
    <col min="2050" max="2050" width="0" hidden="1" customWidth="1"/>
    <col min="2051" max="2051" width="11.25" customWidth="1"/>
    <col min="2052" max="2052" width="5.625" customWidth="1"/>
    <col min="2053" max="2053" width="8.125" bestFit="1" customWidth="1"/>
    <col min="2054" max="2058" width="8.875" bestFit="1" customWidth="1"/>
    <col min="2059" max="2060" width="8.125" bestFit="1" customWidth="1"/>
    <col min="2061" max="2061" width="8.875" bestFit="1" customWidth="1"/>
    <col min="2062" max="2062" width="8.125" bestFit="1" customWidth="1"/>
    <col min="2305" max="2305" width="5.25" customWidth="1"/>
    <col min="2306" max="2306" width="0" hidden="1" customWidth="1"/>
    <col min="2307" max="2307" width="11.25" customWidth="1"/>
    <col min="2308" max="2308" width="5.625" customWidth="1"/>
    <col min="2309" max="2309" width="8.125" bestFit="1" customWidth="1"/>
    <col min="2310" max="2314" width="8.875" bestFit="1" customWidth="1"/>
    <col min="2315" max="2316" width="8.125" bestFit="1" customWidth="1"/>
    <col min="2317" max="2317" width="8.875" bestFit="1" customWidth="1"/>
    <col min="2318" max="2318" width="8.125" bestFit="1" customWidth="1"/>
    <col min="2561" max="2561" width="5.25" customWidth="1"/>
    <col min="2562" max="2562" width="0" hidden="1" customWidth="1"/>
    <col min="2563" max="2563" width="11.25" customWidth="1"/>
    <col min="2564" max="2564" width="5.625" customWidth="1"/>
    <col min="2565" max="2565" width="8.125" bestFit="1" customWidth="1"/>
    <col min="2566" max="2570" width="8.875" bestFit="1" customWidth="1"/>
    <col min="2571" max="2572" width="8.125" bestFit="1" customWidth="1"/>
    <col min="2573" max="2573" width="8.875" bestFit="1" customWidth="1"/>
    <col min="2574" max="2574" width="8.125" bestFit="1" customWidth="1"/>
    <col min="2817" max="2817" width="5.25" customWidth="1"/>
    <col min="2818" max="2818" width="0" hidden="1" customWidth="1"/>
    <col min="2819" max="2819" width="11.25" customWidth="1"/>
    <col min="2820" max="2820" width="5.625" customWidth="1"/>
    <col min="2821" max="2821" width="8.125" bestFit="1" customWidth="1"/>
    <col min="2822" max="2826" width="8.875" bestFit="1" customWidth="1"/>
    <col min="2827" max="2828" width="8.125" bestFit="1" customWidth="1"/>
    <col min="2829" max="2829" width="8.875" bestFit="1" customWidth="1"/>
    <col min="2830" max="2830" width="8.125" bestFit="1" customWidth="1"/>
    <col min="3073" max="3073" width="5.25" customWidth="1"/>
    <col min="3074" max="3074" width="0" hidden="1" customWidth="1"/>
    <col min="3075" max="3075" width="11.25" customWidth="1"/>
    <col min="3076" max="3076" width="5.625" customWidth="1"/>
    <col min="3077" max="3077" width="8.125" bestFit="1" customWidth="1"/>
    <col min="3078" max="3082" width="8.875" bestFit="1" customWidth="1"/>
    <col min="3083" max="3084" width="8.125" bestFit="1" customWidth="1"/>
    <col min="3085" max="3085" width="8.875" bestFit="1" customWidth="1"/>
    <col min="3086" max="3086" width="8.125" bestFit="1" customWidth="1"/>
    <col min="3329" max="3329" width="5.25" customWidth="1"/>
    <col min="3330" max="3330" width="0" hidden="1" customWidth="1"/>
    <col min="3331" max="3331" width="11.25" customWidth="1"/>
    <col min="3332" max="3332" width="5.625" customWidth="1"/>
    <col min="3333" max="3333" width="8.125" bestFit="1" customWidth="1"/>
    <col min="3334" max="3338" width="8.875" bestFit="1" customWidth="1"/>
    <col min="3339" max="3340" width="8.125" bestFit="1" customWidth="1"/>
    <col min="3341" max="3341" width="8.875" bestFit="1" customWidth="1"/>
    <col min="3342" max="3342" width="8.125" bestFit="1" customWidth="1"/>
    <col min="3585" max="3585" width="5.25" customWidth="1"/>
    <col min="3586" max="3586" width="0" hidden="1" customWidth="1"/>
    <col min="3587" max="3587" width="11.25" customWidth="1"/>
    <col min="3588" max="3588" width="5.625" customWidth="1"/>
    <col min="3589" max="3589" width="8.125" bestFit="1" customWidth="1"/>
    <col min="3590" max="3594" width="8.875" bestFit="1" customWidth="1"/>
    <col min="3595" max="3596" width="8.125" bestFit="1" customWidth="1"/>
    <col min="3597" max="3597" width="8.875" bestFit="1" customWidth="1"/>
    <col min="3598" max="3598" width="8.125" bestFit="1" customWidth="1"/>
    <col min="3841" max="3841" width="5.25" customWidth="1"/>
    <col min="3842" max="3842" width="0" hidden="1" customWidth="1"/>
    <col min="3843" max="3843" width="11.25" customWidth="1"/>
    <col min="3844" max="3844" width="5.625" customWidth="1"/>
    <col min="3845" max="3845" width="8.125" bestFit="1" customWidth="1"/>
    <col min="3846" max="3850" width="8.875" bestFit="1" customWidth="1"/>
    <col min="3851" max="3852" width="8.125" bestFit="1" customWidth="1"/>
    <col min="3853" max="3853" width="8.875" bestFit="1" customWidth="1"/>
    <col min="3854" max="3854" width="8.125" bestFit="1" customWidth="1"/>
    <col min="4097" max="4097" width="5.25" customWidth="1"/>
    <col min="4098" max="4098" width="0" hidden="1" customWidth="1"/>
    <col min="4099" max="4099" width="11.25" customWidth="1"/>
    <col min="4100" max="4100" width="5.625" customWidth="1"/>
    <col min="4101" max="4101" width="8.125" bestFit="1" customWidth="1"/>
    <col min="4102" max="4106" width="8.875" bestFit="1" customWidth="1"/>
    <col min="4107" max="4108" width="8.125" bestFit="1" customWidth="1"/>
    <col min="4109" max="4109" width="8.875" bestFit="1" customWidth="1"/>
    <col min="4110" max="4110" width="8.125" bestFit="1" customWidth="1"/>
    <col min="4353" max="4353" width="5.25" customWidth="1"/>
    <col min="4354" max="4354" width="0" hidden="1" customWidth="1"/>
    <col min="4355" max="4355" width="11.25" customWidth="1"/>
    <col min="4356" max="4356" width="5.625" customWidth="1"/>
    <col min="4357" max="4357" width="8.125" bestFit="1" customWidth="1"/>
    <col min="4358" max="4362" width="8.875" bestFit="1" customWidth="1"/>
    <col min="4363" max="4364" width="8.125" bestFit="1" customWidth="1"/>
    <col min="4365" max="4365" width="8.875" bestFit="1" customWidth="1"/>
    <col min="4366" max="4366" width="8.125" bestFit="1" customWidth="1"/>
    <col min="4609" max="4609" width="5.25" customWidth="1"/>
    <col min="4610" max="4610" width="0" hidden="1" customWidth="1"/>
    <col min="4611" max="4611" width="11.25" customWidth="1"/>
    <col min="4612" max="4612" width="5.625" customWidth="1"/>
    <col min="4613" max="4613" width="8.125" bestFit="1" customWidth="1"/>
    <col min="4614" max="4618" width="8.875" bestFit="1" customWidth="1"/>
    <col min="4619" max="4620" width="8.125" bestFit="1" customWidth="1"/>
    <col min="4621" max="4621" width="8.875" bestFit="1" customWidth="1"/>
    <col min="4622" max="4622" width="8.125" bestFit="1" customWidth="1"/>
    <col min="4865" max="4865" width="5.25" customWidth="1"/>
    <col min="4866" max="4866" width="0" hidden="1" customWidth="1"/>
    <col min="4867" max="4867" width="11.25" customWidth="1"/>
    <col min="4868" max="4868" width="5.625" customWidth="1"/>
    <col min="4869" max="4869" width="8.125" bestFit="1" customWidth="1"/>
    <col min="4870" max="4874" width="8.875" bestFit="1" customWidth="1"/>
    <col min="4875" max="4876" width="8.125" bestFit="1" customWidth="1"/>
    <col min="4877" max="4877" width="8.875" bestFit="1" customWidth="1"/>
    <col min="4878" max="4878" width="8.125" bestFit="1" customWidth="1"/>
    <col min="5121" max="5121" width="5.25" customWidth="1"/>
    <col min="5122" max="5122" width="0" hidden="1" customWidth="1"/>
    <col min="5123" max="5123" width="11.25" customWidth="1"/>
    <col min="5124" max="5124" width="5.625" customWidth="1"/>
    <col min="5125" max="5125" width="8.125" bestFit="1" customWidth="1"/>
    <col min="5126" max="5130" width="8.875" bestFit="1" customWidth="1"/>
    <col min="5131" max="5132" width="8.125" bestFit="1" customWidth="1"/>
    <col min="5133" max="5133" width="8.875" bestFit="1" customWidth="1"/>
    <col min="5134" max="5134" width="8.125" bestFit="1" customWidth="1"/>
    <col min="5377" max="5377" width="5.25" customWidth="1"/>
    <col min="5378" max="5378" width="0" hidden="1" customWidth="1"/>
    <col min="5379" max="5379" width="11.25" customWidth="1"/>
    <col min="5380" max="5380" width="5.625" customWidth="1"/>
    <col min="5381" max="5381" width="8.125" bestFit="1" customWidth="1"/>
    <col min="5382" max="5386" width="8.875" bestFit="1" customWidth="1"/>
    <col min="5387" max="5388" width="8.125" bestFit="1" customWidth="1"/>
    <col min="5389" max="5389" width="8.875" bestFit="1" customWidth="1"/>
    <col min="5390" max="5390" width="8.125" bestFit="1" customWidth="1"/>
    <col min="5633" max="5633" width="5.25" customWidth="1"/>
    <col min="5634" max="5634" width="0" hidden="1" customWidth="1"/>
    <col min="5635" max="5635" width="11.25" customWidth="1"/>
    <col min="5636" max="5636" width="5.625" customWidth="1"/>
    <col min="5637" max="5637" width="8.125" bestFit="1" customWidth="1"/>
    <col min="5638" max="5642" width="8.875" bestFit="1" customWidth="1"/>
    <col min="5643" max="5644" width="8.125" bestFit="1" customWidth="1"/>
    <col min="5645" max="5645" width="8.875" bestFit="1" customWidth="1"/>
    <col min="5646" max="5646" width="8.125" bestFit="1" customWidth="1"/>
    <col min="5889" max="5889" width="5.25" customWidth="1"/>
    <col min="5890" max="5890" width="0" hidden="1" customWidth="1"/>
    <col min="5891" max="5891" width="11.25" customWidth="1"/>
    <col min="5892" max="5892" width="5.625" customWidth="1"/>
    <col min="5893" max="5893" width="8.125" bestFit="1" customWidth="1"/>
    <col min="5894" max="5898" width="8.875" bestFit="1" customWidth="1"/>
    <col min="5899" max="5900" width="8.125" bestFit="1" customWidth="1"/>
    <col min="5901" max="5901" width="8.875" bestFit="1" customWidth="1"/>
    <col min="5902" max="5902" width="8.125" bestFit="1" customWidth="1"/>
    <col min="6145" max="6145" width="5.25" customWidth="1"/>
    <col min="6146" max="6146" width="0" hidden="1" customWidth="1"/>
    <col min="6147" max="6147" width="11.25" customWidth="1"/>
    <col min="6148" max="6148" width="5.625" customWidth="1"/>
    <col min="6149" max="6149" width="8.125" bestFit="1" customWidth="1"/>
    <col min="6150" max="6154" width="8.875" bestFit="1" customWidth="1"/>
    <col min="6155" max="6156" width="8.125" bestFit="1" customWidth="1"/>
    <col min="6157" max="6157" width="8.875" bestFit="1" customWidth="1"/>
    <col min="6158" max="6158" width="8.125" bestFit="1" customWidth="1"/>
    <col min="6401" max="6401" width="5.25" customWidth="1"/>
    <col min="6402" max="6402" width="0" hidden="1" customWidth="1"/>
    <col min="6403" max="6403" width="11.25" customWidth="1"/>
    <col min="6404" max="6404" width="5.625" customWidth="1"/>
    <col min="6405" max="6405" width="8.125" bestFit="1" customWidth="1"/>
    <col min="6406" max="6410" width="8.875" bestFit="1" customWidth="1"/>
    <col min="6411" max="6412" width="8.125" bestFit="1" customWidth="1"/>
    <col min="6413" max="6413" width="8.875" bestFit="1" customWidth="1"/>
    <col min="6414" max="6414" width="8.125" bestFit="1" customWidth="1"/>
    <col min="6657" max="6657" width="5.25" customWidth="1"/>
    <col min="6658" max="6658" width="0" hidden="1" customWidth="1"/>
    <col min="6659" max="6659" width="11.25" customWidth="1"/>
    <col min="6660" max="6660" width="5.625" customWidth="1"/>
    <col min="6661" max="6661" width="8.125" bestFit="1" customWidth="1"/>
    <col min="6662" max="6666" width="8.875" bestFit="1" customWidth="1"/>
    <col min="6667" max="6668" width="8.125" bestFit="1" customWidth="1"/>
    <col min="6669" max="6669" width="8.875" bestFit="1" customWidth="1"/>
    <col min="6670" max="6670" width="8.125" bestFit="1" customWidth="1"/>
    <col min="6913" max="6913" width="5.25" customWidth="1"/>
    <col min="6914" max="6914" width="0" hidden="1" customWidth="1"/>
    <col min="6915" max="6915" width="11.25" customWidth="1"/>
    <col min="6916" max="6916" width="5.625" customWidth="1"/>
    <col min="6917" max="6917" width="8.125" bestFit="1" customWidth="1"/>
    <col min="6918" max="6922" width="8.875" bestFit="1" customWidth="1"/>
    <col min="6923" max="6924" width="8.125" bestFit="1" customWidth="1"/>
    <col min="6925" max="6925" width="8.875" bestFit="1" customWidth="1"/>
    <col min="6926" max="6926" width="8.125" bestFit="1" customWidth="1"/>
    <col min="7169" max="7169" width="5.25" customWidth="1"/>
    <col min="7170" max="7170" width="0" hidden="1" customWidth="1"/>
    <col min="7171" max="7171" width="11.25" customWidth="1"/>
    <col min="7172" max="7172" width="5.625" customWidth="1"/>
    <col min="7173" max="7173" width="8.125" bestFit="1" customWidth="1"/>
    <col min="7174" max="7178" width="8.875" bestFit="1" customWidth="1"/>
    <col min="7179" max="7180" width="8.125" bestFit="1" customWidth="1"/>
    <col min="7181" max="7181" width="8.875" bestFit="1" customWidth="1"/>
    <col min="7182" max="7182" width="8.125" bestFit="1" customWidth="1"/>
    <col min="7425" max="7425" width="5.25" customWidth="1"/>
    <col min="7426" max="7426" width="0" hidden="1" customWidth="1"/>
    <col min="7427" max="7427" width="11.25" customWidth="1"/>
    <col min="7428" max="7428" width="5.625" customWidth="1"/>
    <col min="7429" max="7429" width="8.125" bestFit="1" customWidth="1"/>
    <col min="7430" max="7434" width="8.875" bestFit="1" customWidth="1"/>
    <col min="7435" max="7436" width="8.125" bestFit="1" customWidth="1"/>
    <col min="7437" max="7437" width="8.875" bestFit="1" customWidth="1"/>
    <col min="7438" max="7438" width="8.125" bestFit="1" customWidth="1"/>
    <col min="7681" max="7681" width="5.25" customWidth="1"/>
    <col min="7682" max="7682" width="0" hidden="1" customWidth="1"/>
    <col min="7683" max="7683" width="11.25" customWidth="1"/>
    <col min="7684" max="7684" width="5.625" customWidth="1"/>
    <col min="7685" max="7685" width="8.125" bestFit="1" customWidth="1"/>
    <col min="7686" max="7690" width="8.875" bestFit="1" customWidth="1"/>
    <col min="7691" max="7692" width="8.125" bestFit="1" customWidth="1"/>
    <col min="7693" max="7693" width="8.875" bestFit="1" customWidth="1"/>
    <col min="7694" max="7694" width="8.125" bestFit="1" customWidth="1"/>
    <col min="7937" max="7937" width="5.25" customWidth="1"/>
    <col min="7938" max="7938" width="0" hidden="1" customWidth="1"/>
    <col min="7939" max="7939" width="11.25" customWidth="1"/>
    <col min="7940" max="7940" width="5.625" customWidth="1"/>
    <col min="7941" max="7941" width="8.125" bestFit="1" customWidth="1"/>
    <col min="7942" max="7946" width="8.875" bestFit="1" customWidth="1"/>
    <col min="7947" max="7948" width="8.125" bestFit="1" customWidth="1"/>
    <col min="7949" max="7949" width="8.875" bestFit="1" customWidth="1"/>
    <col min="7950" max="7950" width="8.125" bestFit="1" customWidth="1"/>
    <col min="8193" max="8193" width="5.25" customWidth="1"/>
    <col min="8194" max="8194" width="0" hidden="1" customWidth="1"/>
    <col min="8195" max="8195" width="11.25" customWidth="1"/>
    <col min="8196" max="8196" width="5.625" customWidth="1"/>
    <col min="8197" max="8197" width="8.125" bestFit="1" customWidth="1"/>
    <col min="8198" max="8202" width="8.875" bestFit="1" customWidth="1"/>
    <col min="8203" max="8204" width="8.125" bestFit="1" customWidth="1"/>
    <col min="8205" max="8205" width="8.875" bestFit="1" customWidth="1"/>
    <col min="8206" max="8206" width="8.125" bestFit="1" customWidth="1"/>
    <col min="8449" max="8449" width="5.25" customWidth="1"/>
    <col min="8450" max="8450" width="0" hidden="1" customWidth="1"/>
    <col min="8451" max="8451" width="11.25" customWidth="1"/>
    <col min="8452" max="8452" width="5.625" customWidth="1"/>
    <col min="8453" max="8453" width="8.125" bestFit="1" customWidth="1"/>
    <col min="8454" max="8458" width="8.875" bestFit="1" customWidth="1"/>
    <col min="8459" max="8460" width="8.125" bestFit="1" customWidth="1"/>
    <col min="8461" max="8461" width="8.875" bestFit="1" customWidth="1"/>
    <col min="8462" max="8462" width="8.125" bestFit="1" customWidth="1"/>
    <col min="8705" max="8705" width="5.25" customWidth="1"/>
    <col min="8706" max="8706" width="0" hidden="1" customWidth="1"/>
    <col min="8707" max="8707" width="11.25" customWidth="1"/>
    <col min="8708" max="8708" width="5.625" customWidth="1"/>
    <col min="8709" max="8709" width="8.125" bestFit="1" customWidth="1"/>
    <col min="8710" max="8714" width="8.875" bestFit="1" customWidth="1"/>
    <col min="8715" max="8716" width="8.125" bestFit="1" customWidth="1"/>
    <col min="8717" max="8717" width="8.875" bestFit="1" customWidth="1"/>
    <col min="8718" max="8718" width="8.125" bestFit="1" customWidth="1"/>
    <col min="8961" max="8961" width="5.25" customWidth="1"/>
    <col min="8962" max="8962" width="0" hidden="1" customWidth="1"/>
    <col min="8963" max="8963" width="11.25" customWidth="1"/>
    <col min="8964" max="8964" width="5.625" customWidth="1"/>
    <col min="8965" max="8965" width="8.125" bestFit="1" customWidth="1"/>
    <col min="8966" max="8970" width="8.875" bestFit="1" customWidth="1"/>
    <col min="8971" max="8972" width="8.125" bestFit="1" customWidth="1"/>
    <col min="8973" max="8973" width="8.875" bestFit="1" customWidth="1"/>
    <col min="8974" max="8974" width="8.125" bestFit="1" customWidth="1"/>
    <col min="9217" max="9217" width="5.25" customWidth="1"/>
    <col min="9218" max="9218" width="0" hidden="1" customWidth="1"/>
    <col min="9219" max="9219" width="11.25" customWidth="1"/>
    <col min="9220" max="9220" width="5.625" customWidth="1"/>
    <col min="9221" max="9221" width="8.125" bestFit="1" customWidth="1"/>
    <col min="9222" max="9226" width="8.875" bestFit="1" customWidth="1"/>
    <col min="9227" max="9228" width="8.125" bestFit="1" customWidth="1"/>
    <col min="9229" max="9229" width="8.875" bestFit="1" customWidth="1"/>
    <col min="9230" max="9230" width="8.125" bestFit="1" customWidth="1"/>
    <col min="9473" max="9473" width="5.25" customWidth="1"/>
    <col min="9474" max="9474" width="0" hidden="1" customWidth="1"/>
    <col min="9475" max="9475" width="11.25" customWidth="1"/>
    <col min="9476" max="9476" width="5.625" customWidth="1"/>
    <col min="9477" max="9477" width="8.125" bestFit="1" customWidth="1"/>
    <col min="9478" max="9482" width="8.875" bestFit="1" customWidth="1"/>
    <col min="9483" max="9484" width="8.125" bestFit="1" customWidth="1"/>
    <col min="9485" max="9485" width="8.875" bestFit="1" customWidth="1"/>
    <col min="9486" max="9486" width="8.125" bestFit="1" customWidth="1"/>
    <col min="9729" max="9729" width="5.25" customWidth="1"/>
    <col min="9730" max="9730" width="0" hidden="1" customWidth="1"/>
    <col min="9731" max="9731" width="11.25" customWidth="1"/>
    <col min="9732" max="9732" width="5.625" customWidth="1"/>
    <col min="9733" max="9733" width="8.125" bestFit="1" customWidth="1"/>
    <col min="9734" max="9738" width="8.875" bestFit="1" customWidth="1"/>
    <col min="9739" max="9740" width="8.125" bestFit="1" customWidth="1"/>
    <col min="9741" max="9741" width="8.875" bestFit="1" customWidth="1"/>
    <col min="9742" max="9742" width="8.125" bestFit="1" customWidth="1"/>
    <col min="9985" max="9985" width="5.25" customWidth="1"/>
    <col min="9986" max="9986" width="0" hidden="1" customWidth="1"/>
    <col min="9987" max="9987" width="11.25" customWidth="1"/>
    <col min="9988" max="9988" width="5.625" customWidth="1"/>
    <col min="9989" max="9989" width="8.125" bestFit="1" customWidth="1"/>
    <col min="9990" max="9994" width="8.875" bestFit="1" customWidth="1"/>
    <col min="9995" max="9996" width="8.125" bestFit="1" customWidth="1"/>
    <col min="9997" max="9997" width="8.875" bestFit="1" customWidth="1"/>
    <col min="9998" max="9998" width="8.125" bestFit="1" customWidth="1"/>
    <col min="10241" max="10241" width="5.25" customWidth="1"/>
    <col min="10242" max="10242" width="0" hidden="1" customWidth="1"/>
    <col min="10243" max="10243" width="11.25" customWidth="1"/>
    <col min="10244" max="10244" width="5.625" customWidth="1"/>
    <col min="10245" max="10245" width="8.125" bestFit="1" customWidth="1"/>
    <col min="10246" max="10250" width="8.875" bestFit="1" customWidth="1"/>
    <col min="10251" max="10252" width="8.125" bestFit="1" customWidth="1"/>
    <col min="10253" max="10253" width="8.875" bestFit="1" customWidth="1"/>
    <col min="10254" max="10254" width="8.125" bestFit="1" customWidth="1"/>
    <col min="10497" max="10497" width="5.25" customWidth="1"/>
    <col min="10498" max="10498" width="0" hidden="1" customWidth="1"/>
    <col min="10499" max="10499" width="11.25" customWidth="1"/>
    <col min="10500" max="10500" width="5.625" customWidth="1"/>
    <col min="10501" max="10501" width="8.125" bestFit="1" customWidth="1"/>
    <col min="10502" max="10506" width="8.875" bestFit="1" customWidth="1"/>
    <col min="10507" max="10508" width="8.125" bestFit="1" customWidth="1"/>
    <col min="10509" max="10509" width="8.875" bestFit="1" customWidth="1"/>
    <col min="10510" max="10510" width="8.125" bestFit="1" customWidth="1"/>
    <col min="10753" max="10753" width="5.25" customWidth="1"/>
    <col min="10754" max="10754" width="0" hidden="1" customWidth="1"/>
    <col min="10755" max="10755" width="11.25" customWidth="1"/>
    <col min="10756" max="10756" width="5.625" customWidth="1"/>
    <col min="10757" max="10757" width="8.125" bestFit="1" customWidth="1"/>
    <col min="10758" max="10762" width="8.875" bestFit="1" customWidth="1"/>
    <col min="10763" max="10764" width="8.125" bestFit="1" customWidth="1"/>
    <col min="10765" max="10765" width="8.875" bestFit="1" customWidth="1"/>
    <col min="10766" max="10766" width="8.125" bestFit="1" customWidth="1"/>
    <col min="11009" max="11009" width="5.25" customWidth="1"/>
    <col min="11010" max="11010" width="0" hidden="1" customWidth="1"/>
    <col min="11011" max="11011" width="11.25" customWidth="1"/>
    <col min="11012" max="11012" width="5.625" customWidth="1"/>
    <col min="11013" max="11013" width="8.125" bestFit="1" customWidth="1"/>
    <col min="11014" max="11018" width="8.875" bestFit="1" customWidth="1"/>
    <col min="11019" max="11020" width="8.125" bestFit="1" customWidth="1"/>
    <col min="11021" max="11021" width="8.875" bestFit="1" customWidth="1"/>
    <col min="11022" max="11022" width="8.125" bestFit="1" customWidth="1"/>
    <col min="11265" max="11265" width="5.25" customWidth="1"/>
    <col min="11266" max="11266" width="0" hidden="1" customWidth="1"/>
    <col min="11267" max="11267" width="11.25" customWidth="1"/>
    <col min="11268" max="11268" width="5.625" customWidth="1"/>
    <col min="11269" max="11269" width="8.125" bestFit="1" customWidth="1"/>
    <col min="11270" max="11274" width="8.875" bestFit="1" customWidth="1"/>
    <col min="11275" max="11276" width="8.125" bestFit="1" customWidth="1"/>
    <col min="11277" max="11277" width="8.875" bestFit="1" customWidth="1"/>
    <col min="11278" max="11278" width="8.125" bestFit="1" customWidth="1"/>
    <col min="11521" max="11521" width="5.25" customWidth="1"/>
    <col min="11522" max="11522" width="0" hidden="1" customWidth="1"/>
    <col min="11523" max="11523" width="11.25" customWidth="1"/>
    <col min="11524" max="11524" width="5.625" customWidth="1"/>
    <col min="11525" max="11525" width="8.125" bestFit="1" customWidth="1"/>
    <col min="11526" max="11530" width="8.875" bestFit="1" customWidth="1"/>
    <col min="11531" max="11532" width="8.125" bestFit="1" customWidth="1"/>
    <col min="11533" max="11533" width="8.875" bestFit="1" customWidth="1"/>
    <col min="11534" max="11534" width="8.125" bestFit="1" customWidth="1"/>
    <col min="11777" max="11777" width="5.25" customWidth="1"/>
    <col min="11778" max="11778" width="0" hidden="1" customWidth="1"/>
    <col min="11779" max="11779" width="11.25" customWidth="1"/>
    <col min="11780" max="11780" width="5.625" customWidth="1"/>
    <col min="11781" max="11781" width="8.125" bestFit="1" customWidth="1"/>
    <col min="11782" max="11786" width="8.875" bestFit="1" customWidth="1"/>
    <col min="11787" max="11788" width="8.125" bestFit="1" customWidth="1"/>
    <col min="11789" max="11789" width="8.875" bestFit="1" customWidth="1"/>
    <col min="11790" max="11790" width="8.125" bestFit="1" customWidth="1"/>
    <col min="12033" max="12033" width="5.25" customWidth="1"/>
    <col min="12034" max="12034" width="0" hidden="1" customWidth="1"/>
    <col min="12035" max="12035" width="11.25" customWidth="1"/>
    <col min="12036" max="12036" width="5.625" customWidth="1"/>
    <col min="12037" max="12037" width="8.125" bestFit="1" customWidth="1"/>
    <col min="12038" max="12042" width="8.875" bestFit="1" customWidth="1"/>
    <col min="12043" max="12044" width="8.125" bestFit="1" customWidth="1"/>
    <col min="12045" max="12045" width="8.875" bestFit="1" customWidth="1"/>
    <col min="12046" max="12046" width="8.125" bestFit="1" customWidth="1"/>
    <col min="12289" max="12289" width="5.25" customWidth="1"/>
    <col min="12290" max="12290" width="0" hidden="1" customWidth="1"/>
    <col min="12291" max="12291" width="11.25" customWidth="1"/>
    <col min="12292" max="12292" width="5.625" customWidth="1"/>
    <col min="12293" max="12293" width="8.125" bestFit="1" customWidth="1"/>
    <col min="12294" max="12298" width="8.875" bestFit="1" customWidth="1"/>
    <col min="12299" max="12300" width="8.125" bestFit="1" customWidth="1"/>
    <col min="12301" max="12301" width="8.875" bestFit="1" customWidth="1"/>
    <col min="12302" max="12302" width="8.125" bestFit="1" customWidth="1"/>
    <col min="12545" max="12545" width="5.25" customWidth="1"/>
    <col min="12546" max="12546" width="0" hidden="1" customWidth="1"/>
    <col min="12547" max="12547" width="11.25" customWidth="1"/>
    <col min="12548" max="12548" width="5.625" customWidth="1"/>
    <col min="12549" max="12549" width="8.125" bestFit="1" customWidth="1"/>
    <col min="12550" max="12554" width="8.875" bestFit="1" customWidth="1"/>
    <col min="12555" max="12556" width="8.125" bestFit="1" customWidth="1"/>
    <col min="12557" max="12557" width="8.875" bestFit="1" customWidth="1"/>
    <col min="12558" max="12558" width="8.125" bestFit="1" customWidth="1"/>
    <col min="12801" max="12801" width="5.25" customWidth="1"/>
    <col min="12802" max="12802" width="0" hidden="1" customWidth="1"/>
    <col min="12803" max="12803" width="11.25" customWidth="1"/>
    <col min="12804" max="12804" width="5.625" customWidth="1"/>
    <col min="12805" max="12805" width="8.125" bestFit="1" customWidth="1"/>
    <col min="12806" max="12810" width="8.875" bestFit="1" customWidth="1"/>
    <col min="12811" max="12812" width="8.125" bestFit="1" customWidth="1"/>
    <col min="12813" max="12813" width="8.875" bestFit="1" customWidth="1"/>
    <col min="12814" max="12814" width="8.125" bestFit="1" customWidth="1"/>
    <col min="13057" max="13057" width="5.25" customWidth="1"/>
    <col min="13058" max="13058" width="0" hidden="1" customWidth="1"/>
    <col min="13059" max="13059" width="11.25" customWidth="1"/>
    <col min="13060" max="13060" width="5.625" customWidth="1"/>
    <col min="13061" max="13061" width="8.125" bestFit="1" customWidth="1"/>
    <col min="13062" max="13066" width="8.875" bestFit="1" customWidth="1"/>
    <col min="13067" max="13068" width="8.125" bestFit="1" customWidth="1"/>
    <col min="13069" max="13069" width="8.875" bestFit="1" customWidth="1"/>
    <col min="13070" max="13070" width="8.125" bestFit="1" customWidth="1"/>
    <col min="13313" max="13313" width="5.25" customWidth="1"/>
    <col min="13314" max="13314" width="0" hidden="1" customWidth="1"/>
    <col min="13315" max="13315" width="11.25" customWidth="1"/>
    <col min="13316" max="13316" width="5.625" customWidth="1"/>
    <col min="13317" max="13317" width="8.125" bestFit="1" customWidth="1"/>
    <col min="13318" max="13322" width="8.875" bestFit="1" customWidth="1"/>
    <col min="13323" max="13324" width="8.125" bestFit="1" customWidth="1"/>
    <col min="13325" max="13325" width="8.875" bestFit="1" customWidth="1"/>
    <col min="13326" max="13326" width="8.125" bestFit="1" customWidth="1"/>
    <col min="13569" max="13569" width="5.25" customWidth="1"/>
    <col min="13570" max="13570" width="0" hidden="1" customWidth="1"/>
    <col min="13571" max="13571" width="11.25" customWidth="1"/>
    <col min="13572" max="13572" width="5.625" customWidth="1"/>
    <col min="13573" max="13573" width="8.125" bestFit="1" customWidth="1"/>
    <col min="13574" max="13578" width="8.875" bestFit="1" customWidth="1"/>
    <col min="13579" max="13580" width="8.125" bestFit="1" customWidth="1"/>
    <col min="13581" max="13581" width="8.875" bestFit="1" customWidth="1"/>
    <col min="13582" max="13582" width="8.125" bestFit="1" customWidth="1"/>
    <col min="13825" max="13825" width="5.25" customWidth="1"/>
    <col min="13826" max="13826" width="0" hidden="1" customWidth="1"/>
    <col min="13827" max="13827" width="11.25" customWidth="1"/>
    <col min="13828" max="13828" width="5.625" customWidth="1"/>
    <col min="13829" max="13829" width="8.125" bestFit="1" customWidth="1"/>
    <col min="13830" max="13834" width="8.875" bestFit="1" customWidth="1"/>
    <col min="13835" max="13836" width="8.125" bestFit="1" customWidth="1"/>
    <col min="13837" max="13837" width="8.875" bestFit="1" customWidth="1"/>
    <col min="13838" max="13838" width="8.125" bestFit="1" customWidth="1"/>
    <col min="14081" max="14081" width="5.25" customWidth="1"/>
    <col min="14082" max="14082" width="0" hidden="1" customWidth="1"/>
    <col min="14083" max="14083" width="11.25" customWidth="1"/>
    <col min="14084" max="14084" width="5.625" customWidth="1"/>
    <col min="14085" max="14085" width="8.125" bestFit="1" customWidth="1"/>
    <col min="14086" max="14090" width="8.875" bestFit="1" customWidth="1"/>
    <col min="14091" max="14092" width="8.125" bestFit="1" customWidth="1"/>
    <col min="14093" max="14093" width="8.875" bestFit="1" customWidth="1"/>
    <col min="14094" max="14094" width="8.125" bestFit="1" customWidth="1"/>
    <col min="14337" max="14337" width="5.25" customWidth="1"/>
    <col min="14338" max="14338" width="0" hidden="1" customWidth="1"/>
    <col min="14339" max="14339" width="11.25" customWidth="1"/>
    <col min="14340" max="14340" width="5.625" customWidth="1"/>
    <col min="14341" max="14341" width="8.125" bestFit="1" customWidth="1"/>
    <col min="14342" max="14346" width="8.875" bestFit="1" customWidth="1"/>
    <col min="14347" max="14348" width="8.125" bestFit="1" customWidth="1"/>
    <col min="14349" max="14349" width="8.875" bestFit="1" customWidth="1"/>
    <col min="14350" max="14350" width="8.125" bestFit="1" customWidth="1"/>
    <col min="14593" max="14593" width="5.25" customWidth="1"/>
    <col min="14594" max="14594" width="0" hidden="1" customWidth="1"/>
    <col min="14595" max="14595" width="11.25" customWidth="1"/>
    <col min="14596" max="14596" width="5.625" customWidth="1"/>
    <col min="14597" max="14597" width="8.125" bestFit="1" customWidth="1"/>
    <col min="14598" max="14602" width="8.875" bestFit="1" customWidth="1"/>
    <col min="14603" max="14604" width="8.125" bestFit="1" customWidth="1"/>
    <col min="14605" max="14605" width="8.875" bestFit="1" customWidth="1"/>
    <col min="14606" max="14606" width="8.125" bestFit="1" customWidth="1"/>
    <col min="14849" max="14849" width="5.25" customWidth="1"/>
    <col min="14850" max="14850" width="0" hidden="1" customWidth="1"/>
    <col min="14851" max="14851" width="11.25" customWidth="1"/>
    <col min="14852" max="14852" width="5.625" customWidth="1"/>
    <col min="14853" max="14853" width="8.125" bestFit="1" customWidth="1"/>
    <col min="14854" max="14858" width="8.875" bestFit="1" customWidth="1"/>
    <col min="14859" max="14860" width="8.125" bestFit="1" customWidth="1"/>
    <col min="14861" max="14861" width="8.875" bestFit="1" customWidth="1"/>
    <col min="14862" max="14862" width="8.125" bestFit="1" customWidth="1"/>
    <col min="15105" max="15105" width="5.25" customWidth="1"/>
    <col min="15106" max="15106" width="0" hidden="1" customWidth="1"/>
    <col min="15107" max="15107" width="11.25" customWidth="1"/>
    <col min="15108" max="15108" width="5.625" customWidth="1"/>
    <col min="15109" max="15109" width="8.125" bestFit="1" customWidth="1"/>
    <col min="15110" max="15114" width="8.875" bestFit="1" customWidth="1"/>
    <col min="15115" max="15116" width="8.125" bestFit="1" customWidth="1"/>
    <col min="15117" max="15117" width="8.875" bestFit="1" customWidth="1"/>
    <col min="15118" max="15118" width="8.125" bestFit="1" customWidth="1"/>
    <col min="15361" max="15361" width="5.25" customWidth="1"/>
    <col min="15362" max="15362" width="0" hidden="1" customWidth="1"/>
    <col min="15363" max="15363" width="11.25" customWidth="1"/>
    <col min="15364" max="15364" width="5.625" customWidth="1"/>
    <col min="15365" max="15365" width="8.125" bestFit="1" customWidth="1"/>
    <col min="15366" max="15370" width="8.875" bestFit="1" customWidth="1"/>
    <col min="15371" max="15372" width="8.125" bestFit="1" customWidth="1"/>
    <col min="15373" max="15373" width="8.875" bestFit="1" customWidth="1"/>
    <col min="15374" max="15374" width="8.125" bestFit="1" customWidth="1"/>
    <col min="15617" max="15617" width="5.25" customWidth="1"/>
    <col min="15618" max="15618" width="0" hidden="1" customWidth="1"/>
    <col min="15619" max="15619" width="11.25" customWidth="1"/>
    <col min="15620" max="15620" width="5.625" customWidth="1"/>
    <col min="15621" max="15621" width="8.125" bestFit="1" customWidth="1"/>
    <col min="15622" max="15626" width="8.875" bestFit="1" customWidth="1"/>
    <col min="15627" max="15628" width="8.125" bestFit="1" customWidth="1"/>
    <col min="15629" max="15629" width="8.875" bestFit="1" customWidth="1"/>
    <col min="15630" max="15630" width="8.125" bestFit="1" customWidth="1"/>
    <col min="15873" max="15873" width="5.25" customWidth="1"/>
    <col min="15874" max="15874" width="0" hidden="1" customWidth="1"/>
    <col min="15875" max="15875" width="11.25" customWidth="1"/>
    <col min="15876" max="15876" width="5.625" customWidth="1"/>
    <col min="15877" max="15877" width="8.125" bestFit="1" customWidth="1"/>
    <col min="15878" max="15882" width="8.875" bestFit="1" customWidth="1"/>
    <col min="15883" max="15884" width="8.125" bestFit="1" customWidth="1"/>
    <col min="15885" max="15885" width="8.875" bestFit="1" customWidth="1"/>
    <col min="15886" max="15886" width="8.125" bestFit="1" customWidth="1"/>
    <col min="16129" max="16129" width="5.25" customWidth="1"/>
    <col min="16130" max="16130" width="0" hidden="1" customWidth="1"/>
    <col min="16131" max="16131" width="11.25" customWidth="1"/>
    <col min="16132" max="16132" width="5.625" customWidth="1"/>
    <col min="16133" max="16133" width="8.125" bestFit="1" customWidth="1"/>
    <col min="16134" max="16138" width="8.875" bestFit="1" customWidth="1"/>
    <col min="16139" max="16140" width="8.125" bestFit="1" customWidth="1"/>
    <col min="16141" max="16141" width="8.875" bestFit="1" customWidth="1"/>
    <col min="16142" max="16142" width="8.125" bestFit="1" customWidth="1"/>
  </cols>
  <sheetData>
    <row r="1" spans="1:17" s="123" customFormat="1" ht="12.75" x14ac:dyDescent="0.2">
      <c r="B1" s="123" t="s">
        <v>183</v>
      </c>
      <c r="D1" s="123" t="s">
        <v>183</v>
      </c>
      <c r="E1" s="124" t="s">
        <v>184</v>
      </c>
      <c r="F1" s="124" t="s">
        <v>185</v>
      </c>
      <c r="G1" s="124" t="s">
        <v>185</v>
      </c>
      <c r="H1" s="124" t="s">
        <v>99</v>
      </c>
      <c r="I1" s="124" t="s">
        <v>186</v>
      </c>
      <c r="J1" s="124" t="s">
        <v>186</v>
      </c>
      <c r="K1" s="124" t="s">
        <v>186</v>
      </c>
      <c r="L1" s="124" t="s">
        <v>186</v>
      </c>
      <c r="M1" s="124" t="s">
        <v>187</v>
      </c>
      <c r="N1" s="124" t="s">
        <v>99</v>
      </c>
      <c r="O1" s="125" t="s">
        <v>99</v>
      </c>
      <c r="P1" s="125" t="s">
        <v>188</v>
      </c>
      <c r="Q1" s="125" t="s">
        <v>189</v>
      </c>
    </row>
    <row r="2" spans="1:17" s="123" customFormat="1" ht="12.75" x14ac:dyDescent="0.2">
      <c r="B2" s="123" t="s">
        <v>190</v>
      </c>
      <c r="C2" s="123" t="s">
        <v>191</v>
      </c>
      <c r="D2" s="123" t="s">
        <v>192</v>
      </c>
      <c r="E2" s="124">
        <v>2010</v>
      </c>
      <c r="F2" s="124" t="s">
        <v>193</v>
      </c>
      <c r="G2" s="124" t="s">
        <v>194</v>
      </c>
      <c r="H2" s="124" t="s">
        <v>185</v>
      </c>
      <c r="I2" s="124" t="s">
        <v>195</v>
      </c>
      <c r="J2" s="124" t="s">
        <v>196</v>
      </c>
      <c r="K2" s="124" t="s">
        <v>197</v>
      </c>
      <c r="L2" s="124" t="s">
        <v>198</v>
      </c>
      <c r="M2" s="124" t="s">
        <v>186</v>
      </c>
      <c r="N2" s="124" t="s">
        <v>126</v>
      </c>
      <c r="O2" s="125" t="s">
        <v>126</v>
      </c>
      <c r="P2" s="125" t="s">
        <v>199</v>
      </c>
      <c r="Q2" s="125" t="s">
        <v>196</v>
      </c>
    </row>
    <row r="3" spans="1:17" s="123" customFormat="1" ht="12.75" x14ac:dyDescent="0.2">
      <c r="A3" s="126"/>
      <c r="B3" s="126"/>
      <c r="C3" s="126"/>
      <c r="D3" s="126"/>
      <c r="E3" s="127" t="s">
        <v>200</v>
      </c>
      <c r="F3" s="127" t="s">
        <v>201</v>
      </c>
      <c r="G3" s="127" t="s">
        <v>201</v>
      </c>
      <c r="H3" s="127" t="s">
        <v>201</v>
      </c>
      <c r="I3" s="127" t="s">
        <v>201</v>
      </c>
      <c r="J3" s="127" t="s">
        <v>201</v>
      </c>
      <c r="K3" s="127" t="s">
        <v>201</v>
      </c>
      <c r="L3" s="127" t="s">
        <v>201</v>
      </c>
      <c r="M3" s="127" t="s">
        <v>201</v>
      </c>
      <c r="N3" s="127" t="s">
        <v>201</v>
      </c>
      <c r="O3" s="128" t="s">
        <v>202</v>
      </c>
      <c r="P3" s="128" t="s">
        <v>203</v>
      </c>
      <c r="Q3" s="128" t="s">
        <v>203</v>
      </c>
    </row>
    <row r="4" spans="1:17" x14ac:dyDescent="0.2">
      <c r="B4">
        <v>1</v>
      </c>
      <c r="E4" s="129">
        <v>12619</v>
      </c>
      <c r="F4" s="129">
        <v>0</v>
      </c>
      <c r="G4" s="129">
        <v>844413</v>
      </c>
      <c r="H4" s="129">
        <v>844413</v>
      </c>
      <c r="I4" s="129">
        <v>585730</v>
      </c>
      <c r="J4" s="129">
        <v>657280</v>
      </c>
      <c r="K4" s="129">
        <v>6685</v>
      </c>
      <c r="L4" s="129">
        <v>707</v>
      </c>
      <c r="M4" s="129">
        <v>664672</v>
      </c>
      <c r="N4" s="129">
        <v>179741</v>
      </c>
      <c r="O4" s="130">
        <v>21.285911041161139</v>
      </c>
      <c r="P4" s="130">
        <v>46.416514779301053</v>
      </c>
      <c r="Q4" s="130">
        <v>52.086536175608209</v>
      </c>
    </row>
    <row r="5" spans="1:17" x14ac:dyDescent="0.2">
      <c r="E5" s="129">
        <v>5761</v>
      </c>
      <c r="F5" s="129">
        <v>0</v>
      </c>
      <c r="G5" s="129">
        <v>456900</v>
      </c>
      <c r="H5" s="129">
        <v>456900</v>
      </c>
      <c r="I5" s="129">
        <v>251438</v>
      </c>
      <c r="J5" s="129">
        <v>297072</v>
      </c>
      <c r="K5" s="129">
        <v>1327</v>
      </c>
      <c r="L5" s="129">
        <v>678</v>
      </c>
      <c r="M5" s="129">
        <v>299077</v>
      </c>
      <c r="N5" s="129">
        <v>157823</v>
      </c>
      <c r="O5" s="130">
        <v>34.542131757496172</v>
      </c>
      <c r="P5" s="130">
        <v>43.644853324075683</v>
      </c>
      <c r="Q5" s="130">
        <v>51.566047561187297</v>
      </c>
    </row>
    <row r="6" spans="1:17" x14ac:dyDescent="0.2">
      <c r="E6" s="129">
        <v>8795</v>
      </c>
      <c r="F6" s="129">
        <v>0</v>
      </c>
      <c r="G6" s="129">
        <v>679942</v>
      </c>
      <c r="H6" s="129">
        <v>679942</v>
      </c>
      <c r="I6" s="129">
        <v>476860</v>
      </c>
      <c r="J6" s="129">
        <v>582205</v>
      </c>
      <c r="K6" s="129">
        <v>0</v>
      </c>
      <c r="L6" s="129">
        <v>28416</v>
      </c>
      <c r="M6" s="129">
        <v>610621</v>
      </c>
      <c r="N6" s="129">
        <v>69321</v>
      </c>
      <c r="O6" s="130">
        <v>10.195134290865985</v>
      </c>
      <c r="P6" s="130">
        <v>54.219442865264355</v>
      </c>
      <c r="Q6" s="130">
        <v>66.197271176805003</v>
      </c>
    </row>
    <row r="7" spans="1:17" x14ac:dyDescent="0.2">
      <c r="E7" s="129">
        <v>15032</v>
      </c>
      <c r="F7" s="129">
        <v>0</v>
      </c>
      <c r="G7" s="129">
        <v>1352569</v>
      </c>
      <c r="H7" s="129">
        <v>1352569</v>
      </c>
      <c r="I7" s="129">
        <v>618591</v>
      </c>
      <c r="J7" s="129">
        <v>812027</v>
      </c>
      <c r="K7" s="129">
        <v>22266</v>
      </c>
      <c r="L7" s="129">
        <v>17242</v>
      </c>
      <c r="M7" s="129">
        <v>851535</v>
      </c>
      <c r="N7" s="129">
        <v>501034</v>
      </c>
      <c r="O7" s="130">
        <v>37.043137910154677</v>
      </c>
      <c r="P7" s="130">
        <v>41.151609898882384</v>
      </c>
      <c r="Q7" s="130">
        <v>54.019890899414584</v>
      </c>
    </row>
    <row r="8" spans="1:17" x14ac:dyDescent="0.2">
      <c r="E8" s="129">
        <v>18574</v>
      </c>
      <c r="F8" s="129">
        <v>0</v>
      </c>
      <c r="G8" s="129">
        <v>1436138</v>
      </c>
      <c r="H8" s="129">
        <v>1436138</v>
      </c>
      <c r="I8" s="129">
        <v>935763</v>
      </c>
      <c r="J8" s="129">
        <v>1051274</v>
      </c>
      <c r="K8" s="129">
        <v>0</v>
      </c>
      <c r="L8" s="129">
        <v>7949</v>
      </c>
      <c r="M8" s="129">
        <v>1059223</v>
      </c>
      <c r="N8" s="129">
        <v>376915</v>
      </c>
      <c r="O8" s="130">
        <v>26.245040518390294</v>
      </c>
      <c r="P8" s="130">
        <v>50.380262732852373</v>
      </c>
      <c r="Q8" s="130">
        <v>56.599224722730696</v>
      </c>
    </row>
    <row r="9" spans="1:17" x14ac:dyDescent="0.2">
      <c r="E9" s="129">
        <v>3448</v>
      </c>
      <c r="F9" s="129">
        <v>0</v>
      </c>
      <c r="G9" s="129">
        <v>250660</v>
      </c>
      <c r="H9" s="129">
        <v>250660</v>
      </c>
      <c r="I9" s="129">
        <v>164810</v>
      </c>
      <c r="J9" s="129">
        <v>179826</v>
      </c>
      <c r="K9" s="129">
        <v>0</v>
      </c>
      <c r="L9" s="129">
        <v>23457</v>
      </c>
      <c r="M9" s="129">
        <v>203283</v>
      </c>
      <c r="N9" s="129">
        <v>47377</v>
      </c>
      <c r="O9" s="130">
        <v>479.06473501271989</v>
      </c>
      <c r="P9" s="130">
        <v>47.798723897911835</v>
      </c>
      <c r="Q9" s="130">
        <v>52.153712296983755</v>
      </c>
    </row>
    <row r="10" spans="1:17" x14ac:dyDescent="0.2">
      <c r="E10" s="129">
        <v>5754</v>
      </c>
      <c r="F10" s="129">
        <v>0</v>
      </c>
      <c r="G10" s="129">
        <v>285452</v>
      </c>
      <c r="H10" s="129">
        <v>285452</v>
      </c>
      <c r="I10" s="129">
        <v>235521</v>
      </c>
      <c r="J10" s="129">
        <v>255627</v>
      </c>
      <c r="K10" s="129">
        <v>0</v>
      </c>
      <c r="L10" s="129">
        <v>3531</v>
      </c>
      <c r="M10" s="129">
        <v>259158</v>
      </c>
      <c r="N10" s="129">
        <v>26294</v>
      </c>
      <c r="O10" s="130">
        <v>9.2113560248307937</v>
      </c>
      <c r="P10" s="130">
        <v>40.931699687174138</v>
      </c>
      <c r="Q10" s="130">
        <v>44.425964546402504</v>
      </c>
    </row>
    <row r="11" spans="1:17" x14ac:dyDescent="0.2">
      <c r="A11">
        <v>2011</v>
      </c>
      <c r="C11" t="s">
        <v>31</v>
      </c>
      <c r="D11">
        <v>639</v>
      </c>
      <c r="E11" s="129">
        <v>69983</v>
      </c>
      <c r="F11" s="129">
        <v>0</v>
      </c>
      <c r="G11" s="129">
        <v>5306074</v>
      </c>
      <c r="H11" s="129">
        <v>5306074</v>
      </c>
      <c r="I11" s="129">
        <v>3268713</v>
      </c>
      <c r="J11" s="129">
        <v>3835311</v>
      </c>
      <c r="K11" s="129">
        <v>30278</v>
      </c>
      <c r="L11" s="129">
        <v>81980</v>
      </c>
      <c r="M11" s="129">
        <v>3947569</v>
      </c>
      <c r="N11" s="129">
        <v>1358505</v>
      </c>
      <c r="O11" s="130">
        <v>25.602828004283396</v>
      </c>
      <c r="P11" s="130">
        <v>46.707243187631285</v>
      </c>
      <c r="Q11" s="130">
        <v>54.803466556163642</v>
      </c>
    </row>
    <row r="12" spans="1:17" x14ac:dyDescent="0.2">
      <c r="E12" s="129">
        <v>788052</v>
      </c>
      <c r="F12" s="129">
        <v>0</v>
      </c>
      <c r="G12" s="129">
        <v>57465303</v>
      </c>
      <c r="H12" s="129">
        <v>57465303</v>
      </c>
      <c r="I12" s="129">
        <v>29584429</v>
      </c>
      <c r="J12" s="129">
        <v>46430151</v>
      </c>
      <c r="K12" s="129">
        <v>2729779</v>
      </c>
      <c r="L12" s="129">
        <v>342936</v>
      </c>
      <c r="M12" s="129">
        <v>49502866</v>
      </c>
      <c r="N12" s="129">
        <v>7962437</v>
      </c>
      <c r="O12" s="130">
        <v>13.856077640450273</v>
      </c>
      <c r="P12" s="130">
        <v>37.541214285351728</v>
      </c>
      <c r="Q12" s="130">
        <v>58.917623456320143</v>
      </c>
    </row>
    <row r="13" spans="1:17" x14ac:dyDescent="0.2">
      <c r="E13" s="129">
        <v>6094</v>
      </c>
      <c r="F13" s="129">
        <v>0</v>
      </c>
      <c r="G13" s="129">
        <v>379883</v>
      </c>
      <c r="H13" s="129">
        <v>379883</v>
      </c>
      <c r="I13" s="129">
        <v>229386</v>
      </c>
      <c r="J13" s="129">
        <v>255647</v>
      </c>
      <c r="K13" s="129">
        <v>0</v>
      </c>
      <c r="L13" s="129">
        <v>800</v>
      </c>
      <c r="M13" s="129">
        <v>256447</v>
      </c>
      <c r="N13" s="129">
        <v>123436</v>
      </c>
      <c r="O13" s="130">
        <v>32.493162368413429</v>
      </c>
      <c r="P13" s="130">
        <v>37.641286511322612</v>
      </c>
      <c r="Q13" s="130">
        <v>41.950607154578272</v>
      </c>
    </row>
    <row r="14" spans="1:17" x14ac:dyDescent="0.2">
      <c r="E14" s="129">
        <v>24014</v>
      </c>
      <c r="F14" s="129">
        <v>0</v>
      </c>
      <c r="G14" s="129">
        <v>1861170</v>
      </c>
      <c r="H14" s="129">
        <v>1861170</v>
      </c>
      <c r="I14" s="129">
        <v>1386218</v>
      </c>
      <c r="J14" s="129">
        <v>1543371</v>
      </c>
      <c r="K14" s="129">
        <v>0</v>
      </c>
      <c r="L14" s="129">
        <v>0</v>
      </c>
      <c r="M14" s="129">
        <v>1543371</v>
      </c>
      <c r="N14" s="129">
        <v>317799</v>
      </c>
      <c r="O14" s="130">
        <v>17.075226873418334</v>
      </c>
      <c r="P14" s="130">
        <v>57.725410177396519</v>
      </c>
      <c r="Q14" s="130">
        <v>64.269634379945032</v>
      </c>
    </row>
    <row r="15" spans="1:17" x14ac:dyDescent="0.2">
      <c r="A15">
        <v>2011</v>
      </c>
      <c r="B15">
        <v>2</v>
      </c>
      <c r="C15" t="s">
        <v>21</v>
      </c>
      <c r="D15">
        <v>8625</v>
      </c>
      <c r="E15" s="129">
        <v>818160</v>
      </c>
      <c r="F15" s="129">
        <v>0</v>
      </c>
      <c r="G15" s="129">
        <v>59706356</v>
      </c>
      <c r="H15" s="129">
        <v>59706356</v>
      </c>
      <c r="I15" s="129">
        <v>31200033</v>
      </c>
      <c r="J15" s="129">
        <v>48229169</v>
      </c>
      <c r="K15" s="129">
        <v>2729779</v>
      </c>
      <c r="L15" s="129">
        <v>343736</v>
      </c>
      <c r="M15" s="129">
        <v>51302684</v>
      </c>
      <c r="N15" s="129">
        <v>8403672</v>
      </c>
      <c r="O15" s="130">
        <v>14.0750040079485</v>
      </c>
      <c r="P15" s="130">
        <v>38.134390583748903</v>
      </c>
      <c r="Q15" s="130">
        <v>58.948334066686222</v>
      </c>
    </row>
    <row r="16" spans="1:17" x14ac:dyDescent="0.2">
      <c r="E16" s="129">
        <v>12429</v>
      </c>
      <c r="F16" s="129">
        <v>0</v>
      </c>
      <c r="G16" s="129">
        <v>847034</v>
      </c>
      <c r="H16" s="129">
        <v>847034</v>
      </c>
      <c r="I16" s="129">
        <v>535862</v>
      </c>
      <c r="J16" s="129">
        <v>639702</v>
      </c>
      <c r="K16" s="129">
        <v>0</v>
      </c>
      <c r="L16" s="129">
        <v>12210</v>
      </c>
      <c r="M16" s="129">
        <v>651912</v>
      </c>
      <c r="N16" s="129">
        <v>195122</v>
      </c>
      <c r="O16" s="130">
        <v>23.035911191286303</v>
      </c>
      <c r="P16" s="130">
        <v>43.113846648966124</v>
      </c>
      <c r="Q16" s="130">
        <v>51.468501086169439</v>
      </c>
    </row>
    <row r="17" spans="1:17" x14ac:dyDescent="0.2">
      <c r="E17" s="129">
        <v>17452</v>
      </c>
      <c r="F17" s="129">
        <v>0</v>
      </c>
      <c r="G17" s="129">
        <v>1332252</v>
      </c>
      <c r="H17" s="129">
        <v>1332252</v>
      </c>
      <c r="I17" s="129">
        <v>736861</v>
      </c>
      <c r="J17" s="129">
        <v>990898</v>
      </c>
      <c r="K17" s="129">
        <v>0</v>
      </c>
      <c r="L17" s="129">
        <v>0</v>
      </c>
      <c r="M17" s="129">
        <v>990898</v>
      </c>
      <c r="N17" s="129">
        <v>341354</v>
      </c>
      <c r="O17" s="130">
        <v>25.622329709394322</v>
      </c>
      <c r="P17" s="130">
        <v>42.222152188860875</v>
      </c>
      <c r="Q17" s="130">
        <v>56.778478111391244</v>
      </c>
    </row>
    <row r="18" spans="1:17" x14ac:dyDescent="0.2">
      <c r="E18" s="129">
        <v>7039</v>
      </c>
      <c r="F18" s="129">
        <v>0</v>
      </c>
      <c r="G18" s="129">
        <v>465452</v>
      </c>
      <c r="H18" s="129">
        <v>465452</v>
      </c>
      <c r="I18" s="129">
        <v>275412</v>
      </c>
      <c r="J18" s="129">
        <v>342965</v>
      </c>
      <c r="K18" s="129">
        <v>0</v>
      </c>
      <c r="L18" s="129">
        <v>0</v>
      </c>
      <c r="M18" s="129">
        <v>342965</v>
      </c>
      <c r="N18" s="129">
        <v>122487</v>
      </c>
      <c r="O18" s="130">
        <v>26.315710320290815</v>
      </c>
      <c r="P18" s="130">
        <v>39.126580480181843</v>
      </c>
      <c r="Q18" s="130">
        <v>48.723540275607334</v>
      </c>
    </row>
    <row r="19" spans="1:17" x14ac:dyDescent="0.2">
      <c r="E19" s="129">
        <v>16776</v>
      </c>
      <c r="F19" s="129">
        <v>0</v>
      </c>
      <c r="G19" s="129">
        <v>1037518</v>
      </c>
      <c r="H19" s="129">
        <v>1037518</v>
      </c>
      <c r="I19" s="129">
        <v>732550</v>
      </c>
      <c r="J19" s="129">
        <v>771692</v>
      </c>
      <c r="K19" s="129">
        <v>0</v>
      </c>
      <c r="L19" s="129">
        <v>0</v>
      </c>
      <c r="M19" s="129">
        <v>771692</v>
      </c>
      <c r="N19" s="129">
        <v>265826</v>
      </c>
      <c r="O19" s="130">
        <v>25.621338617739642</v>
      </c>
      <c r="P19" s="130">
        <v>43.666547448736289</v>
      </c>
      <c r="Q19" s="130">
        <v>45.999761564139249</v>
      </c>
    </row>
    <row r="20" spans="1:17" x14ac:dyDescent="0.2">
      <c r="E20" s="129">
        <v>72997</v>
      </c>
      <c r="F20" s="129">
        <v>0</v>
      </c>
      <c r="G20" s="129">
        <v>5241576</v>
      </c>
      <c r="H20" s="129">
        <v>5241576</v>
      </c>
      <c r="I20" s="129">
        <v>3394665</v>
      </c>
      <c r="J20" s="129">
        <v>3909214</v>
      </c>
      <c r="K20" s="129">
        <v>206700</v>
      </c>
      <c r="L20" s="129">
        <v>0</v>
      </c>
      <c r="M20" s="129">
        <v>4115914</v>
      </c>
      <c r="N20" s="129">
        <v>1125662</v>
      </c>
      <c r="O20" s="130">
        <v>21.475640150977494</v>
      </c>
      <c r="P20" s="130">
        <v>46.504171404304287</v>
      </c>
      <c r="Q20" s="130">
        <v>53.553077523733855</v>
      </c>
    </row>
    <row r="21" spans="1:17" x14ac:dyDescent="0.2">
      <c r="A21">
        <v>2011</v>
      </c>
      <c r="B21">
        <v>3</v>
      </c>
      <c r="C21" t="s">
        <v>175</v>
      </c>
      <c r="D21">
        <v>765</v>
      </c>
      <c r="E21" s="129">
        <v>126693</v>
      </c>
      <c r="F21" s="129">
        <v>0</v>
      </c>
      <c r="G21" s="129">
        <v>8923832</v>
      </c>
      <c r="H21" s="129">
        <v>8923832</v>
      </c>
      <c r="I21" s="129">
        <v>5675350</v>
      </c>
      <c r="J21" s="129">
        <v>6654471</v>
      </c>
      <c r="K21" s="129">
        <v>206700</v>
      </c>
      <c r="L21" s="129">
        <v>12210</v>
      </c>
      <c r="M21" s="129">
        <v>6873381</v>
      </c>
      <c r="N21" s="129">
        <v>2050451</v>
      </c>
      <c r="O21" s="130">
        <v>22.977247890816415</v>
      </c>
      <c r="P21" s="130">
        <v>44.796081867190772</v>
      </c>
      <c r="Q21" s="130">
        <v>52.524377826714975</v>
      </c>
    </row>
    <row r="22" spans="1:17" x14ac:dyDescent="0.2">
      <c r="E22" s="129">
        <v>1590</v>
      </c>
      <c r="F22" s="129">
        <v>0</v>
      </c>
      <c r="G22" s="129">
        <v>197889</v>
      </c>
      <c r="H22" s="129">
        <v>197889</v>
      </c>
      <c r="I22" s="129">
        <v>110781</v>
      </c>
      <c r="J22" s="129">
        <v>175472</v>
      </c>
      <c r="K22" s="129">
        <v>11822</v>
      </c>
      <c r="L22" s="129">
        <v>0</v>
      </c>
      <c r="M22" s="129">
        <v>187294</v>
      </c>
      <c r="N22" s="129">
        <v>10595</v>
      </c>
      <c r="O22" s="130">
        <v>5.354011592357331</v>
      </c>
      <c r="P22" s="130">
        <v>69.673584905660377</v>
      </c>
      <c r="Q22" s="130">
        <v>110.35974842767295</v>
      </c>
    </row>
    <row r="23" spans="1:17" x14ac:dyDescent="0.2">
      <c r="E23" s="129">
        <v>23326</v>
      </c>
      <c r="F23" s="129">
        <v>0</v>
      </c>
      <c r="G23" s="129">
        <v>1798367</v>
      </c>
      <c r="H23" s="129">
        <v>1798367</v>
      </c>
      <c r="I23" s="129">
        <v>1177364</v>
      </c>
      <c r="J23" s="129">
        <v>1605059</v>
      </c>
      <c r="K23" s="129">
        <v>12024</v>
      </c>
      <c r="L23" s="129">
        <v>8888</v>
      </c>
      <c r="M23" s="129">
        <v>1625971</v>
      </c>
      <c r="N23" s="129">
        <v>172396</v>
      </c>
      <c r="O23" s="130">
        <v>9.5862524167758867</v>
      </c>
      <c r="P23" s="130">
        <v>50.474320500728801</v>
      </c>
      <c r="Q23" s="130">
        <v>68.809868815913575</v>
      </c>
    </row>
    <row r="24" spans="1:17" x14ac:dyDescent="0.2">
      <c r="E24" s="129">
        <v>6712</v>
      </c>
      <c r="F24" s="129">
        <v>0</v>
      </c>
      <c r="G24" s="129">
        <v>753970</v>
      </c>
      <c r="H24" s="129">
        <v>753970</v>
      </c>
      <c r="I24" s="129">
        <v>347517</v>
      </c>
      <c r="J24" s="129">
        <v>536226</v>
      </c>
      <c r="K24" s="129">
        <v>98323</v>
      </c>
      <c r="L24" s="129">
        <v>494</v>
      </c>
      <c r="M24" s="129">
        <v>635043</v>
      </c>
      <c r="N24" s="129">
        <v>118927</v>
      </c>
      <c r="O24" s="130">
        <v>15.773439261509079</v>
      </c>
      <c r="P24" s="130">
        <v>51.775476758045293</v>
      </c>
      <c r="Q24" s="130">
        <v>79.890643623361143</v>
      </c>
    </row>
    <row r="25" spans="1:17" x14ac:dyDescent="0.2">
      <c r="A25">
        <v>2011</v>
      </c>
      <c r="B25">
        <v>4</v>
      </c>
      <c r="C25" t="s">
        <v>35</v>
      </c>
      <c r="D25">
        <v>718</v>
      </c>
      <c r="E25" s="129">
        <v>31628</v>
      </c>
      <c r="F25" s="129">
        <v>0</v>
      </c>
      <c r="G25" s="129">
        <v>2750226</v>
      </c>
      <c r="H25" s="129">
        <v>2750226</v>
      </c>
      <c r="I25" s="129">
        <v>1635662</v>
      </c>
      <c r="J25" s="129">
        <v>2316757</v>
      </c>
      <c r="K25" s="129">
        <v>122169</v>
      </c>
      <c r="L25" s="129">
        <v>9382</v>
      </c>
      <c r="M25" s="129">
        <v>2448308</v>
      </c>
      <c r="N25" s="129">
        <v>301918</v>
      </c>
      <c r="O25" s="130">
        <v>10.977934177045814</v>
      </c>
      <c r="P25" s="130">
        <v>51.715631718730236</v>
      </c>
      <c r="Q25" s="130">
        <v>73.250189705324402</v>
      </c>
    </row>
    <row r="26" spans="1:17" x14ac:dyDescent="0.2">
      <c r="E26" s="129">
        <v>210558</v>
      </c>
      <c r="F26" s="129">
        <v>826960</v>
      </c>
      <c r="G26" s="129">
        <v>15894805</v>
      </c>
      <c r="H26" s="129">
        <v>16721765</v>
      </c>
      <c r="I26" s="129">
        <v>9872889</v>
      </c>
      <c r="J26" s="129">
        <v>13420488</v>
      </c>
      <c r="K26" s="129">
        <v>2040300</v>
      </c>
      <c r="L26" s="129">
        <v>0</v>
      </c>
      <c r="M26" s="129">
        <v>15460788</v>
      </c>
      <c r="N26" s="129">
        <v>1260977</v>
      </c>
      <c r="O26" s="130">
        <v>7.5409324314747881</v>
      </c>
      <c r="P26" s="130">
        <v>46.889165930527454</v>
      </c>
      <c r="Q26" s="130">
        <v>63.737725472316413</v>
      </c>
    </row>
    <row r="27" spans="1:17" x14ac:dyDescent="0.2">
      <c r="A27">
        <v>2011</v>
      </c>
      <c r="B27">
        <v>5</v>
      </c>
      <c r="C27" t="s">
        <v>174</v>
      </c>
      <c r="D27">
        <v>6562</v>
      </c>
      <c r="E27" s="129">
        <v>210558</v>
      </c>
      <c r="F27" s="129">
        <v>826960</v>
      </c>
      <c r="G27" s="129">
        <v>15894805</v>
      </c>
      <c r="H27" s="129">
        <v>16721765</v>
      </c>
      <c r="I27" s="129">
        <v>9872889</v>
      </c>
      <c r="J27" s="129">
        <v>13420488</v>
      </c>
      <c r="K27" s="129">
        <v>2040300</v>
      </c>
      <c r="L27" s="129">
        <v>0</v>
      </c>
      <c r="M27" s="129">
        <v>15460788</v>
      </c>
      <c r="N27" s="129">
        <v>1260977</v>
      </c>
      <c r="O27" s="130">
        <v>7.5409324314747881</v>
      </c>
      <c r="P27" s="130">
        <v>46.889165930527454</v>
      </c>
      <c r="Q27" s="130">
        <v>63.737725472316413</v>
      </c>
    </row>
    <row r="28" spans="1:17" x14ac:dyDescent="0.2">
      <c r="E28" s="129">
        <v>17668</v>
      </c>
      <c r="F28" s="129">
        <v>0</v>
      </c>
      <c r="G28" s="129">
        <v>1228303</v>
      </c>
      <c r="H28" s="129">
        <v>1228303</v>
      </c>
      <c r="I28" s="129">
        <v>751892</v>
      </c>
      <c r="J28" s="129">
        <v>1129249</v>
      </c>
      <c r="K28" s="129">
        <v>20312</v>
      </c>
      <c r="L28" s="129">
        <v>0</v>
      </c>
      <c r="M28" s="129">
        <v>1149561</v>
      </c>
      <c r="N28" s="129">
        <v>78742</v>
      </c>
      <c r="O28" s="130">
        <v>6.4106332069530074</v>
      </c>
      <c r="P28" s="130">
        <v>42.55671270092823</v>
      </c>
      <c r="Q28" s="130">
        <v>63.914930948607655</v>
      </c>
    </row>
    <row r="29" spans="1:17" x14ac:dyDescent="0.2">
      <c r="E29" s="129">
        <v>6284</v>
      </c>
      <c r="F29" s="129">
        <v>0</v>
      </c>
      <c r="G29" s="129">
        <v>520809</v>
      </c>
      <c r="H29" s="129">
        <v>520809</v>
      </c>
      <c r="I29" s="129">
        <v>285034</v>
      </c>
      <c r="J29" s="129">
        <v>427254</v>
      </c>
      <c r="K29" s="129">
        <v>38390</v>
      </c>
      <c r="L29" s="129">
        <v>0</v>
      </c>
      <c r="M29" s="129">
        <v>465644</v>
      </c>
      <c r="N29" s="129">
        <v>55165</v>
      </c>
      <c r="O29" s="130">
        <v>10.59217486640976</v>
      </c>
      <c r="P29" s="130">
        <v>45.358688733290897</v>
      </c>
      <c r="Q29" s="130">
        <v>67.990770210057292</v>
      </c>
    </row>
    <row r="30" spans="1:17" x14ac:dyDescent="0.2">
      <c r="A30">
        <v>2001</v>
      </c>
      <c r="B30">
        <v>6</v>
      </c>
      <c r="C30" t="s">
        <v>2</v>
      </c>
      <c r="D30">
        <v>9503</v>
      </c>
      <c r="E30" s="129">
        <v>23952</v>
      </c>
      <c r="F30" s="129">
        <v>0</v>
      </c>
      <c r="G30" s="129">
        <v>1749112</v>
      </c>
      <c r="H30" s="129">
        <v>1749112</v>
      </c>
      <c r="I30" s="129">
        <v>1036926</v>
      </c>
      <c r="J30" s="129">
        <v>1556503</v>
      </c>
      <c r="K30" s="129">
        <v>58702</v>
      </c>
      <c r="L30" s="129">
        <v>0</v>
      </c>
      <c r="M30" s="129">
        <v>1615205</v>
      </c>
      <c r="N30" s="129">
        <v>133907</v>
      </c>
      <c r="O30" s="130">
        <v>7.6557132990911967</v>
      </c>
      <c r="P30" s="130">
        <v>43.291833667334672</v>
      </c>
      <c r="Q30" s="130">
        <v>64.984260187040746</v>
      </c>
    </row>
    <row r="31" spans="1:17" x14ac:dyDescent="0.2">
      <c r="E31" s="129">
        <v>37835</v>
      </c>
      <c r="F31" s="129">
        <v>0</v>
      </c>
      <c r="G31" s="129">
        <v>2561785</v>
      </c>
      <c r="H31" s="129">
        <v>2561785</v>
      </c>
      <c r="I31" s="129">
        <v>1733935</v>
      </c>
      <c r="J31" s="129">
        <v>2095864</v>
      </c>
      <c r="K31" s="129">
        <v>12583</v>
      </c>
      <c r="L31" s="129">
        <v>0</v>
      </c>
      <c r="M31" s="129">
        <v>2108447</v>
      </c>
      <c r="N31" s="129">
        <v>453338</v>
      </c>
      <c r="O31" s="130">
        <v>17.696176689300625</v>
      </c>
      <c r="P31" s="130">
        <v>45.828862164662347</v>
      </c>
      <c r="Q31" s="130">
        <v>55.394846042024582</v>
      </c>
    </row>
    <row r="32" spans="1:17" x14ac:dyDescent="0.2">
      <c r="A32">
        <v>2011</v>
      </c>
      <c r="B32">
        <v>7</v>
      </c>
      <c r="C32" t="s">
        <v>23</v>
      </c>
      <c r="D32">
        <v>3143</v>
      </c>
      <c r="E32" s="129">
        <v>37835</v>
      </c>
      <c r="F32" s="129">
        <v>0</v>
      </c>
      <c r="G32" s="129">
        <v>2561785</v>
      </c>
      <c r="H32" s="129">
        <v>2561785</v>
      </c>
      <c r="I32" s="129">
        <v>1733935</v>
      </c>
      <c r="J32" s="129">
        <v>2095864</v>
      </c>
      <c r="K32" s="129">
        <v>12583</v>
      </c>
      <c r="L32" s="129">
        <v>0</v>
      </c>
      <c r="M32" s="129">
        <v>2108447</v>
      </c>
      <c r="N32" s="129">
        <v>453338</v>
      </c>
      <c r="O32" s="130">
        <v>17.696176689300625</v>
      </c>
      <c r="P32" s="130">
        <v>45.828862164662347</v>
      </c>
      <c r="Q32" s="130">
        <v>55.394846042024582</v>
      </c>
    </row>
    <row r="33" spans="1:17" x14ac:dyDescent="0.2">
      <c r="E33" s="129">
        <v>9133</v>
      </c>
      <c r="F33" s="129">
        <v>0</v>
      </c>
      <c r="G33" s="129">
        <v>673628</v>
      </c>
      <c r="H33" s="129">
        <v>673628</v>
      </c>
      <c r="I33" s="129">
        <v>443162</v>
      </c>
      <c r="J33" s="129">
        <v>525805</v>
      </c>
      <c r="K33" s="129">
        <v>0</v>
      </c>
      <c r="L33" s="129">
        <v>4310</v>
      </c>
      <c r="M33" s="129">
        <v>530115</v>
      </c>
      <c r="N33" s="129">
        <v>143513</v>
      </c>
      <c r="O33" s="130">
        <v>21.304488530761788</v>
      </c>
      <c r="P33" s="130">
        <v>48.523157779481004</v>
      </c>
      <c r="Q33" s="130">
        <v>57.571991678528413</v>
      </c>
    </row>
    <row r="34" spans="1:17" x14ac:dyDescent="0.2">
      <c r="E34" s="129">
        <v>12149</v>
      </c>
      <c r="F34" s="129">
        <v>0</v>
      </c>
      <c r="G34" s="129">
        <v>962460</v>
      </c>
      <c r="H34" s="129">
        <v>962460</v>
      </c>
      <c r="I34" s="129">
        <v>506164</v>
      </c>
      <c r="J34" s="129">
        <v>638891</v>
      </c>
      <c r="K34" s="129">
        <v>0</v>
      </c>
      <c r="L34" s="129">
        <v>20042</v>
      </c>
      <c r="M34" s="129">
        <v>658933</v>
      </c>
      <c r="N34" s="129">
        <v>303527</v>
      </c>
      <c r="O34" s="130">
        <v>31.536583338528356</v>
      </c>
      <c r="P34" s="130">
        <v>41.663017532307187</v>
      </c>
      <c r="Q34" s="130">
        <v>52.587949625483581</v>
      </c>
    </row>
    <row r="35" spans="1:17" x14ac:dyDescent="0.2">
      <c r="E35" s="129">
        <v>5105</v>
      </c>
      <c r="F35" s="129">
        <v>0</v>
      </c>
      <c r="G35" s="129">
        <v>352850</v>
      </c>
      <c r="H35" s="129">
        <v>352850</v>
      </c>
      <c r="I35" s="129">
        <v>214461</v>
      </c>
      <c r="J35" s="129">
        <v>272283</v>
      </c>
      <c r="K35" s="129">
        <v>0</v>
      </c>
      <c r="L35" s="129">
        <v>5394</v>
      </c>
      <c r="M35" s="129">
        <v>277677</v>
      </c>
      <c r="N35" s="129">
        <v>75173</v>
      </c>
      <c r="O35" s="130">
        <v>21.304520334419724</v>
      </c>
      <c r="P35" s="130">
        <v>42.009990205680708</v>
      </c>
      <c r="Q35" s="130">
        <v>53.336532810969636</v>
      </c>
    </row>
    <row r="36" spans="1:17" x14ac:dyDescent="0.2">
      <c r="E36" s="129">
        <v>8163</v>
      </c>
      <c r="F36" s="129">
        <v>0</v>
      </c>
      <c r="G36" s="129">
        <v>366110</v>
      </c>
      <c r="H36" s="129">
        <v>366110</v>
      </c>
      <c r="I36" s="129">
        <v>212768</v>
      </c>
      <c r="J36" s="129">
        <v>281143</v>
      </c>
      <c r="K36" s="129">
        <v>25960</v>
      </c>
      <c r="L36" s="129">
        <v>1400</v>
      </c>
      <c r="M36" s="129">
        <v>308503</v>
      </c>
      <c r="N36" s="129">
        <v>57607</v>
      </c>
      <c r="O36" s="130">
        <v>15.734888421512661</v>
      </c>
      <c r="P36" s="130">
        <v>26.06492711013108</v>
      </c>
      <c r="Q36" s="130">
        <v>34.441136836947202</v>
      </c>
    </row>
    <row r="37" spans="1:17" x14ac:dyDescent="0.2">
      <c r="E37" s="129">
        <v>19179</v>
      </c>
      <c r="F37" s="129">
        <v>0</v>
      </c>
      <c r="G37" s="129">
        <v>1473080</v>
      </c>
      <c r="H37" s="129">
        <v>1473080</v>
      </c>
      <c r="I37" s="129">
        <v>712880</v>
      </c>
      <c r="J37" s="129">
        <v>968946</v>
      </c>
      <c r="K37" s="129">
        <v>10781</v>
      </c>
      <c r="L37" s="129">
        <v>21631</v>
      </c>
      <c r="M37" s="129">
        <v>1001358</v>
      </c>
      <c r="N37" s="129">
        <v>471722</v>
      </c>
      <c r="O37" s="130">
        <v>32.022836505824529</v>
      </c>
      <c r="P37" s="130">
        <v>37.16982115855884</v>
      </c>
      <c r="Q37" s="130">
        <v>50.521195057093699</v>
      </c>
    </row>
    <row r="38" spans="1:17" x14ac:dyDescent="0.2">
      <c r="E38" s="129">
        <v>7196</v>
      </c>
      <c r="F38" s="129">
        <v>0</v>
      </c>
      <c r="G38" s="129">
        <v>456560</v>
      </c>
      <c r="H38" s="129">
        <v>456560</v>
      </c>
      <c r="I38" s="129">
        <v>271983</v>
      </c>
      <c r="J38" s="129">
        <v>301939</v>
      </c>
      <c r="K38" s="129">
        <v>0</v>
      </c>
      <c r="L38" s="129">
        <v>6833</v>
      </c>
      <c r="M38" s="129">
        <v>308772</v>
      </c>
      <c r="N38" s="129">
        <v>147788</v>
      </c>
      <c r="O38" s="130">
        <v>32.369896618188186</v>
      </c>
      <c r="P38" s="130">
        <v>37.796414674819346</v>
      </c>
      <c r="Q38" s="130">
        <v>41.959282934963866</v>
      </c>
    </row>
    <row r="39" spans="1:17" x14ac:dyDescent="0.2">
      <c r="A39" s="131" t="s">
        <v>204</v>
      </c>
      <c r="B39">
        <v>8</v>
      </c>
      <c r="C39" t="s">
        <v>32</v>
      </c>
      <c r="D39">
        <v>504</v>
      </c>
      <c r="E39" s="129">
        <v>60925</v>
      </c>
      <c r="F39" s="129">
        <v>0</v>
      </c>
      <c r="G39" s="129">
        <v>4284688</v>
      </c>
      <c r="H39" s="129">
        <v>4284688</v>
      </c>
      <c r="I39" s="129">
        <v>2361418</v>
      </c>
      <c r="J39" s="129">
        <v>2989007</v>
      </c>
      <c r="K39" s="129">
        <v>36741</v>
      </c>
      <c r="L39" s="129">
        <v>59610</v>
      </c>
      <c r="M39" s="129">
        <v>3085358</v>
      </c>
      <c r="N39" s="129">
        <v>1199330</v>
      </c>
      <c r="O39" s="130">
        <v>27.991069594798969</v>
      </c>
      <c r="P39" s="130">
        <v>38.759425523184241</v>
      </c>
      <c r="Q39" s="130">
        <v>49.060434961017641</v>
      </c>
    </row>
    <row r="40" spans="1:17" x14ac:dyDescent="0.2">
      <c r="E40" s="129">
        <v>40858</v>
      </c>
      <c r="F40" s="129">
        <v>0</v>
      </c>
      <c r="G40" s="129">
        <v>3422613</v>
      </c>
      <c r="H40" s="129">
        <v>3422613</v>
      </c>
      <c r="I40" s="129">
        <v>1900514</v>
      </c>
      <c r="J40" s="129">
        <v>2594710</v>
      </c>
      <c r="K40" s="129">
        <v>597023</v>
      </c>
      <c r="L40" s="129">
        <v>0</v>
      </c>
      <c r="M40" s="129">
        <v>3191733</v>
      </c>
      <c r="N40" s="129">
        <v>230880</v>
      </c>
      <c r="O40" s="130">
        <v>6.7457232237474702</v>
      </c>
      <c r="P40" s="130">
        <v>46.515101081795486</v>
      </c>
      <c r="Q40" s="130">
        <v>63.505555827500125</v>
      </c>
    </row>
    <row r="41" spans="1:17" x14ac:dyDescent="0.2">
      <c r="E41" s="129">
        <v>24051</v>
      </c>
      <c r="F41" s="129">
        <v>0</v>
      </c>
      <c r="G41" s="129">
        <v>2748574</v>
      </c>
      <c r="H41" s="129">
        <v>2748574</v>
      </c>
      <c r="I41" s="129">
        <v>1121094</v>
      </c>
      <c r="J41" s="129">
        <v>1627598</v>
      </c>
      <c r="K41" s="129">
        <v>1008229</v>
      </c>
      <c r="L41" s="129">
        <v>0</v>
      </c>
      <c r="M41" s="129">
        <v>2635827</v>
      </c>
      <c r="N41" s="129">
        <v>112747</v>
      </c>
      <c r="O41" s="130">
        <v>4.1020179918750594</v>
      </c>
      <c r="P41" s="130">
        <v>46.613196956467505</v>
      </c>
      <c r="Q41" s="130">
        <v>67.672778678641222</v>
      </c>
    </row>
    <row r="42" spans="1:17" x14ac:dyDescent="0.2">
      <c r="A42">
        <v>2011</v>
      </c>
      <c r="B42">
        <v>9</v>
      </c>
      <c r="C42" t="s">
        <v>37</v>
      </c>
      <c r="D42">
        <v>953</v>
      </c>
      <c r="E42" s="129">
        <v>64909</v>
      </c>
      <c r="F42" s="129">
        <v>0</v>
      </c>
      <c r="G42" s="129">
        <v>6171187</v>
      </c>
      <c r="H42" s="129">
        <v>6171187</v>
      </c>
      <c r="I42" s="129">
        <v>3021608</v>
      </c>
      <c r="J42" s="129">
        <v>4222308</v>
      </c>
      <c r="K42" s="129">
        <v>1605252</v>
      </c>
      <c r="L42" s="129">
        <v>0</v>
      </c>
      <c r="M42" s="129">
        <v>5827560</v>
      </c>
      <c r="N42" s="129">
        <v>343627</v>
      </c>
      <c r="O42" s="130">
        <v>5.5682480534133871</v>
      </c>
      <c r="P42" s="130">
        <v>46.551448951609174</v>
      </c>
      <c r="Q42" s="130">
        <v>65.049654131168253</v>
      </c>
    </row>
    <row r="43" spans="1:17" x14ac:dyDescent="0.2">
      <c r="E43" s="129">
        <v>404336</v>
      </c>
      <c r="F43" s="129">
        <v>4468439</v>
      </c>
      <c r="G43" s="129">
        <v>39894737</v>
      </c>
      <c r="H43" s="129">
        <v>44363176</v>
      </c>
      <c r="I43" s="129">
        <v>24971737</v>
      </c>
      <c r="J43" s="129">
        <v>37213610</v>
      </c>
      <c r="K43" s="129">
        <v>1639622</v>
      </c>
      <c r="L43" s="129">
        <v>17079</v>
      </c>
      <c r="M43" s="129">
        <v>38870311</v>
      </c>
      <c r="N43" s="129">
        <v>5492865</v>
      </c>
      <c r="O43" s="130">
        <v>12.381586476135071</v>
      </c>
      <c r="P43" s="130">
        <v>61.759865557358239</v>
      </c>
      <c r="Q43" s="130">
        <v>92.036350955640856</v>
      </c>
    </row>
    <row r="44" spans="1:17" x14ac:dyDescent="0.2">
      <c r="A44">
        <v>2011</v>
      </c>
      <c r="B44">
        <v>10</v>
      </c>
      <c r="C44" t="s">
        <v>180</v>
      </c>
      <c r="D44">
        <v>8209</v>
      </c>
      <c r="E44" s="129">
        <v>404336</v>
      </c>
      <c r="F44" s="129">
        <v>4468439</v>
      </c>
      <c r="G44" s="129">
        <v>39894737</v>
      </c>
      <c r="H44" s="129">
        <v>44363176</v>
      </c>
      <c r="I44" s="129">
        <v>24971737</v>
      </c>
      <c r="J44" s="129">
        <v>37213610</v>
      </c>
      <c r="K44" s="129">
        <v>1639622</v>
      </c>
      <c r="L44" s="129">
        <v>17079</v>
      </c>
      <c r="M44" s="129">
        <v>38870311</v>
      </c>
      <c r="N44" s="129">
        <v>5492865</v>
      </c>
      <c r="O44" s="130">
        <v>12.381586476135071</v>
      </c>
      <c r="P44" s="130">
        <v>61.759865557358239</v>
      </c>
      <c r="Q44" s="130">
        <v>92.036350955640856</v>
      </c>
    </row>
    <row r="45" spans="1:17" x14ac:dyDescent="0.2">
      <c r="E45" s="129">
        <v>32183</v>
      </c>
      <c r="F45" s="129">
        <v>1385331</v>
      </c>
      <c r="G45" s="129">
        <v>992789</v>
      </c>
      <c r="H45" s="129">
        <v>2378120</v>
      </c>
      <c r="I45" s="129">
        <v>1876803</v>
      </c>
      <c r="J45" s="129">
        <v>2219824</v>
      </c>
      <c r="K45" s="129">
        <v>0</v>
      </c>
      <c r="L45" s="129">
        <v>0</v>
      </c>
      <c r="M45" s="129">
        <v>2219824</v>
      </c>
      <c r="N45" s="129">
        <v>158296</v>
      </c>
      <c r="O45" s="130">
        <v>6.6563503944292126</v>
      </c>
      <c r="P45" s="130">
        <v>58.316595718236336</v>
      </c>
      <c r="Q45" s="130">
        <v>68.975048938880775</v>
      </c>
    </row>
    <row r="46" spans="1:17" x14ac:dyDescent="0.2">
      <c r="A46">
        <v>2011</v>
      </c>
      <c r="B46">
        <v>11</v>
      </c>
      <c r="C46" t="s">
        <v>8</v>
      </c>
      <c r="D46">
        <v>7926</v>
      </c>
      <c r="E46" s="129">
        <v>32183</v>
      </c>
      <c r="F46" s="129">
        <v>1385331</v>
      </c>
      <c r="G46" s="129">
        <v>992789</v>
      </c>
      <c r="H46" s="129">
        <v>2378120</v>
      </c>
      <c r="I46" s="129">
        <v>1876803</v>
      </c>
      <c r="J46" s="129">
        <v>2219824</v>
      </c>
      <c r="K46" s="129">
        <v>0</v>
      </c>
      <c r="L46" s="129">
        <v>0</v>
      </c>
      <c r="M46" s="129">
        <v>2219824</v>
      </c>
      <c r="N46" s="129">
        <v>158296</v>
      </c>
      <c r="O46" s="130">
        <v>6.6563503944292126</v>
      </c>
      <c r="P46" s="130">
        <v>58.316595718236336</v>
      </c>
      <c r="Q46" s="130">
        <v>68.975048938880775</v>
      </c>
    </row>
    <row r="47" spans="1:17" x14ac:dyDescent="0.2">
      <c r="E47" s="129">
        <v>40858</v>
      </c>
      <c r="F47" s="129">
        <v>0</v>
      </c>
      <c r="G47" s="129">
        <v>10198160</v>
      </c>
      <c r="H47" s="129">
        <v>10198160</v>
      </c>
      <c r="I47" s="129">
        <v>6280356</v>
      </c>
      <c r="J47" s="129">
        <v>8341082</v>
      </c>
      <c r="K47" s="129">
        <v>1047814</v>
      </c>
      <c r="L47" s="129">
        <v>79321</v>
      </c>
      <c r="M47" s="129">
        <v>9468217</v>
      </c>
      <c r="N47" s="129">
        <v>729943</v>
      </c>
      <c r="O47" s="130">
        <v>7.1575950955858696</v>
      </c>
      <c r="P47" s="130">
        <v>153.71178227030202</v>
      </c>
      <c r="Q47" s="130">
        <v>204.14807381663323</v>
      </c>
    </row>
    <row r="48" spans="1:17" x14ac:dyDescent="0.2">
      <c r="E48" s="129">
        <v>24051</v>
      </c>
      <c r="F48" s="129">
        <v>0</v>
      </c>
      <c r="G48" s="129">
        <v>2121400</v>
      </c>
      <c r="H48" s="129">
        <v>2121400</v>
      </c>
      <c r="I48" s="129">
        <v>1228651</v>
      </c>
      <c r="J48" s="129">
        <v>1633991</v>
      </c>
      <c r="K48" s="129">
        <v>51994</v>
      </c>
      <c r="L48" s="129">
        <v>0</v>
      </c>
      <c r="M48" s="129">
        <v>1685985</v>
      </c>
      <c r="N48" s="129">
        <v>435415</v>
      </c>
      <c r="O48" s="130">
        <v>20.524889224097294</v>
      </c>
      <c r="P48" s="130">
        <v>51.085235541141742</v>
      </c>
      <c r="Q48" s="130">
        <v>67.938588832065193</v>
      </c>
    </row>
    <row r="49" spans="1:17" x14ac:dyDescent="0.2">
      <c r="A49">
        <v>2011</v>
      </c>
      <c r="B49">
        <v>12</v>
      </c>
      <c r="C49" t="s">
        <v>205</v>
      </c>
      <c r="D49">
        <v>6590</v>
      </c>
      <c r="E49" s="129">
        <v>64909</v>
      </c>
      <c r="F49" s="129">
        <v>0</v>
      </c>
      <c r="G49" s="129">
        <v>12319560</v>
      </c>
      <c r="H49" s="129">
        <v>12319560</v>
      </c>
      <c r="I49" s="129">
        <v>7509007</v>
      </c>
      <c r="J49" s="129">
        <v>9975073</v>
      </c>
      <c r="K49" s="129">
        <v>1099808</v>
      </c>
      <c r="L49" s="129">
        <v>79321</v>
      </c>
      <c r="M49" s="129">
        <v>11154202</v>
      </c>
      <c r="N49" s="129">
        <v>1165358</v>
      </c>
      <c r="O49" s="130">
        <v>9.4594125114857999</v>
      </c>
      <c r="P49" s="130">
        <v>115.68514381672803</v>
      </c>
      <c r="Q49" s="130">
        <v>153.67781047312391</v>
      </c>
    </row>
    <row r="50" spans="1:17" x14ac:dyDescent="0.2">
      <c r="E50" s="129">
        <v>158888</v>
      </c>
      <c r="F50" s="129">
        <v>3050781</v>
      </c>
      <c r="G50" s="129">
        <v>7147497</v>
      </c>
      <c r="H50" s="129">
        <v>10198278</v>
      </c>
      <c r="I50" s="129">
        <v>6730145</v>
      </c>
      <c r="J50" s="129">
        <v>8988794</v>
      </c>
      <c r="K50" s="129">
        <v>747169</v>
      </c>
      <c r="L50" s="129">
        <v>0</v>
      </c>
      <c r="M50" s="129">
        <v>9735963</v>
      </c>
      <c r="N50" s="129">
        <v>462315</v>
      </c>
      <c r="O50" s="130">
        <v>4.5332653218513954</v>
      </c>
      <c r="P50" s="130">
        <v>42.357792910729572</v>
      </c>
      <c r="Q50" s="130">
        <v>56.573145863753084</v>
      </c>
    </row>
    <row r="51" spans="1:17" x14ac:dyDescent="0.2">
      <c r="A51">
        <v>2011</v>
      </c>
      <c r="B51">
        <v>13</v>
      </c>
      <c r="C51" t="s">
        <v>24</v>
      </c>
      <c r="D51">
        <v>7695</v>
      </c>
      <c r="E51" s="129">
        <v>158888</v>
      </c>
      <c r="F51" s="129">
        <v>3050781</v>
      </c>
      <c r="G51" s="129">
        <v>7147497</v>
      </c>
      <c r="H51" s="129">
        <v>10198278</v>
      </c>
      <c r="I51" s="129">
        <v>6730145</v>
      </c>
      <c r="J51" s="129">
        <v>8988794</v>
      </c>
      <c r="K51" s="129">
        <v>747169</v>
      </c>
      <c r="L51" s="129">
        <v>0</v>
      </c>
      <c r="M51" s="129">
        <v>9735963</v>
      </c>
      <c r="N51" s="129">
        <v>462315</v>
      </c>
      <c r="O51" s="130">
        <v>4.5332653218513954</v>
      </c>
      <c r="P51" s="130">
        <v>42.357792910729572</v>
      </c>
      <c r="Q51" s="130">
        <v>56.573145863753084</v>
      </c>
    </row>
    <row r="52" spans="1:17" x14ac:dyDescent="0.2">
      <c r="E52" s="129">
        <v>130377</v>
      </c>
      <c r="F52" s="129">
        <v>7199299</v>
      </c>
      <c r="G52" s="129">
        <v>1641909</v>
      </c>
      <c r="H52" s="129">
        <v>8841208</v>
      </c>
      <c r="I52" s="129">
        <v>6194392</v>
      </c>
      <c r="J52" s="129">
        <v>7624821</v>
      </c>
      <c r="K52" s="129">
        <v>240986</v>
      </c>
      <c r="L52" s="129">
        <v>0</v>
      </c>
      <c r="M52" s="129">
        <v>7865807</v>
      </c>
      <c r="N52" s="129">
        <v>975401</v>
      </c>
      <c r="O52" s="130">
        <v>11.032440363353063</v>
      </c>
      <c r="P52" s="130">
        <v>47.511386210758033</v>
      </c>
      <c r="Q52" s="130">
        <v>58.482868910927543</v>
      </c>
    </row>
    <row r="53" spans="1:17" x14ac:dyDescent="0.2">
      <c r="A53">
        <v>2011</v>
      </c>
      <c r="B53">
        <v>14</v>
      </c>
      <c r="C53" t="s">
        <v>36</v>
      </c>
      <c r="D53">
        <v>7739</v>
      </c>
      <c r="E53" s="129">
        <v>130377</v>
      </c>
      <c r="F53" s="129">
        <v>7199299</v>
      </c>
      <c r="G53" s="129">
        <v>1641909</v>
      </c>
      <c r="H53" s="129">
        <v>8841208</v>
      </c>
      <c r="I53" s="129">
        <v>6194392</v>
      </c>
      <c r="J53" s="129">
        <v>7624821</v>
      </c>
      <c r="K53" s="129">
        <v>240986</v>
      </c>
      <c r="L53" s="129">
        <v>0</v>
      </c>
      <c r="M53" s="129">
        <v>7865807</v>
      </c>
      <c r="N53" s="129">
        <v>975401</v>
      </c>
      <c r="O53" s="130">
        <v>11.032440363353063</v>
      </c>
      <c r="P53" s="130">
        <v>47.511386210758033</v>
      </c>
      <c r="Q53" s="130">
        <v>58.482868910927543</v>
      </c>
    </row>
    <row r="54" spans="1:17" x14ac:dyDescent="0.2">
      <c r="E54" s="129">
        <v>54035</v>
      </c>
      <c r="F54" s="129">
        <v>1955300</v>
      </c>
      <c r="G54" s="129">
        <v>1673272</v>
      </c>
      <c r="H54" s="129">
        <v>3628572</v>
      </c>
      <c r="I54" s="129">
        <v>2890474</v>
      </c>
      <c r="J54" s="129">
        <v>3398864</v>
      </c>
      <c r="K54" s="129">
        <v>0</v>
      </c>
      <c r="L54" s="129">
        <v>0</v>
      </c>
      <c r="M54" s="129">
        <v>3398864</v>
      </c>
      <c r="N54" s="129">
        <v>229708</v>
      </c>
      <c r="O54" s="130">
        <v>6.3305344361363094</v>
      </c>
      <c r="P54" s="130">
        <v>53.492625150365505</v>
      </c>
      <c r="Q54" s="130">
        <v>62.901156657721849</v>
      </c>
    </row>
    <row r="55" spans="1:17" x14ac:dyDescent="0.2">
      <c r="A55">
        <v>2011</v>
      </c>
      <c r="B55">
        <v>15</v>
      </c>
      <c r="C55" t="s">
        <v>27</v>
      </c>
      <c r="D55">
        <v>7776</v>
      </c>
      <c r="E55" s="129">
        <v>54035</v>
      </c>
      <c r="F55" s="129">
        <v>1955300</v>
      </c>
      <c r="G55" s="129">
        <v>1673272</v>
      </c>
      <c r="H55" s="129">
        <v>3628572</v>
      </c>
      <c r="I55" s="129">
        <v>2890474</v>
      </c>
      <c r="J55" s="129">
        <v>3398864</v>
      </c>
      <c r="K55" s="129">
        <v>0</v>
      </c>
      <c r="L55" s="129">
        <v>0</v>
      </c>
      <c r="M55" s="129">
        <v>3398864</v>
      </c>
      <c r="N55" s="129">
        <v>229708</v>
      </c>
      <c r="O55" s="130">
        <v>6.3305344361363094</v>
      </c>
      <c r="P55" s="130">
        <v>53.492625150365505</v>
      </c>
      <c r="Q55" s="130">
        <v>62.901156657721849</v>
      </c>
    </row>
    <row r="56" spans="1:17" x14ac:dyDescent="0.2">
      <c r="E56" s="129">
        <v>26289</v>
      </c>
      <c r="F56" s="129">
        <v>0</v>
      </c>
      <c r="G56" s="129">
        <v>2094569</v>
      </c>
      <c r="H56" s="129">
        <v>2094569</v>
      </c>
      <c r="I56" s="129">
        <v>1096413</v>
      </c>
      <c r="J56" s="129">
        <v>1362181</v>
      </c>
      <c r="K56" s="129">
        <v>9230</v>
      </c>
      <c r="L56" s="129">
        <v>13167</v>
      </c>
      <c r="M56" s="129">
        <v>1384578</v>
      </c>
      <c r="N56" s="129">
        <v>709991</v>
      </c>
      <c r="O56" s="130">
        <v>33.896758712651625</v>
      </c>
      <c r="P56" s="130">
        <v>41.706150861577086</v>
      </c>
      <c r="Q56" s="130">
        <v>51.81562630758112</v>
      </c>
    </row>
    <row r="57" spans="1:17" x14ac:dyDescent="0.2">
      <c r="E57" s="129">
        <v>10943</v>
      </c>
      <c r="F57" s="129">
        <v>0</v>
      </c>
      <c r="G57" s="129">
        <v>609166</v>
      </c>
      <c r="H57" s="129">
        <v>609166</v>
      </c>
      <c r="I57" s="129">
        <v>398473</v>
      </c>
      <c r="J57" s="129">
        <v>443194</v>
      </c>
      <c r="K57" s="129">
        <v>0</v>
      </c>
      <c r="L57" s="129">
        <v>3775</v>
      </c>
      <c r="M57" s="129">
        <v>446969</v>
      </c>
      <c r="N57" s="129">
        <v>162197</v>
      </c>
      <c r="O57" s="130">
        <v>26.626075650971988</v>
      </c>
      <c r="P57" s="130">
        <v>36.413506351092025</v>
      </c>
      <c r="Q57" s="130">
        <v>40.500228456547568</v>
      </c>
    </row>
    <row r="58" spans="1:17" x14ac:dyDescent="0.2">
      <c r="E58" s="129">
        <v>9048</v>
      </c>
      <c r="F58" s="129">
        <v>0</v>
      </c>
      <c r="G58" s="129">
        <v>650565</v>
      </c>
      <c r="H58" s="129">
        <v>650565</v>
      </c>
      <c r="I58" s="129">
        <v>407256</v>
      </c>
      <c r="J58" s="129">
        <v>458625</v>
      </c>
      <c r="K58" s="129">
        <v>0</v>
      </c>
      <c r="L58" s="129">
        <v>8082</v>
      </c>
      <c r="M58" s="129">
        <v>466707</v>
      </c>
      <c r="N58" s="129">
        <v>183858</v>
      </c>
      <c r="O58" s="130">
        <v>28.261280579188856</v>
      </c>
      <c r="P58" s="130">
        <v>45.010610079575599</v>
      </c>
      <c r="Q58" s="130">
        <v>50.687997347480106</v>
      </c>
    </row>
    <row r="59" spans="1:17" x14ac:dyDescent="0.2">
      <c r="E59" s="129">
        <v>7063</v>
      </c>
      <c r="F59" s="129">
        <v>0</v>
      </c>
      <c r="G59" s="129">
        <v>717984</v>
      </c>
      <c r="H59" s="129">
        <v>717984</v>
      </c>
      <c r="I59" s="129">
        <v>379343</v>
      </c>
      <c r="J59" s="129">
        <v>420864</v>
      </c>
      <c r="K59" s="129">
        <v>0</v>
      </c>
      <c r="L59" s="129">
        <v>52396</v>
      </c>
      <c r="M59" s="129">
        <v>473260</v>
      </c>
      <c r="N59" s="129">
        <v>244724</v>
      </c>
      <c r="O59" s="130">
        <v>34.084882114364667</v>
      </c>
      <c r="P59" s="130">
        <v>53.708480815517483</v>
      </c>
      <c r="Q59" s="130">
        <v>59.587144272971827</v>
      </c>
    </row>
    <row r="60" spans="1:17" x14ac:dyDescent="0.2">
      <c r="E60" s="129">
        <v>21660</v>
      </c>
      <c r="F60" s="129">
        <v>0</v>
      </c>
      <c r="G60" s="129">
        <v>1809982</v>
      </c>
      <c r="H60" s="129">
        <v>1809982</v>
      </c>
      <c r="I60" s="129">
        <v>1055672</v>
      </c>
      <c r="J60" s="129">
        <v>1231997</v>
      </c>
      <c r="K60" s="129">
        <v>30027</v>
      </c>
      <c r="L60" s="129">
        <v>15820</v>
      </c>
      <c r="M60" s="129">
        <v>1277844</v>
      </c>
      <c r="N60" s="129">
        <v>532138</v>
      </c>
      <c r="O60" s="130">
        <v>29.400181880261794</v>
      </c>
      <c r="P60" s="130">
        <v>48.738319482917824</v>
      </c>
      <c r="Q60" s="130">
        <v>56.878901200369341</v>
      </c>
    </row>
    <row r="61" spans="1:17" x14ac:dyDescent="0.2">
      <c r="E61" s="129">
        <v>13776</v>
      </c>
      <c r="F61" s="129">
        <v>0</v>
      </c>
      <c r="G61" s="129">
        <v>906528</v>
      </c>
      <c r="H61" s="129">
        <v>906528</v>
      </c>
      <c r="I61" s="129">
        <v>592557</v>
      </c>
      <c r="J61" s="129">
        <v>669988</v>
      </c>
      <c r="K61" s="129">
        <v>0</v>
      </c>
      <c r="L61" s="129">
        <v>0</v>
      </c>
      <c r="M61" s="129">
        <v>669988</v>
      </c>
      <c r="N61" s="129">
        <v>236540</v>
      </c>
      <c r="O61" s="130">
        <v>26.092961276430515</v>
      </c>
      <c r="P61" s="130">
        <v>43.013719512195124</v>
      </c>
      <c r="Q61" s="130">
        <v>48.63443670150987</v>
      </c>
    </row>
    <row r="62" spans="1:17" x14ac:dyDescent="0.2">
      <c r="E62" s="129">
        <v>10610</v>
      </c>
      <c r="F62" s="129">
        <v>0</v>
      </c>
      <c r="G62" s="129">
        <v>749984</v>
      </c>
      <c r="H62" s="129">
        <v>749984</v>
      </c>
      <c r="I62" s="129">
        <v>464815</v>
      </c>
      <c r="J62" s="129">
        <v>508859</v>
      </c>
      <c r="K62" s="129">
        <v>0</v>
      </c>
      <c r="L62" s="129">
        <v>706</v>
      </c>
      <c r="M62" s="129">
        <v>509565</v>
      </c>
      <c r="N62" s="129">
        <v>240419</v>
      </c>
      <c r="O62" s="130">
        <v>32.056550539744848</v>
      </c>
      <c r="P62" s="130">
        <v>43.809142318567389</v>
      </c>
      <c r="Q62" s="130">
        <v>47.960320452403394</v>
      </c>
    </row>
    <row r="63" spans="1:17" x14ac:dyDescent="0.2">
      <c r="A63">
        <v>2011</v>
      </c>
      <c r="B63">
        <v>16</v>
      </c>
      <c r="C63" t="s">
        <v>29</v>
      </c>
      <c r="D63">
        <v>1245</v>
      </c>
      <c r="E63" s="129">
        <v>99389</v>
      </c>
      <c r="F63" s="129">
        <v>0</v>
      </c>
      <c r="G63" s="129">
        <v>7538778</v>
      </c>
      <c r="H63" s="129">
        <v>7538778</v>
      </c>
      <c r="I63" s="129">
        <v>4394529</v>
      </c>
      <c r="J63" s="129">
        <v>5095708</v>
      </c>
      <c r="K63" s="129">
        <v>39257</v>
      </c>
      <c r="L63" s="129">
        <v>93946</v>
      </c>
      <c r="M63" s="129">
        <v>5228911</v>
      </c>
      <c r="N63" s="129">
        <v>2309867</v>
      </c>
      <c r="O63" s="130">
        <v>30.639806610567387</v>
      </c>
      <c r="P63" s="130">
        <v>44.215446377365701</v>
      </c>
      <c r="Q63" s="130">
        <v>51.270341788326675</v>
      </c>
    </row>
    <row r="64" spans="1:17" x14ac:dyDescent="0.2">
      <c r="E64" s="129">
        <v>48488</v>
      </c>
      <c r="F64" s="129">
        <v>30040</v>
      </c>
      <c r="G64" s="129">
        <v>4232809</v>
      </c>
      <c r="H64" s="129">
        <v>4262849</v>
      </c>
      <c r="I64" s="129">
        <v>2877619</v>
      </c>
      <c r="J64" s="129">
        <v>3682998</v>
      </c>
      <c r="K64" s="129">
        <v>90376</v>
      </c>
      <c r="L64" s="129">
        <v>261490</v>
      </c>
      <c r="M64" s="129">
        <v>4034864</v>
      </c>
      <c r="N64" s="129">
        <v>227985</v>
      </c>
      <c r="O64" s="130">
        <v>5.3481838085280522</v>
      </c>
      <c r="P64" s="130">
        <v>59.347034317769342</v>
      </c>
      <c r="Q64" s="130">
        <v>75.956896551724142</v>
      </c>
    </row>
    <row r="65" spans="1:17" x14ac:dyDescent="0.2">
      <c r="A65">
        <v>2011</v>
      </c>
      <c r="B65">
        <v>17</v>
      </c>
      <c r="C65" s="8" t="s">
        <v>178</v>
      </c>
      <c r="D65">
        <v>4014</v>
      </c>
      <c r="E65" s="129">
        <v>48488</v>
      </c>
      <c r="F65" s="129">
        <v>30040</v>
      </c>
      <c r="G65" s="129">
        <v>4232809</v>
      </c>
      <c r="H65" s="129">
        <v>4262849</v>
      </c>
      <c r="I65" s="129">
        <v>2877619</v>
      </c>
      <c r="J65" s="129">
        <v>3682998</v>
      </c>
      <c r="K65" s="129">
        <v>90376</v>
      </c>
      <c r="L65" s="129">
        <v>261490</v>
      </c>
      <c r="M65" s="129">
        <v>4034864</v>
      </c>
      <c r="N65" s="129">
        <v>227985</v>
      </c>
      <c r="O65" s="130">
        <v>5.3481838085280522</v>
      </c>
      <c r="P65" s="130">
        <v>59.347034317769342</v>
      </c>
      <c r="Q65" s="130">
        <v>75.956896551724142</v>
      </c>
    </row>
    <row r="66" spans="1:17" x14ac:dyDescent="0.2">
      <c r="E66" s="129">
        <v>88100</v>
      </c>
      <c r="F66" s="129">
        <v>3104810</v>
      </c>
      <c r="G66" s="129">
        <v>6954575</v>
      </c>
      <c r="H66" s="129">
        <v>10059385</v>
      </c>
      <c r="I66" s="129">
        <v>6557659</v>
      </c>
      <c r="J66" s="129">
        <v>8961415</v>
      </c>
      <c r="K66" s="129">
        <v>252349</v>
      </c>
      <c r="L66" s="129">
        <v>54918</v>
      </c>
      <c r="M66" s="129">
        <v>9268682</v>
      </c>
      <c r="N66" s="129">
        <v>790703</v>
      </c>
      <c r="O66" s="130">
        <v>7.8603513037824886</v>
      </c>
      <c r="P66" s="130">
        <v>74.434267877412026</v>
      </c>
      <c r="Q66" s="130">
        <v>101.71867196367764</v>
      </c>
    </row>
    <row r="67" spans="1:17" x14ac:dyDescent="0.2">
      <c r="A67">
        <v>2011</v>
      </c>
      <c r="B67">
        <v>18</v>
      </c>
      <c r="C67" t="s">
        <v>17</v>
      </c>
      <c r="D67">
        <v>7803</v>
      </c>
      <c r="E67" s="129">
        <v>88100</v>
      </c>
      <c r="F67" s="129">
        <v>3104810</v>
      </c>
      <c r="G67" s="129">
        <v>6954575</v>
      </c>
      <c r="H67" s="129">
        <v>10059385</v>
      </c>
      <c r="I67" s="129">
        <v>6557659</v>
      </c>
      <c r="J67" s="129">
        <v>8961415</v>
      </c>
      <c r="K67" s="129">
        <v>252349</v>
      </c>
      <c r="L67" s="129">
        <v>54918</v>
      </c>
      <c r="M67" s="129">
        <v>9268682</v>
      </c>
      <c r="N67" s="129">
        <v>790703</v>
      </c>
      <c r="O67" s="130">
        <v>7.8603513037824886</v>
      </c>
      <c r="P67" s="130">
        <v>74.434267877412026</v>
      </c>
      <c r="Q67" s="130">
        <v>101.71867196367764</v>
      </c>
    </row>
    <row r="68" spans="1:17" x14ac:dyDescent="0.2">
      <c r="E68" s="129">
        <v>81491</v>
      </c>
      <c r="F68" s="129">
        <v>2126408</v>
      </c>
      <c r="G68" s="129">
        <v>4874141</v>
      </c>
      <c r="H68" s="129">
        <v>7000549</v>
      </c>
      <c r="I68" s="129">
        <v>4101508</v>
      </c>
      <c r="J68" s="129">
        <v>5901164</v>
      </c>
      <c r="K68" s="129">
        <v>247010</v>
      </c>
      <c r="L68" s="129">
        <v>20346</v>
      </c>
      <c r="M68" s="129">
        <v>6168520</v>
      </c>
      <c r="N68" s="129">
        <v>832029</v>
      </c>
      <c r="O68" s="130">
        <v>11.885196432451227</v>
      </c>
      <c r="P68" s="130">
        <v>50.330809537249515</v>
      </c>
      <c r="Q68" s="130">
        <v>72.414916984697697</v>
      </c>
    </row>
    <row r="69" spans="1:17" x14ac:dyDescent="0.2">
      <c r="A69">
        <v>2011</v>
      </c>
      <c r="B69">
        <v>19</v>
      </c>
      <c r="C69" t="s">
        <v>9</v>
      </c>
      <c r="D69">
        <v>2177</v>
      </c>
      <c r="E69" s="129">
        <v>81491</v>
      </c>
      <c r="F69" s="129">
        <v>2126408</v>
      </c>
      <c r="G69" s="129">
        <v>4874141</v>
      </c>
      <c r="H69" s="129">
        <v>7000549</v>
      </c>
      <c r="I69" s="129">
        <v>4101508</v>
      </c>
      <c r="J69" s="129">
        <v>5901164</v>
      </c>
      <c r="K69" s="129">
        <v>247010</v>
      </c>
      <c r="L69" s="129">
        <v>20346</v>
      </c>
      <c r="M69" s="129">
        <v>6168520</v>
      </c>
      <c r="N69" s="129">
        <v>832029</v>
      </c>
      <c r="O69" s="130">
        <v>11.885196432451227</v>
      </c>
      <c r="P69" s="130">
        <v>50.330809537249515</v>
      </c>
      <c r="Q69" s="130">
        <v>72.414916984697697</v>
      </c>
    </row>
    <row r="70" spans="1:17" x14ac:dyDescent="0.2">
      <c r="E70" s="129">
        <v>33212</v>
      </c>
      <c r="F70" s="129">
        <v>0</v>
      </c>
      <c r="G70" s="129">
        <v>4201308</v>
      </c>
      <c r="H70" s="129">
        <v>4201308</v>
      </c>
      <c r="I70" s="129">
        <v>1841354</v>
      </c>
      <c r="J70" s="129">
        <v>2886403</v>
      </c>
      <c r="K70" s="129">
        <v>220949</v>
      </c>
      <c r="L70" s="129">
        <v>0</v>
      </c>
      <c r="M70" s="129">
        <v>3107352</v>
      </c>
      <c r="N70" s="129">
        <v>1093956</v>
      </c>
      <c r="O70" s="130">
        <v>26.038462307452821</v>
      </c>
      <c r="P70" s="130">
        <v>55.442430446826449</v>
      </c>
      <c r="Q70" s="130">
        <v>86.908436709623032</v>
      </c>
    </row>
    <row r="72" spans="1:17" x14ac:dyDescent="0.2">
      <c r="A72" s="131" t="s">
        <v>204</v>
      </c>
      <c r="B72">
        <v>20</v>
      </c>
      <c r="C72" t="s">
        <v>30</v>
      </c>
      <c r="D72">
        <v>4567</v>
      </c>
      <c r="E72" s="129">
        <v>33212</v>
      </c>
      <c r="F72" s="129">
        <v>0</v>
      </c>
      <c r="G72" s="129">
        <v>4201308</v>
      </c>
      <c r="H72" s="129">
        <v>4201308</v>
      </c>
      <c r="I72" s="129">
        <v>1841354</v>
      </c>
      <c r="J72" s="129">
        <v>2886403</v>
      </c>
      <c r="K72" s="129">
        <v>220949</v>
      </c>
      <c r="L72" s="129">
        <v>0</v>
      </c>
      <c r="M72" s="129">
        <v>3107352</v>
      </c>
      <c r="N72" s="129">
        <v>1093956</v>
      </c>
      <c r="O72" s="130">
        <v>26.038462307452821</v>
      </c>
      <c r="P72" s="130">
        <v>55.442430446826449</v>
      </c>
      <c r="Q72" s="130">
        <v>86.908436709623032</v>
      </c>
    </row>
    <row r="73" spans="1:17" x14ac:dyDescent="0.2">
      <c r="E73" s="129">
        <v>268215</v>
      </c>
      <c r="F73" s="129">
        <v>0</v>
      </c>
      <c r="G73" s="129">
        <v>23478077</v>
      </c>
      <c r="H73" s="129">
        <v>23478077</v>
      </c>
      <c r="I73" s="129">
        <v>10871842</v>
      </c>
      <c r="J73" s="129">
        <v>18803366</v>
      </c>
      <c r="K73" s="129">
        <v>1624389</v>
      </c>
      <c r="L73" s="129">
        <v>0</v>
      </c>
      <c r="M73" s="129">
        <v>20427755</v>
      </c>
      <c r="N73" s="129">
        <v>3050322</v>
      </c>
      <c r="O73" s="130">
        <v>12.992213970505336</v>
      </c>
      <c r="P73" s="130">
        <v>40.534056633670751</v>
      </c>
      <c r="Q73" s="130">
        <v>70.105572022444676</v>
      </c>
    </row>
    <row r="74" spans="1:17" x14ac:dyDescent="0.2">
      <c r="A74">
        <v>2011</v>
      </c>
      <c r="B74">
        <v>21</v>
      </c>
      <c r="C74" t="s">
        <v>22</v>
      </c>
      <c r="D74">
        <v>2473</v>
      </c>
      <c r="E74" s="129">
        <v>268215</v>
      </c>
      <c r="F74" s="129">
        <v>0</v>
      </c>
      <c r="G74" s="129">
        <v>23478077</v>
      </c>
      <c r="H74" s="129">
        <v>23478077</v>
      </c>
      <c r="I74" s="129">
        <v>10871842</v>
      </c>
      <c r="J74" s="129">
        <v>18803366</v>
      </c>
      <c r="K74" s="129">
        <v>1624389</v>
      </c>
      <c r="L74" s="129">
        <v>0</v>
      </c>
      <c r="M74" s="129">
        <v>20427755</v>
      </c>
      <c r="N74" s="129">
        <v>3050322</v>
      </c>
      <c r="O74" s="130">
        <v>12.992213970505336</v>
      </c>
      <c r="P74" s="130">
        <v>40.534056633670751</v>
      </c>
      <c r="Q74" s="130">
        <v>70.105572022444676</v>
      </c>
    </row>
    <row r="75" spans="1:17" x14ac:dyDescent="0.2">
      <c r="E75" s="129">
        <v>70418</v>
      </c>
      <c r="F75" s="129">
        <v>0</v>
      </c>
      <c r="G75" s="129">
        <v>5367855</v>
      </c>
      <c r="H75" s="129">
        <v>5367855</v>
      </c>
      <c r="I75" s="129">
        <v>3111345</v>
      </c>
      <c r="J75" s="129">
        <v>3806674</v>
      </c>
      <c r="K75" s="129">
        <v>244953</v>
      </c>
      <c r="L75" s="129">
        <v>0</v>
      </c>
      <c r="M75" s="129">
        <v>4051627</v>
      </c>
      <c r="N75" s="129">
        <v>1316228</v>
      </c>
      <c r="O75" s="130">
        <v>24.520558025505533</v>
      </c>
      <c r="P75" s="130">
        <v>44.183944446022323</v>
      </c>
      <c r="Q75" s="130">
        <v>54.058252151438552</v>
      </c>
    </row>
    <row r="76" spans="1:17" x14ac:dyDescent="0.2">
      <c r="A76">
        <v>2011</v>
      </c>
      <c r="B76">
        <v>22</v>
      </c>
      <c r="C76" t="s">
        <v>13</v>
      </c>
      <c r="D76">
        <v>4762</v>
      </c>
      <c r="E76" s="129">
        <v>70418</v>
      </c>
      <c r="F76" s="129">
        <v>0</v>
      </c>
      <c r="G76" s="129">
        <v>5367855</v>
      </c>
      <c r="H76" s="129">
        <v>5367855</v>
      </c>
      <c r="I76" s="129">
        <v>3111345</v>
      </c>
      <c r="J76" s="129">
        <v>3806674</v>
      </c>
      <c r="K76" s="129">
        <v>244953</v>
      </c>
      <c r="L76" s="129">
        <v>0</v>
      </c>
      <c r="M76" s="129">
        <v>4051627</v>
      </c>
      <c r="N76" s="129">
        <v>1316228</v>
      </c>
      <c r="O76" s="130">
        <v>24.520558025505533</v>
      </c>
      <c r="P76" s="130">
        <v>44.183944446022323</v>
      </c>
      <c r="Q76" s="130">
        <v>54.058252151438552</v>
      </c>
    </row>
    <row r="77" spans="1:17" x14ac:dyDescent="0.2">
      <c r="E77" s="129">
        <v>76466</v>
      </c>
      <c r="F77" s="129">
        <v>0</v>
      </c>
      <c r="G77" s="129">
        <v>5628976</v>
      </c>
      <c r="H77" s="129">
        <v>5628976</v>
      </c>
      <c r="I77" s="129">
        <v>3913695</v>
      </c>
      <c r="J77" s="129">
        <v>5070453</v>
      </c>
      <c r="K77" s="129">
        <v>0</v>
      </c>
      <c r="L77" s="129">
        <v>0</v>
      </c>
      <c r="M77" s="129">
        <v>5070453</v>
      </c>
      <c r="N77" s="129">
        <v>558523</v>
      </c>
      <c r="O77" s="130">
        <v>9.9222842662679689</v>
      </c>
      <c r="P77" s="130">
        <v>51.182159391101926</v>
      </c>
      <c r="Q77" s="130">
        <v>66.309902440300263</v>
      </c>
    </row>
    <row r="78" spans="1:17" x14ac:dyDescent="0.2">
      <c r="A78">
        <v>2011</v>
      </c>
      <c r="B78">
        <v>23</v>
      </c>
      <c r="C78" t="s">
        <v>6</v>
      </c>
      <c r="D78">
        <v>4919</v>
      </c>
      <c r="E78" s="129">
        <v>76466</v>
      </c>
      <c r="F78" s="129">
        <v>0</v>
      </c>
      <c r="G78" s="129">
        <v>5628976</v>
      </c>
      <c r="H78" s="129">
        <v>5628976</v>
      </c>
      <c r="I78" s="129">
        <v>3913695</v>
      </c>
      <c r="J78" s="129">
        <v>5070453</v>
      </c>
      <c r="K78" s="129">
        <v>0</v>
      </c>
      <c r="L78" s="129">
        <v>0</v>
      </c>
      <c r="M78" s="129">
        <v>5070453</v>
      </c>
      <c r="N78" s="129">
        <v>558523</v>
      </c>
      <c r="O78" s="130">
        <v>9.9222842662679689</v>
      </c>
      <c r="P78" s="130">
        <v>51.182159391101926</v>
      </c>
      <c r="Q78" s="130">
        <v>66.309902440300263</v>
      </c>
    </row>
    <row r="79" spans="1:17" x14ac:dyDescent="0.2">
      <c r="E79" s="129">
        <v>186782</v>
      </c>
      <c r="F79" s="129">
        <v>7291940</v>
      </c>
      <c r="G79" s="129">
        <v>7806516</v>
      </c>
      <c r="H79" s="129">
        <v>15098456</v>
      </c>
      <c r="I79" s="129">
        <v>9774438</v>
      </c>
      <c r="J79" s="129">
        <v>12732428</v>
      </c>
      <c r="K79" s="129">
        <v>1045758</v>
      </c>
      <c r="L79" s="129">
        <v>18196</v>
      </c>
      <c r="M79" s="129">
        <v>13796382</v>
      </c>
      <c r="N79" s="129">
        <v>1302074</v>
      </c>
      <c r="O79" s="130">
        <v>8.6238884293864224</v>
      </c>
      <c r="P79" s="130">
        <v>52.330727800323373</v>
      </c>
      <c r="Q79" s="130">
        <v>68.16731804991916</v>
      </c>
    </row>
    <row r="80" spans="1:17" x14ac:dyDescent="0.2">
      <c r="A80">
        <v>2011</v>
      </c>
      <c r="B80">
        <v>24</v>
      </c>
      <c r="C80" t="s">
        <v>173</v>
      </c>
      <c r="D80">
        <v>5316</v>
      </c>
      <c r="E80" s="129">
        <v>186782</v>
      </c>
      <c r="F80" s="129">
        <v>7291940</v>
      </c>
      <c r="G80" s="129">
        <v>7806516</v>
      </c>
      <c r="H80" s="129">
        <v>15098456</v>
      </c>
      <c r="I80" s="129">
        <v>9774438</v>
      </c>
      <c r="J80" s="129">
        <v>12732428</v>
      </c>
      <c r="K80" s="129">
        <v>1045758</v>
      </c>
      <c r="L80" s="129">
        <v>18196</v>
      </c>
      <c r="M80" s="129">
        <v>13796382</v>
      </c>
      <c r="N80" s="129">
        <v>1302074</v>
      </c>
      <c r="O80" s="130">
        <v>8.6238884293864224</v>
      </c>
      <c r="P80" s="130">
        <v>52.330727800323373</v>
      </c>
      <c r="Q80" s="130">
        <v>68.16731804991916</v>
      </c>
    </row>
    <row r="81" spans="1:17" x14ac:dyDescent="0.2">
      <c r="E81" s="129">
        <v>47351</v>
      </c>
      <c r="F81" s="129">
        <v>0</v>
      </c>
      <c r="G81" s="129">
        <v>3123870</v>
      </c>
      <c r="H81" s="129">
        <v>3123870</v>
      </c>
      <c r="I81" s="129">
        <v>2108301</v>
      </c>
      <c r="J81" s="129">
        <v>2549991</v>
      </c>
      <c r="K81" s="129">
        <v>38329</v>
      </c>
      <c r="L81" s="129">
        <v>12659</v>
      </c>
      <c r="M81" s="129">
        <v>2600979</v>
      </c>
      <c r="N81" s="129">
        <v>522891</v>
      </c>
      <c r="O81" s="130">
        <v>16.738564664982857</v>
      </c>
      <c r="P81" s="130">
        <v>44.524951954552172</v>
      </c>
      <c r="Q81" s="130">
        <v>53.852949251335772</v>
      </c>
    </row>
    <row r="82" spans="1:17" x14ac:dyDescent="0.2">
      <c r="E82" s="129">
        <v>15721</v>
      </c>
      <c r="F82" s="129">
        <v>0</v>
      </c>
      <c r="G82" s="129">
        <v>1293914</v>
      </c>
      <c r="H82" s="129">
        <v>1293914</v>
      </c>
      <c r="I82" s="129">
        <v>904438</v>
      </c>
      <c r="J82" s="129">
        <v>1003491</v>
      </c>
      <c r="K82" s="129">
        <v>23329</v>
      </c>
      <c r="L82" s="129">
        <v>64204</v>
      </c>
      <c r="M82" s="129">
        <v>1091024</v>
      </c>
      <c r="N82" s="129">
        <v>202890</v>
      </c>
      <c r="O82" s="130">
        <v>15.680331150292831</v>
      </c>
      <c r="P82" s="130">
        <v>57.530564213472424</v>
      </c>
      <c r="Q82" s="130">
        <v>63.831244831753708</v>
      </c>
    </row>
    <row r="83" spans="1:17" x14ac:dyDescent="0.2">
      <c r="E83" s="129">
        <v>22552</v>
      </c>
      <c r="F83" s="129">
        <v>0</v>
      </c>
      <c r="G83" s="129">
        <v>492869</v>
      </c>
      <c r="H83" s="129">
        <v>492869</v>
      </c>
      <c r="I83" s="129">
        <v>335274</v>
      </c>
      <c r="J83" s="129">
        <v>406131</v>
      </c>
      <c r="K83" s="129">
        <v>0</v>
      </c>
      <c r="L83" s="129">
        <v>3976</v>
      </c>
      <c r="M83" s="129">
        <v>410107</v>
      </c>
      <c r="N83" s="129">
        <v>82762</v>
      </c>
      <c r="O83" s="130">
        <v>16.79188587636877</v>
      </c>
      <c r="P83" s="130">
        <v>14.866708052500886</v>
      </c>
      <c r="Q83" s="130">
        <v>18.008646683220999</v>
      </c>
    </row>
    <row r="84" spans="1:17" x14ac:dyDescent="0.2">
      <c r="E84" s="129">
        <v>1000</v>
      </c>
      <c r="F84" s="129">
        <v>0</v>
      </c>
      <c r="G84" s="129">
        <v>22009</v>
      </c>
      <c r="H84" s="129">
        <v>22009</v>
      </c>
      <c r="I84" s="129">
        <v>18487</v>
      </c>
      <c r="J84" s="129">
        <v>18487</v>
      </c>
      <c r="K84" s="129">
        <v>0</v>
      </c>
      <c r="L84" s="129">
        <v>0</v>
      </c>
      <c r="M84" s="129">
        <v>18487</v>
      </c>
      <c r="N84" s="129">
        <v>3522</v>
      </c>
      <c r="O84" s="130">
        <v>16.002544413648963</v>
      </c>
      <c r="P84" s="130">
        <v>18.486999999999998</v>
      </c>
      <c r="Q84" s="130">
        <v>18.486999999999998</v>
      </c>
    </row>
    <row r="85" spans="1:17" x14ac:dyDescent="0.2">
      <c r="E85" s="129">
        <v>1800</v>
      </c>
      <c r="F85" s="129">
        <v>0</v>
      </c>
      <c r="G85" s="129">
        <v>157813</v>
      </c>
      <c r="H85" s="129">
        <v>157813</v>
      </c>
      <c r="I85" s="129">
        <v>119896</v>
      </c>
      <c r="J85" s="129">
        <v>119896</v>
      </c>
      <c r="K85" s="129">
        <v>0</v>
      </c>
      <c r="L85" s="129">
        <v>0</v>
      </c>
      <c r="M85" s="129">
        <v>119896</v>
      </c>
      <c r="N85" s="129">
        <v>37917</v>
      </c>
      <c r="O85" s="130">
        <v>24.026537737702217</v>
      </c>
      <c r="P85" s="130">
        <v>66.608888888888885</v>
      </c>
      <c r="Q85" s="130">
        <v>66.608888888888885</v>
      </c>
    </row>
    <row r="86" spans="1:17" x14ac:dyDescent="0.2">
      <c r="A86">
        <v>2011</v>
      </c>
      <c r="B86">
        <v>25</v>
      </c>
      <c r="C86" t="s">
        <v>3</v>
      </c>
      <c r="D86">
        <v>2586</v>
      </c>
      <c r="E86" s="129">
        <v>88424</v>
      </c>
      <c r="F86" s="129">
        <v>0</v>
      </c>
      <c r="G86" s="129">
        <v>5090475</v>
      </c>
      <c r="H86" s="129">
        <v>5090475</v>
      </c>
      <c r="I86" s="129">
        <v>3486396</v>
      </c>
      <c r="J86" s="129">
        <v>4097996</v>
      </c>
      <c r="K86" s="129">
        <v>61658</v>
      </c>
      <c r="L86" s="129">
        <v>80839</v>
      </c>
      <c r="M86" s="129">
        <v>4240493</v>
      </c>
      <c r="N86" s="129">
        <v>849982</v>
      </c>
      <c r="O86" s="130">
        <v>16.697498759938906</v>
      </c>
      <c r="P86" s="130">
        <v>39.428164299285264</v>
      </c>
      <c r="Q86" s="130">
        <v>46.344838505383152</v>
      </c>
    </row>
    <row r="87" spans="1:17" x14ac:dyDescent="0.2">
      <c r="E87" s="129">
        <v>46617</v>
      </c>
      <c r="F87" s="129">
        <v>0</v>
      </c>
      <c r="G87" s="129">
        <v>3606145</v>
      </c>
      <c r="H87" s="129">
        <v>3606145</v>
      </c>
      <c r="I87" s="129">
        <v>2415960</v>
      </c>
      <c r="J87" s="129">
        <v>3149500</v>
      </c>
      <c r="K87" s="129">
        <v>180635</v>
      </c>
      <c r="L87" s="129">
        <v>27405</v>
      </c>
      <c r="M87" s="129">
        <v>3357540</v>
      </c>
      <c r="N87" s="129">
        <v>248605</v>
      </c>
      <c r="O87" s="130">
        <v>6.8939268942319289</v>
      </c>
      <c r="P87" s="130">
        <v>51.825728811377822</v>
      </c>
      <c r="Q87" s="130">
        <v>67.561190123774594</v>
      </c>
    </row>
    <row r="88" spans="1:17" x14ac:dyDescent="0.2">
      <c r="A88">
        <v>2011</v>
      </c>
      <c r="B88">
        <v>26</v>
      </c>
      <c r="C88" t="s">
        <v>39</v>
      </c>
      <c r="D88">
        <v>1224</v>
      </c>
      <c r="E88" s="129">
        <v>46617</v>
      </c>
      <c r="F88" s="129">
        <v>0</v>
      </c>
      <c r="G88" s="129">
        <v>3606145</v>
      </c>
      <c r="H88" s="129">
        <v>3606145</v>
      </c>
      <c r="I88" s="129">
        <v>2415960</v>
      </c>
      <c r="J88" s="129">
        <v>3149500</v>
      </c>
      <c r="K88" s="129">
        <v>180635</v>
      </c>
      <c r="L88" s="129">
        <v>27405</v>
      </c>
      <c r="M88" s="129">
        <v>3357540</v>
      </c>
      <c r="N88" s="129">
        <v>248605</v>
      </c>
      <c r="O88" s="130">
        <v>6.8939268942319289</v>
      </c>
      <c r="P88" s="130">
        <v>51.825728811377822</v>
      </c>
      <c r="Q88" s="130">
        <v>67.561190123774594</v>
      </c>
    </row>
    <row r="89" spans="1:17" x14ac:dyDescent="0.2">
      <c r="E89" s="129">
        <v>39144</v>
      </c>
      <c r="F89" s="129">
        <v>2053781</v>
      </c>
      <c r="G89" s="129">
        <v>1082471</v>
      </c>
      <c r="H89" s="129">
        <v>3136252</v>
      </c>
      <c r="I89" s="129">
        <v>2109939</v>
      </c>
      <c r="J89" s="129">
        <v>2925107</v>
      </c>
      <c r="K89" s="129">
        <v>68286</v>
      </c>
      <c r="L89" s="129">
        <v>6284</v>
      </c>
      <c r="M89" s="129">
        <v>2999677</v>
      </c>
      <c r="N89" s="129">
        <v>136575</v>
      </c>
      <c r="O89" s="130">
        <v>4.3547202201863877</v>
      </c>
      <c r="P89" s="130">
        <v>53.90197731453096</v>
      </c>
      <c r="Q89" s="130">
        <v>74.726829143674635</v>
      </c>
    </row>
    <row r="90" spans="1:17" x14ac:dyDescent="0.2">
      <c r="A90">
        <v>2011</v>
      </c>
      <c r="B90">
        <v>27</v>
      </c>
      <c r="C90" t="s">
        <v>7</v>
      </c>
      <c r="D90">
        <v>5243</v>
      </c>
      <c r="E90" s="129">
        <v>39144</v>
      </c>
      <c r="F90" s="129">
        <v>2053781</v>
      </c>
      <c r="G90" s="129">
        <v>1082471</v>
      </c>
      <c r="H90" s="129">
        <v>3136252</v>
      </c>
      <c r="I90" s="129">
        <v>2109939</v>
      </c>
      <c r="J90" s="129">
        <v>2925107</v>
      </c>
      <c r="K90" s="129">
        <v>68286</v>
      </c>
      <c r="L90" s="129">
        <v>6284</v>
      </c>
      <c r="M90" s="129">
        <v>2999677</v>
      </c>
      <c r="N90" s="129">
        <v>136575</v>
      </c>
      <c r="O90" s="130">
        <v>4.3547202201863877</v>
      </c>
      <c r="P90" s="130">
        <v>53.90197731453096</v>
      </c>
      <c r="Q90" s="130">
        <v>74.726829143674635</v>
      </c>
    </row>
    <row r="91" spans="1:17" x14ac:dyDescent="0.2">
      <c r="E91" s="129">
        <v>47621</v>
      </c>
      <c r="F91" s="129">
        <v>0</v>
      </c>
      <c r="G91" s="129">
        <v>7483785</v>
      </c>
      <c r="H91" s="129">
        <v>7483785</v>
      </c>
      <c r="I91" s="129">
        <v>2177090</v>
      </c>
      <c r="J91" s="129">
        <v>2899163</v>
      </c>
      <c r="K91" s="129">
        <v>4087021</v>
      </c>
      <c r="L91" s="129">
        <v>652</v>
      </c>
      <c r="M91" s="129">
        <v>6986836</v>
      </c>
      <c r="N91" s="129">
        <v>496949</v>
      </c>
      <c r="O91" s="130">
        <v>6.6403430884238386</v>
      </c>
      <c r="P91" s="130">
        <v>45.717015602360306</v>
      </c>
      <c r="Q91" s="130">
        <v>60.879926922996155</v>
      </c>
    </row>
    <row r="92" spans="1:17" x14ac:dyDescent="0.2">
      <c r="A92">
        <v>2011</v>
      </c>
      <c r="B92">
        <v>28</v>
      </c>
      <c r="C92" t="s">
        <v>41</v>
      </c>
      <c r="D92">
        <v>7315</v>
      </c>
      <c r="E92" s="129">
        <v>47621</v>
      </c>
      <c r="F92" s="129">
        <v>0</v>
      </c>
      <c r="G92" s="129">
        <v>7483785</v>
      </c>
      <c r="H92" s="129">
        <v>7483785</v>
      </c>
      <c r="I92" s="129">
        <v>2177090</v>
      </c>
      <c r="J92" s="129">
        <v>2899163</v>
      </c>
      <c r="K92" s="129">
        <v>4087021</v>
      </c>
      <c r="L92" s="129">
        <v>652</v>
      </c>
      <c r="M92" s="129">
        <v>6986836</v>
      </c>
      <c r="N92" s="129">
        <v>496949</v>
      </c>
      <c r="O92" s="130">
        <v>6.6403430884238386</v>
      </c>
      <c r="P92" s="130">
        <v>45.717015602360306</v>
      </c>
      <c r="Q92" s="130">
        <v>60.879926922996155</v>
      </c>
    </row>
    <row r="93" spans="1:17" x14ac:dyDescent="0.2">
      <c r="E93" s="129">
        <v>53095</v>
      </c>
      <c r="F93" s="129">
        <v>0</v>
      </c>
      <c r="G93" s="129">
        <v>3190820</v>
      </c>
      <c r="H93" s="129">
        <v>3190820</v>
      </c>
      <c r="I93" s="129">
        <v>1707063</v>
      </c>
      <c r="J93" s="129">
        <v>1988735</v>
      </c>
      <c r="K93" s="129">
        <v>25575</v>
      </c>
      <c r="L93" s="129">
        <v>75123</v>
      </c>
      <c r="M93" s="129">
        <v>2089433</v>
      </c>
      <c r="N93" s="129">
        <v>1101387</v>
      </c>
      <c r="O93" s="130">
        <v>34.517365442112059</v>
      </c>
      <c r="P93" s="130">
        <v>32.151106507204069</v>
      </c>
      <c r="Q93" s="130">
        <v>37.456163480553727</v>
      </c>
    </row>
    <row r="94" spans="1:17" x14ac:dyDescent="0.2">
      <c r="A94" s="131" t="s">
        <v>204</v>
      </c>
      <c r="B94">
        <v>29</v>
      </c>
      <c r="C94" t="s">
        <v>20</v>
      </c>
      <c r="D94">
        <v>6647</v>
      </c>
      <c r="E94" s="129">
        <v>53095</v>
      </c>
      <c r="F94" s="129">
        <v>0</v>
      </c>
      <c r="G94" s="129">
        <v>3190820</v>
      </c>
      <c r="H94" s="129">
        <v>3190820</v>
      </c>
      <c r="I94" s="129">
        <v>1707063</v>
      </c>
      <c r="J94" s="129">
        <v>1988735</v>
      </c>
      <c r="K94" s="129">
        <v>25575</v>
      </c>
      <c r="L94" s="129">
        <v>75123</v>
      </c>
      <c r="M94" s="129">
        <v>2089433</v>
      </c>
      <c r="N94" s="129">
        <v>1101387</v>
      </c>
      <c r="O94" s="130">
        <v>34.517365442112059</v>
      </c>
      <c r="P94" s="130">
        <v>32.151106507204069</v>
      </c>
      <c r="Q94" s="130">
        <v>37.456163480553727</v>
      </c>
    </row>
    <row r="95" spans="1:17" x14ac:dyDescent="0.2">
      <c r="E95" s="129">
        <v>68878</v>
      </c>
      <c r="F95" s="129">
        <v>4507414</v>
      </c>
      <c r="G95" s="129">
        <v>1960225</v>
      </c>
      <c r="H95" s="129">
        <v>6467639</v>
      </c>
      <c r="I95" s="129">
        <v>4262676</v>
      </c>
      <c r="J95" s="129">
        <v>5820585</v>
      </c>
      <c r="K95" s="129">
        <v>2041</v>
      </c>
      <c r="L95" s="129">
        <v>198746</v>
      </c>
      <c r="M95" s="129">
        <v>6021372</v>
      </c>
      <c r="N95" s="129">
        <v>446267</v>
      </c>
      <c r="O95" s="130">
        <v>6.8999985929950629</v>
      </c>
      <c r="P95" s="130">
        <v>61.887337030691945</v>
      </c>
      <c r="Q95" s="130">
        <v>84.505720259008683</v>
      </c>
    </row>
    <row r="96" spans="1:17" x14ac:dyDescent="0.2">
      <c r="A96">
        <v>2011</v>
      </c>
      <c r="B96">
        <v>30</v>
      </c>
      <c r="C96" t="s">
        <v>40</v>
      </c>
      <c r="D96">
        <v>6463</v>
      </c>
      <c r="E96" s="129">
        <v>68878</v>
      </c>
      <c r="F96" s="129">
        <v>4507414</v>
      </c>
      <c r="G96" s="129">
        <v>1960225</v>
      </c>
      <c r="H96" s="129">
        <v>6467639</v>
      </c>
      <c r="I96" s="129">
        <v>4262676</v>
      </c>
      <c r="J96" s="129">
        <v>5820585</v>
      </c>
      <c r="K96" s="129">
        <v>2041</v>
      </c>
      <c r="L96" s="129">
        <v>198746</v>
      </c>
      <c r="M96" s="129">
        <v>6021372</v>
      </c>
      <c r="N96" s="129">
        <v>446267</v>
      </c>
      <c r="O96" s="130">
        <v>6.8999985929950629</v>
      </c>
      <c r="P96" s="130">
        <v>61.887337030691945</v>
      </c>
      <c r="Q96" s="130">
        <v>84.505720259008683</v>
      </c>
    </row>
    <row r="97" spans="1:17" x14ac:dyDescent="0.2">
      <c r="E97" s="129">
        <v>41734</v>
      </c>
      <c r="F97" s="129">
        <v>4370400</v>
      </c>
      <c r="G97" s="129">
        <v>0</v>
      </c>
      <c r="H97" s="129">
        <v>4370400</v>
      </c>
      <c r="I97" s="129">
        <v>2067894</v>
      </c>
      <c r="J97" s="129">
        <v>3005690</v>
      </c>
      <c r="K97" s="129">
        <v>790655</v>
      </c>
      <c r="L97" s="129">
        <v>0</v>
      </c>
      <c r="M97" s="129">
        <v>3796345</v>
      </c>
      <c r="N97" s="129">
        <v>574055</v>
      </c>
      <c r="O97" s="130">
        <v>13.135067728354386</v>
      </c>
      <c r="P97" s="130">
        <v>49.549384195140654</v>
      </c>
      <c r="Q97" s="130">
        <v>72.020175396559154</v>
      </c>
    </row>
    <row r="98" spans="1:17" x14ac:dyDescent="0.2">
      <c r="E98" s="129">
        <v>1458</v>
      </c>
      <c r="F98" s="129">
        <v>207050</v>
      </c>
      <c r="G98" s="129">
        <v>53628</v>
      </c>
      <c r="H98" s="129">
        <v>260678</v>
      </c>
      <c r="I98" s="129">
        <v>116103</v>
      </c>
      <c r="J98" s="129">
        <v>215859</v>
      </c>
      <c r="K98" s="129">
        <v>0</v>
      </c>
      <c r="L98" s="129">
        <v>1336</v>
      </c>
      <c r="M98" s="129">
        <v>217195</v>
      </c>
      <c r="N98" s="129">
        <v>43483</v>
      </c>
      <c r="O98" s="130">
        <v>16.68073255127015</v>
      </c>
      <c r="P98" s="130">
        <v>79.63168724279835</v>
      </c>
      <c r="Q98" s="130">
        <v>148.05144032921811</v>
      </c>
    </row>
    <row r="99" spans="1:17" x14ac:dyDescent="0.2">
      <c r="E99" s="129">
        <v>2944</v>
      </c>
      <c r="F99" s="129">
        <v>0</v>
      </c>
      <c r="G99" s="129">
        <v>197286</v>
      </c>
      <c r="H99" s="129">
        <v>197286</v>
      </c>
      <c r="I99" s="129">
        <v>144035</v>
      </c>
      <c r="J99" s="129">
        <v>160476</v>
      </c>
      <c r="K99" s="129">
        <v>0</v>
      </c>
      <c r="L99" s="129">
        <v>729</v>
      </c>
      <c r="M99" s="129">
        <v>161205</v>
      </c>
      <c r="N99" s="129">
        <v>36081</v>
      </c>
      <c r="O99" s="130">
        <v>18.288677351662056</v>
      </c>
      <c r="P99" s="130">
        <v>48.924932065217391</v>
      </c>
      <c r="Q99" s="130">
        <v>54.509510869565219</v>
      </c>
    </row>
    <row r="100" spans="1:17" x14ac:dyDescent="0.2">
      <c r="A100">
        <v>2011</v>
      </c>
      <c r="B100">
        <v>31</v>
      </c>
      <c r="C100" t="s">
        <v>19</v>
      </c>
      <c r="D100">
        <v>371</v>
      </c>
      <c r="E100" s="129">
        <v>43192</v>
      </c>
      <c r="F100" s="129">
        <v>4577450</v>
      </c>
      <c r="G100" s="129">
        <v>250914</v>
      </c>
      <c r="H100" s="129">
        <v>4828364</v>
      </c>
      <c r="I100" s="129">
        <v>2328032</v>
      </c>
      <c r="J100" s="129">
        <v>3382025</v>
      </c>
      <c r="K100" s="129">
        <v>790655</v>
      </c>
      <c r="L100" s="129">
        <v>2065</v>
      </c>
      <c r="M100" s="129">
        <v>4174745</v>
      </c>
      <c r="N100" s="129">
        <v>653619</v>
      </c>
      <c r="O100" s="130">
        <v>13.5370696989705</v>
      </c>
      <c r="P100" s="130">
        <v>53.899611039081314</v>
      </c>
      <c r="Q100" s="130">
        <v>78.302116132617158</v>
      </c>
    </row>
    <row r="101" spans="1:17" x14ac:dyDescent="0.2">
      <c r="E101" s="129">
        <v>195362</v>
      </c>
      <c r="F101" s="129">
        <v>0</v>
      </c>
      <c r="G101" s="129">
        <v>17707425</v>
      </c>
      <c r="H101" s="129">
        <v>17707425</v>
      </c>
      <c r="I101" s="129">
        <v>9997422</v>
      </c>
      <c r="J101" s="129">
        <v>14221483</v>
      </c>
      <c r="K101" s="129">
        <v>431726</v>
      </c>
      <c r="L101" s="129">
        <v>56456</v>
      </c>
      <c r="M101" s="129">
        <v>14709665</v>
      </c>
      <c r="N101" s="129">
        <v>2997760</v>
      </c>
      <c r="O101" s="130">
        <v>16.92939543722478</v>
      </c>
      <c r="P101" s="130">
        <v>51.173831144234804</v>
      </c>
      <c r="Q101" s="130">
        <v>72.795543657415465</v>
      </c>
    </row>
    <row r="102" spans="1:17" x14ac:dyDescent="0.2">
      <c r="E102" s="129">
        <v>24000</v>
      </c>
      <c r="F102" s="129">
        <v>0</v>
      </c>
      <c r="G102" s="129">
        <v>2502946</v>
      </c>
      <c r="H102" s="129">
        <v>2502946</v>
      </c>
      <c r="I102" s="129">
        <v>1109207</v>
      </c>
      <c r="J102" s="129">
        <v>1433784</v>
      </c>
      <c r="K102" s="129">
        <v>442341</v>
      </c>
      <c r="L102" s="129">
        <v>0</v>
      </c>
      <c r="M102" s="129">
        <v>1876125</v>
      </c>
      <c r="N102" s="129">
        <v>626821</v>
      </c>
      <c r="O102" s="130">
        <v>25.043328941175719</v>
      </c>
      <c r="P102" s="130">
        <v>46.216958333333331</v>
      </c>
      <c r="Q102" s="130">
        <v>59.741</v>
      </c>
    </row>
    <row r="103" spans="1:17" x14ac:dyDescent="0.2">
      <c r="A103">
        <v>2011</v>
      </c>
      <c r="B103">
        <v>32</v>
      </c>
      <c r="C103" t="s">
        <v>10</v>
      </c>
      <c r="D103">
        <v>6841</v>
      </c>
      <c r="E103" s="129">
        <v>219362</v>
      </c>
      <c r="F103" s="129">
        <v>0</v>
      </c>
      <c r="G103" s="129">
        <v>20210371</v>
      </c>
      <c r="H103" s="129">
        <v>20210371</v>
      </c>
      <c r="I103" s="129">
        <v>11106629</v>
      </c>
      <c r="J103" s="129">
        <v>15655267</v>
      </c>
      <c r="K103" s="129">
        <v>874067</v>
      </c>
      <c r="L103" s="129">
        <v>56456</v>
      </c>
      <c r="M103" s="129">
        <v>16585790</v>
      </c>
      <c r="N103" s="129">
        <v>3624581</v>
      </c>
      <c r="O103" s="130">
        <v>17.934262562522974</v>
      </c>
      <c r="P103" s="130">
        <v>50.631508647805909</v>
      </c>
      <c r="Q103" s="130">
        <v>71.367269627373929</v>
      </c>
    </row>
    <row r="104" spans="1:17" x14ac:dyDescent="0.2">
      <c r="E104" s="129">
        <v>80561</v>
      </c>
      <c r="F104" s="129">
        <v>0</v>
      </c>
      <c r="G104" s="129">
        <v>5224579</v>
      </c>
      <c r="H104" s="129">
        <v>5224579</v>
      </c>
      <c r="I104" s="129">
        <v>3282261</v>
      </c>
      <c r="J104" s="129">
        <v>4159022</v>
      </c>
      <c r="K104" s="129">
        <v>106794</v>
      </c>
      <c r="L104" s="129">
        <v>0</v>
      </c>
      <c r="M104" s="129">
        <v>4265816</v>
      </c>
      <c r="N104" s="129">
        <v>958763</v>
      </c>
      <c r="O104" s="130">
        <v>18.351009717720796</v>
      </c>
      <c r="P104" s="130">
        <v>40.742555330743166</v>
      </c>
      <c r="Q104" s="130">
        <v>51.625749432107348</v>
      </c>
    </row>
    <row r="105" spans="1:17" x14ac:dyDescent="0.2">
      <c r="A105">
        <v>2011</v>
      </c>
      <c r="B105">
        <v>33</v>
      </c>
      <c r="C105" t="s">
        <v>33</v>
      </c>
      <c r="D105">
        <v>8329</v>
      </c>
      <c r="E105" s="129">
        <v>80561</v>
      </c>
      <c r="F105" s="129">
        <v>0</v>
      </c>
      <c r="G105" s="129">
        <v>5224579</v>
      </c>
      <c r="H105" s="129">
        <v>5224579</v>
      </c>
      <c r="I105" s="129">
        <v>3282261</v>
      </c>
      <c r="J105" s="129">
        <v>4159022</v>
      </c>
      <c r="K105" s="129">
        <v>106794</v>
      </c>
      <c r="L105" s="129">
        <v>0</v>
      </c>
      <c r="M105" s="129">
        <v>4265816</v>
      </c>
      <c r="N105" s="129">
        <v>958763</v>
      </c>
      <c r="O105" s="130">
        <v>18.351009717720796</v>
      </c>
      <c r="P105" s="130">
        <v>40.742555330743166</v>
      </c>
      <c r="Q105" s="130">
        <v>51.625749432107348</v>
      </c>
    </row>
    <row r="106" spans="1:17" x14ac:dyDescent="0.2">
      <c r="E106" s="129">
        <v>11211</v>
      </c>
      <c r="F106" s="129">
        <v>0</v>
      </c>
      <c r="G106" s="129">
        <v>1315966</v>
      </c>
      <c r="H106" s="129">
        <v>1315966</v>
      </c>
      <c r="I106" s="129">
        <v>658076</v>
      </c>
      <c r="J106" s="129">
        <v>879065</v>
      </c>
      <c r="K106" s="129">
        <v>232102</v>
      </c>
      <c r="L106" s="129">
        <v>13736</v>
      </c>
      <c r="M106" s="129">
        <v>1124903</v>
      </c>
      <c r="N106" s="129">
        <v>191063</v>
      </c>
      <c r="O106" s="130">
        <v>14.518840152405154</v>
      </c>
      <c r="P106" s="130">
        <v>58.699134778342696</v>
      </c>
      <c r="Q106" s="130">
        <v>78.410935688163406</v>
      </c>
    </row>
    <row r="107" spans="1:17" x14ac:dyDescent="0.2">
      <c r="E107" s="129">
        <v>181503</v>
      </c>
      <c r="F107" s="129">
        <v>0</v>
      </c>
      <c r="G107" s="129">
        <v>13213279</v>
      </c>
      <c r="H107" s="129">
        <v>13213279</v>
      </c>
      <c r="I107" s="129">
        <v>9544486</v>
      </c>
      <c r="J107" s="129">
        <v>12265793</v>
      </c>
      <c r="K107" s="129">
        <v>215652</v>
      </c>
      <c r="L107" s="129">
        <v>0</v>
      </c>
      <c r="M107" s="129">
        <v>12481445</v>
      </c>
      <c r="N107" s="129">
        <v>731834</v>
      </c>
      <c r="O107" s="130">
        <v>5.5386251966676854</v>
      </c>
      <c r="P107" s="130">
        <v>52.585830537236298</v>
      </c>
      <c r="Q107" s="130">
        <v>67.579009713338067</v>
      </c>
    </row>
    <row r="108" spans="1:17" x14ac:dyDescent="0.2">
      <c r="A108">
        <v>2011</v>
      </c>
      <c r="B108">
        <v>34</v>
      </c>
      <c r="C108" s="9" t="s">
        <v>14</v>
      </c>
      <c r="D108">
        <v>7864</v>
      </c>
      <c r="E108" s="129">
        <v>192714</v>
      </c>
      <c r="F108" s="129">
        <v>0</v>
      </c>
      <c r="G108" s="129">
        <v>14529245</v>
      </c>
      <c r="H108" s="129">
        <v>14529245</v>
      </c>
      <c r="I108" s="129">
        <v>10202562</v>
      </c>
      <c r="J108" s="129">
        <v>13144858</v>
      </c>
      <c r="K108" s="129">
        <v>447754</v>
      </c>
      <c r="L108" s="129">
        <v>13736</v>
      </c>
      <c r="M108" s="129">
        <v>13606348</v>
      </c>
      <c r="N108" s="129">
        <v>922897</v>
      </c>
      <c r="O108" s="130">
        <v>6.3519955785727333</v>
      </c>
      <c r="P108" s="130">
        <v>52.941467667112924</v>
      </c>
      <c r="Q108" s="130">
        <v>68.209149309339224</v>
      </c>
    </row>
    <row r="109" spans="1:17" x14ac:dyDescent="0.2">
      <c r="E109" s="129">
        <v>211129</v>
      </c>
      <c r="F109" s="129">
        <v>7952256</v>
      </c>
      <c r="G109" s="129">
        <v>7986916</v>
      </c>
      <c r="H109" s="129">
        <v>15939172</v>
      </c>
      <c r="I109" s="129">
        <v>10772051</v>
      </c>
      <c r="J109" s="129">
        <v>14733022</v>
      </c>
      <c r="K109" s="129">
        <v>254423</v>
      </c>
      <c r="L109" s="129">
        <v>39137</v>
      </c>
      <c r="M109" s="129">
        <v>15026582</v>
      </c>
      <c r="N109" s="129">
        <v>912590</v>
      </c>
      <c r="O109" s="130">
        <v>5.7254542456785078</v>
      </c>
      <c r="P109" s="130">
        <v>51.021181363052918</v>
      </c>
      <c r="Q109" s="130">
        <v>69.782085833779348</v>
      </c>
    </row>
    <row r="110" spans="1:17" x14ac:dyDescent="0.2">
      <c r="E110" s="129">
        <v>38364</v>
      </c>
      <c r="F110" s="129">
        <v>0</v>
      </c>
      <c r="G110" s="129">
        <v>1844900</v>
      </c>
      <c r="H110" s="129">
        <v>1844900</v>
      </c>
      <c r="I110" s="129">
        <v>1440448</v>
      </c>
      <c r="J110" s="129">
        <v>1665459</v>
      </c>
      <c r="K110" s="129">
        <v>0</v>
      </c>
      <c r="L110" s="129">
        <v>0</v>
      </c>
      <c r="M110" s="129">
        <v>1665459</v>
      </c>
      <c r="N110" s="129">
        <v>179441</v>
      </c>
      <c r="O110" s="130">
        <v>9.7263266301696572</v>
      </c>
      <c r="P110" s="130">
        <v>37.546866854342611</v>
      </c>
      <c r="Q110" s="130">
        <v>43.412026900218954</v>
      </c>
    </row>
    <row r="111" spans="1:17" x14ac:dyDescent="0.2">
      <c r="E111" s="129">
        <v>2955</v>
      </c>
      <c r="F111" s="129">
        <v>0</v>
      </c>
      <c r="G111" s="129">
        <v>188991</v>
      </c>
      <c r="H111" s="129">
        <v>188991</v>
      </c>
      <c r="I111" s="129">
        <v>114092</v>
      </c>
      <c r="J111" s="129">
        <v>119640</v>
      </c>
      <c r="K111" s="129">
        <v>0</v>
      </c>
      <c r="L111" s="129">
        <v>0</v>
      </c>
      <c r="M111" s="129">
        <v>119640</v>
      </c>
      <c r="N111" s="129">
        <v>69351</v>
      </c>
      <c r="O111" s="130">
        <v>36.69539819356477</v>
      </c>
      <c r="P111" s="130">
        <v>38.609813874788493</v>
      </c>
      <c r="Q111" s="130">
        <v>40.487309644670049</v>
      </c>
    </row>
    <row r="112" spans="1:17" x14ac:dyDescent="0.2">
      <c r="A112">
        <v>2011</v>
      </c>
      <c r="B112">
        <v>35</v>
      </c>
      <c r="C112" s="8" t="s">
        <v>177</v>
      </c>
      <c r="D112">
        <v>5742</v>
      </c>
      <c r="E112" s="129">
        <v>252448</v>
      </c>
      <c r="F112" s="129">
        <v>7952256</v>
      </c>
      <c r="G112" s="129">
        <v>10020807</v>
      </c>
      <c r="H112" s="129">
        <v>17973063</v>
      </c>
      <c r="I112" s="129">
        <v>12326591</v>
      </c>
      <c r="J112" s="129">
        <v>16518121</v>
      </c>
      <c r="K112" s="129">
        <v>254423</v>
      </c>
      <c r="L112" s="129">
        <v>39137</v>
      </c>
      <c r="M112" s="129">
        <v>16811681</v>
      </c>
      <c r="N112" s="129">
        <v>1161382</v>
      </c>
      <c r="O112" s="130">
        <v>6.4617922943907775</v>
      </c>
      <c r="P112" s="130">
        <v>48.828237894536699</v>
      </c>
      <c r="Q112" s="130">
        <v>65.431776048928882</v>
      </c>
    </row>
    <row r="113" spans="1:17" x14ac:dyDescent="0.2">
      <c r="E113" s="129">
        <v>231045</v>
      </c>
      <c r="F113" s="129">
        <v>10292939</v>
      </c>
      <c r="G113" s="129">
        <v>8265248</v>
      </c>
      <c r="H113" s="129">
        <v>18558187</v>
      </c>
      <c r="I113" s="129">
        <v>11974173</v>
      </c>
      <c r="J113" s="129">
        <v>16605356</v>
      </c>
      <c r="K113" s="129">
        <v>395266</v>
      </c>
      <c r="L113" s="129">
        <v>21256</v>
      </c>
      <c r="M113" s="129">
        <v>17021878</v>
      </c>
      <c r="N113" s="129">
        <v>1536309</v>
      </c>
      <c r="O113" s="130">
        <v>8.2783355938810192</v>
      </c>
      <c r="P113" s="130">
        <v>51.826150749853923</v>
      </c>
      <c r="Q113" s="130">
        <v>71.870657231275288</v>
      </c>
    </row>
    <row r="114" spans="1:17" x14ac:dyDescent="0.2">
      <c r="A114">
        <v>2011</v>
      </c>
      <c r="B114">
        <v>36</v>
      </c>
      <c r="C114" t="s">
        <v>12</v>
      </c>
      <c r="D114">
        <v>6019</v>
      </c>
      <c r="E114" s="129">
        <v>231045</v>
      </c>
      <c r="F114" s="129">
        <v>10292939</v>
      </c>
      <c r="G114" s="129">
        <v>8265248</v>
      </c>
      <c r="H114" s="129">
        <v>18558187</v>
      </c>
      <c r="I114" s="129">
        <v>11974173</v>
      </c>
      <c r="J114" s="129">
        <v>16605356</v>
      </c>
      <c r="K114" s="129">
        <v>395266</v>
      </c>
      <c r="L114" s="129">
        <v>21256</v>
      </c>
      <c r="M114" s="129">
        <v>17021878</v>
      </c>
      <c r="N114" s="129">
        <v>1536309</v>
      </c>
      <c r="O114" s="130">
        <v>8.2783355938810192</v>
      </c>
      <c r="P114" s="130">
        <v>51.826150749853923</v>
      </c>
      <c r="Q114" s="130">
        <v>71.870657231275288</v>
      </c>
    </row>
    <row r="115" spans="1:17" x14ac:dyDescent="0.2">
      <c r="E115" s="129">
        <v>51468</v>
      </c>
      <c r="F115" s="129">
        <v>0</v>
      </c>
      <c r="G115" s="129">
        <v>3431626</v>
      </c>
      <c r="H115" s="129">
        <v>3431626</v>
      </c>
      <c r="I115" s="129">
        <v>2527181</v>
      </c>
      <c r="J115" s="129">
        <v>3087515</v>
      </c>
      <c r="K115" s="129">
        <v>54338</v>
      </c>
      <c r="L115" s="129">
        <v>427</v>
      </c>
      <c r="M115" s="129">
        <v>3142280</v>
      </c>
      <c r="N115" s="129">
        <v>289346</v>
      </c>
      <c r="O115" s="130">
        <v>8.4317463499810295</v>
      </c>
      <c r="P115" s="130">
        <v>49.101985699852335</v>
      </c>
      <c r="Q115" s="130">
        <v>59.98902230512163</v>
      </c>
    </row>
    <row r="116" spans="1:17" x14ac:dyDescent="0.2">
      <c r="A116">
        <v>2011</v>
      </c>
      <c r="B116">
        <v>37</v>
      </c>
      <c r="C116" t="s">
        <v>11</v>
      </c>
      <c r="D116">
        <v>3070</v>
      </c>
      <c r="E116" s="129">
        <v>51468</v>
      </c>
      <c r="F116" s="129">
        <v>0</v>
      </c>
      <c r="G116" s="129">
        <v>3431626</v>
      </c>
      <c r="H116" s="129">
        <v>3431626</v>
      </c>
      <c r="I116" s="129">
        <v>2527181</v>
      </c>
      <c r="J116" s="129">
        <v>3087515</v>
      </c>
      <c r="K116" s="129">
        <v>54338</v>
      </c>
      <c r="L116" s="129">
        <v>427</v>
      </c>
      <c r="M116" s="129">
        <v>3142280</v>
      </c>
      <c r="N116" s="129">
        <v>289346</v>
      </c>
      <c r="O116" s="130">
        <v>8.4317463499810295</v>
      </c>
      <c r="P116" s="130">
        <v>49.101985699852335</v>
      </c>
      <c r="Q116" s="130">
        <v>59.98902230512163</v>
      </c>
    </row>
    <row r="117" spans="1:17" x14ac:dyDescent="0.2">
      <c r="E117" s="129">
        <v>23733</v>
      </c>
      <c r="F117" s="129">
        <v>0</v>
      </c>
      <c r="G117" s="129">
        <v>2406361</v>
      </c>
      <c r="H117" s="129">
        <v>2406361</v>
      </c>
      <c r="I117" s="129">
        <v>1095191</v>
      </c>
      <c r="J117" s="129">
        <v>1579243</v>
      </c>
      <c r="K117" s="129">
        <v>255952</v>
      </c>
      <c r="L117" s="129">
        <v>1285</v>
      </c>
      <c r="M117" s="129">
        <v>1836480</v>
      </c>
      <c r="N117" s="129">
        <v>569881</v>
      </c>
      <c r="O117" s="130">
        <v>23.68227377355268</v>
      </c>
      <c r="P117" s="130">
        <v>46.146336324948386</v>
      </c>
      <c r="Q117" s="130">
        <v>66.542072220115458</v>
      </c>
    </row>
    <row r="118" spans="1:17" x14ac:dyDescent="0.2">
      <c r="E118" s="129">
        <v>32565</v>
      </c>
      <c r="F118" s="129">
        <v>0</v>
      </c>
      <c r="G118" s="129">
        <v>3188546</v>
      </c>
      <c r="H118" s="129">
        <v>3188546</v>
      </c>
      <c r="I118" s="129">
        <v>1630861</v>
      </c>
      <c r="J118" s="129">
        <v>2328246</v>
      </c>
      <c r="K118" s="129">
        <v>269532</v>
      </c>
      <c r="L118" s="129">
        <v>0</v>
      </c>
      <c r="M118" s="129">
        <v>2597778</v>
      </c>
      <c r="N118" s="129">
        <v>590768</v>
      </c>
      <c r="O118" s="130">
        <v>18.527818008584475</v>
      </c>
      <c r="P118" s="130">
        <v>50.080178105327803</v>
      </c>
      <c r="Q118" s="130">
        <v>71.495347766006446</v>
      </c>
    </row>
    <row r="119" spans="1:17" x14ac:dyDescent="0.2">
      <c r="E119" s="129">
        <v>8333</v>
      </c>
      <c r="F119" s="129">
        <v>0</v>
      </c>
      <c r="G119" s="129">
        <v>1060986</v>
      </c>
      <c r="H119" s="129">
        <v>1060986</v>
      </c>
      <c r="I119" s="129">
        <v>372288</v>
      </c>
      <c r="J119" s="129">
        <v>641234</v>
      </c>
      <c r="K119" s="129">
        <v>201378</v>
      </c>
      <c r="L119" s="129">
        <v>0</v>
      </c>
      <c r="M119" s="129">
        <v>842612</v>
      </c>
      <c r="N119" s="129">
        <v>218374</v>
      </c>
      <c r="O119" s="130">
        <v>20.5821754481209</v>
      </c>
      <c r="P119" s="130">
        <v>44.676347053882154</v>
      </c>
      <c r="Q119" s="130">
        <v>76.951158046321851</v>
      </c>
    </row>
    <row r="120" spans="1:17" x14ac:dyDescent="0.2">
      <c r="E120" s="129">
        <v>4789</v>
      </c>
      <c r="F120" s="129">
        <v>0</v>
      </c>
      <c r="G120" s="129">
        <v>604793</v>
      </c>
      <c r="H120" s="129">
        <v>604793</v>
      </c>
      <c r="I120" s="129">
        <v>164743</v>
      </c>
      <c r="J120" s="129">
        <v>433646</v>
      </c>
      <c r="K120" s="129">
        <v>21875</v>
      </c>
      <c r="L120" s="129">
        <v>10441</v>
      </c>
      <c r="M120" s="129">
        <v>465962</v>
      </c>
      <c r="N120" s="129">
        <v>138831</v>
      </c>
      <c r="O120" s="130">
        <v>22.955126795449022</v>
      </c>
      <c r="P120" s="130">
        <v>34.400292336604721</v>
      </c>
      <c r="Q120" s="130">
        <v>90.550428064314048</v>
      </c>
    </row>
    <row r="121" spans="1:17" x14ac:dyDescent="0.2">
      <c r="A121">
        <v>2011</v>
      </c>
      <c r="B121">
        <v>38</v>
      </c>
      <c r="C121" t="s">
        <v>34</v>
      </c>
      <c r="D121">
        <v>7290</v>
      </c>
      <c r="E121" s="129">
        <v>69420</v>
      </c>
      <c r="F121" s="129">
        <v>0</v>
      </c>
      <c r="G121" s="129">
        <v>7260686</v>
      </c>
      <c r="H121" s="129">
        <v>7260686</v>
      </c>
      <c r="I121" s="129">
        <v>3263083</v>
      </c>
      <c r="J121" s="129">
        <v>4982369</v>
      </c>
      <c r="K121" s="129">
        <v>748737</v>
      </c>
      <c r="L121" s="129">
        <v>11726</v>
      </c>
      <c r="M121" s="129">
        <v>5742832</v>
      </c>
      <c r="N121" s="129">
        <v>1517854</v>
      </c>
      <c r="O121" s="130">
        <v>20.905104558990708</v>
      </c>
      <c r="P121" s="130">
        <v>47.004940939210606</v>
      </c>
      <c r="Q121" s="130">
        <v>71.771377124747914</v>
      </c>
    </row>
    <row r="122" spans="1:17" x14ac:dyDescent="0.2">
      <c r="E122" s="129">
        <v>19412</v>
      </c>
      <c r="F122" s="129">
        <v>0</v>
      </c>
      <c r="G122" s="129">
        <v>1238226</v>
      </c>
      <c r="H122" s="129">
        <v>1238226</v>
      </c>
      <c r="I122" s="129">
        <v>887967</v>
      </c>
      <c r="J122" s="129">
        <v>1150257</v>
      </c>
      <c r="K122" s="129">
        <v>1293</v>
      </c>
      <c r="L122" s="129">
        <v>0</v>
      </c>
      <c r="M122" s="129">
        <v>1151550</v>
      </c>
      <c r="N122" s="129">
        <v>86676</v>
      </c>
      <c r="O122" s="130">
        <v>7.0000145369262148</v>
      </c>
      <c r="P122" s="130">
        <v>45.743200082423243</v>
      </c>
      <c r="Q122" s="130">
        <v>59.254945394601279</v>
      </c>
    </row>
    <row r="123" spans="1:17" x14ac:dyDescent="0.2">
      <c r="E123" s="129">
        <v>11211</v>
      </c>
      <c r="F123" s="129">
        <v>0</v>
      </c>
      <c r="G123" s="129">
        <v>1363058</v>
      </c>
      <c r="H123" s="129">
        <v>1363058</v>
      </c>
      <c r="I123" s="129">
        <v>1077851</v>
      </c>
      <c r="J123" s="129">
        <v>1280018</v>
      </c>
      <c r="K123" s="129">
        <v>0</v>
      </c>
      <c r="L123" s="129">
        <v>1255</v>
      </c>
      <c r="M123" s="129">
        <v>1281273</v>
      </c>
      <c r="N123" s="129">
        <v>81785</v>
      </c>
      <c r="O123" s="130">
        <v>6.0001115139634553</v>
      </c>
      <c r="P123" s="130">
        <v>96.142270983855141</v>
      </c>
      <c r="Q123" s="130">
        <v>114.17518508607617</v>
      </c>
    </row>
    <row r="124" spans="1:17" x14ac:dyDescent="0.2">
      <c r="E124" s="129">
        <v>181503</v>
      </c>
      <c r="F124" s="129">
        <v>0</v>
      </c>
      <c r="G124" s="129">
        <v>608207</v>
      </c>
      <c r="H124" s="129">
        <v>608207</v>
      </c>
      <c r="I124" s="129">
        <v>381822</v>
      </c>
      <c r="J124" s="129">
        <v>427933</v>
      </c>
      <c r="K124" s="129">
        <v>145151</v>
      </c>
      <c r="L124" s="129">
        <v>0</v>
      </c>
      <c r="M124" s="129">
        <v>573084</v>
      </c>
      <c r="N124" s="129">
        <v>35123</v>
      </c>
      <c r="O124" s="130">
        <v>5.7748431044035993</v>
      </c>
      <c r="P124" s="130">
        <v>2.1036677079717689</v>
      </c>
      <c r="Q124" s="130">
        <v>2.357718605202118</v>
      </c>
    </row>
    <row r="125" spans="1:17" x14ac:dyDescent="0.2">
      <c r="A125">
        <v>2011</v>
      </c>
      <c r="B125">
        <v>39</v>
      </c>
      <c r="C125" t="s">
        <v>206</v>
      </c>
      <c r="D125">
        <v>1719</v>
      </c>
      <c r="E125" s="129">
        <v>212126</v>
      </c>
      <c r="F125" s="129">
        <v>0</v>
      </c>
      <c r="G125" s="129">
        <v>3209491</v>
      </c>
      <c r="H125" s="129">
        <v>3209491</v>
      </c>
      <c r="I125" s="129">
        <v>2347640</v>
      </c>
      <c r="J125" s="129">
        <v>2858208</v>
      </c>
      <c r="K125" s="129">
        <v>146444</v>
      </c>
      <c r="L125" s="129">
        <v>1255</v>
      </c>
      <c r="M125" s="129">
        <v>3005907</v>
      </c>
      <c r="N125" s="129">
        <v>203584</v>
      </c>
      <c r="O125" s="130">
        <v>6.3431865052745113</v>
      </c>
      <c r="P125" s="130">
        <v>11.067195911863704</v>
      </c>
      <c r="Q125" s="130">
        <v>13.474105013058276</v>
      </c>
    </row>
    <row r="126" spans="1:17" x14ac:dyDescent="0.2">
      <c r="E126" s="129">
        <v>11132</v>
      </c>
      <c r="F126" s="129">
        <v>1614</v>
      </c>
      <c r="G126" s="129">
        <v>1425331</v>
      </c>
      <c r="H126" s="129">
        <v>1426945</v>
      </c>
      <c r="I126" s="129">
        <v>760086</v>
      </c>
      <c r="J126" s="129">
        <v>1049622</v>
      </c>
      <c r="K126" s="129">
        <v>0</v>
      </c>
      <c r="L126" s="129">
        <v>313530</v>
      </c>
      <c r="M126" s="129">
        <v>1363152</v>
      </c>
      <c r="N126" s="129">
        <v>63793</v>
      </c>
      <c r="O126" s="130">
        <v>4.4705997778470792</v>
      </c>
      <c r="P126" s="130">
        <v>68.279374775422212</v>
      </c>
      <c r="Q126" s="130">
        <v>94.288717211642108</v>
      </c>
    </row>
    <row r="127" spans="1:17" x14ac:dyDescent="0.2">
      <c r="E127" s="129">
        <v>18822</v>
      </c>
      <c r="F127" s="129">
        <v>505082</v>
      </c>
      <c r="G127" s="129">
        <v>1185810</v>
      </c>
      <c r="H127" s="129">
        <v>1690892</v>
      </c>
      <c r="I127" s="129">
        <v>1048203</v>
      </c>
      <c r="J127" s="129">
        <v>1360424</v>
      </c>
      <c r="K127" s="129">
        <v>0</v>
      </c>
      <c r="L127" s="129">
        <v>0</v>
      </c>
      <c r="M127" s="129">
        <v>1360424</v>
      </c>
      <c r="N127" s="129">
        <v>330468</v>
      </c>
      <c r="O127" s="130">
        <v>19.54400399315864</v>
      </c>
      <c r="P127" s="130">
        <v>55.690309212623525</v>
      </c>
      <c r="Q127" s="130">
        <v>72.278397619806611</v>
      </c>
    </row>
    <row r="128" spans="1:17" x14ac:dyDescent="0.2">
      <c r="E128" s="129">
        <v>5490</v>
      </c>
      <c r="F128" s="129">
        <v>403108</v>
      </c>
      <c r="G128" s="129">
        <v>81350</v>
      </c>
      <c r="H128" s="129">
        <v>484458</v>
      </c>
      <c r="I128" s="129">
        <v>344323</v>
      </c>
      <c r="J128" s="129">
        <v>417002</v>
      </c>
      <c r="K128" s="129">
        <v>0</v>
      </c>
      <c r="L128" s="129">
        <v>0</v>
      </c>
      <c r="M128" s="129">
        <v>417002</v>
      </c>
      <c r="N128" s="129">
        <v>67456</v>
      </c>
      <c r="O128" s="130">
        <v>13.924014052817787</v>
      </c>
      <c r="P128" s="130">
        <v>62.718214936247726</v>
      </c>
      <c r="Q128" s="130">
        <v>75.956648451730416</v>
      </c>
    </row>
    <row r="129" spans="1:17" x14ac:dyDescent="0.2">
      <c r="E129" s="129">
        <v>17129</v>
      </c>
      <c r="F129" s="129">
        <v>728059</v>
      </c>
      <c r="G129" s="129">
        <v>865570</v>
      </c>
      <c r="H129" s="129">
        <v>1593629</v>
      </c>
      <c r="I129" s="129">
        <v>794044</v>
      </c>
      <c r="J129" s="129">
        <v>1446957</v>
      </c>
      <c r="K129" s="129">
        <v>0</v>
      </c>
      <c r="L129" s="129">
        <v>0</v>
      </c>
      <c r="M129" s="129">
        <v>1446957</v>
      </c>
      <c r="N129" s="129">
        <v>146672</v>
      </c>
      <c r="O129" s="130">
        <v>9.2036477749840131</v>
      </c>
      <c r="P129" s="130">
        <v>46.356705003210926</v>
      </c>
      <c r="Q129" s="130">
        <v>84.474108237491976</v>
      </c>
    </row>
    <row r="130" spans="1:17" x14ac:dyDescent="0.2">
      <c r="E130" s="129">
        <v>10542</v>
      </c>
      <c r="F130" s="129">
        <v>0</v>
      </c>
      <c r="G130" s="129">
        <v>942216</v>
      </c>
      <c r="H130" s="129">
        <v>942216</v>
      </c>
      <c r="I130" s="129">
        <v>700164</v>
      </c>
      <c r="J130" s="129">
        <v>845534</v>
      </c>
      <c r="K130" s="129">
        <v>0</v>
      </c>
      <c r="L130" s="129">
        <v>0</v>
      </c>
      <c r="M130" s="129">
        <v>845534</v>
      </c>
      <c r="N130" s="129">
        <v>96682</v>
      </c>
      <c r="O130" s="130">
        <v>10.261129082927905</v>
      </c>
      <c r="P130" s="130">
        <v>66.416619237336363</v>
      </c>
      <c r="Q130" s="130">
        <v>80.206222728135074</v>
      </c>
    </row>
    <row r="131" spans="1:17" x14ac:dyDescent="0.2">
      <c r="A131" s="131" t="s">
        <v>204</v>
      </c>
      <c r="B131">
        <v>40</v>
      </c>
      <c r="C131" t="s">
        <v>18</v>
      </c>
      <c r="D131">
        <v>3178</v>
      </c>
      <c r="E131" s="129">
        <v>63115</v>
      </c>
      <c r="F131" s="129">
        <v>1637863</v>
      </c>
      <c r="G131" s="129">
        <v>4500277</v>
      </c>
      <c r="H131" s="129">
        <v>6138140</v>
      </c>
      <c r="I131" s="129">
        <v>3646820</v>
      </c>
      <c r="J131" s="129">
        <v>5119539</v>
      </c>
      <c r="K131" s="129">
        <v>0</v>
      </c>
      <c r="L131" s="129">
        <v>313530</v>
      </c>
      <c r="M131" s="129">
        <v>5433069</v>
      </c>
      <c r="N131" s="129">
        <v>705071</v>
      </c>
      <c r="O131" s="130">
        <v>11.486720732990776</v>
      </c>
      <c r="P131" s="130">
        <v>57.78055929652222</v>
      </c>
      <c r="Q131" s="130">
        <v>81.114457735878958</v>
      </c>
    </row>
    <row r="132" spans="1:17" x14ac:dyDescent="0.2">
      <c r="E132" s="129">
        <v>20949</v>
      </c>
      <c r="F132" s="129">
        <v>0</v>
      </c>
      <c r="G132" s="129">
        <v>1682722</v>
      </c>
      <c r="H132" s="129">
        <v>1682722</v>
      </c>
      <c r="I132" s="129">
        <v>855420</v>
      </c>
      <c r="J132" s="129">
        <v>1142821</v>
      </c>
      <c r="K132" s="129">
        <v>38907</v>
      </c>
      <c r="L132" s="129">
        <v>10027</v>
      </c>
      <c r="M132" s="129">
        <v>1191755</v>
      </c>
      <c r="N132" s="129">
        <v>490967</v>
      </c>
      <c r="O132" s="130">
        <v>29.176952580402464</v>
      </c>
      <c r="P132" s="130">
        <v>40.833452670771877</v>
      </c>
      <c r="Q132" s="130">
        <v>54.552532340445843</v>
      </c>
    </row>
    <row r="133" spans="1:17" x14ac:dyDescent="0.2">
      <c r="E133" s="129">
        <v>7482</v>
      </c>
      <c r="F133" s="129">
        <v>0</v>
      </c>
      <c r="G133" s="129">
        <v>328339</v>
      </c>
      <c r="H133" s="129">
        <v>328339</v>
      </c>
      <c r="I133" s="129">
        <v>202469</v>
      </c>
      <c r="J133" s="129">
        <v>231377</v>
      </c>
      <c r="K133" s="129">
        <v>0</v>
      </c>
      <c r="L133" s="129">
        <v>525</v>
      </c>
      <c r="M133" s="129">
        <v>231902</v>
      </c>
      <c r="N133" s="129">
        <v>96437</v>
      </c>
      <c r="O133" s="130">
        <v>29.371168213340482</v>
      </c>
      <c r="P133" s="130">
        <v>27.060812616947342</v>
      </c>
      <c r="Q133" s="130">
        <v>30.924485431702752</v>
      </c>
    </row>
    <row r="134" spans="1:17" x14ac:dyDescent="0.2">
      <c r="E134" s="129">
        <v>5602</v>
      </c>
      <c r="F134" s="129">
        <v>0</v>
      </c>
      <c r="G134" s="129">
        <v>509735</v>
      </c>
      <c r="H134" s="129">
        <v>509735</v>
      </c>
      <c r="I134" s="129">
        <v>329864</v>
      </c>
      <c r="J134" s="129">
        <v>408828</v>
      </c>
      <c r="K134" s="129">
        <v>0</v>
      </c>
      <c r="L134" s="129">
        <v>0</v>
      </c>
      <c r="M134" s="129">
        <v>408828</v>
      </c>
      <c r="N134" s="129">
        <v>100907</v>
      </c>
      <c r="O134" s="130">
        <v>19.795972417040229</v>
      </c>
      <c r="P134" s="130">
        <v>58.883255980007142</v>
      </c>
      <c r="Q134" s="130">
        <v>72.978936094252049</v>
      </c>
    </row>
    <row r="135" spans="1:17" x14ac:dyDescent="0.2">
      <c r="E135" s="129">
        <v>6042</v>
      </c>
      <c r="F135" s="129">
        <v>0</v>
      </c>
      <c r="G135" s="129">
        <v>890784</v>
      </c>
      <c r="H135" s="129">
        <v>890784</v>
      </c>
      <c r="I135" s="129">
        <v>267150</v>
      </c>
      <c r="J135" s="129">
        <v>352121</v>
      </c>
      <c r="K135" s="129">
        <v>400035</v>
      </c>
      <c r="L135" s="129">
        <v>0</v>
      </c>
      <c r="M135" s="129">
        <v>752156</v>
      </c>
      <c r="N135" s="129">
        <v>138628</v>
      </c>
      <c r="O135" s="130">
        <v>15.56247081222833</v>
      </c>
      <c r="P135" s="130">
        <v>44.215491559086395</v>
      </c>
      <c r="Q135" s="130">
        <v>58.278881165177097</v>
      </c>
    </row>
    <row r="136" spans="1:17" x14ac:dyDescent="0.2">
      <c r="A136">
        <v>2011</v>
      </c>
      <c r="B136">
        <v>41</v>
      </c>
      <c r="C136" t="s">
        <v>172</v>
      </c>
      <c r="D136">
        <v>778</v>
      </c>
      <c r="E136" s="129">
        <v>40075</v>
      </c>
      <c r="F136" s="129">
        <v>0</v>
      </c>
      <c r="G136" s="129">
        <v>3411580</v>
      </c>
      <c r="H136" s="129">
        <v>3411580</v>
      </c>
      <c r="I136" s="129">
        <v>1654903</v>
      </c>
      <c r="J136" s="129">
        <v>2135147</v>
      </c>
      <c r="K136" s="129">
        <v>438942</v>
      </c>
      <c r="L136" s="129">
        <v>10552</v>
      </c>
      <c r="M136" s="129">
        <v>2584641</v>
      </c>
      <c r="N136" s="129">
        <v>826939</v>
      </c>
      <c r="O136" s="130">
        <v>24.239179500407435</v>
      </c>
      <c r="P136" s="130">
        <v>41.295146600124767</v>
      </c>
      <c r="Q136" s="130">
        <v>53.278777292576422</v>
      </c>
    </row>
    <row r="137" spans="1:17" x14ac:dyDescent="0.2">
      <c r="E137" s="129">
        <v>15749</v>
      </c>
      <c r="F137" s="129">
        <v>0</v>
      </c>
      <c r="G137" s="129">
        <v>1078964</v>
      </c>
      <c r="H137" s="129">
        <v>1078964</v>
      </c>
      <c r="I137" s="129">
        <v>575125</v>
      </c>
      <c r="J137" s="129">
        <v>610585</v>
      </c>
      <c r="K137" s="129">
        <v>8362</v>
      </c>
      <c r="L137" s="129">
        <v>0</v>
      </c>
      <c r="M137" s="129">
        <v>618947</v>
      </c>
      <c r="N137" s="129">
        <v>460017</v>
      </c>
      <c r="O137" s="130">
        <v>42.635064747294628</v>
      </c>
      <c r="P137" s="130">
        <v>36.518191631214677</v>
      </c>
      <c r="Q137" s="130">
        <v>38.769763159565684</v>
      </c>
    </row>
    <row r="138" spans="1:17" x14ac:dyDescent="0.2">
      <c r="E138" s="129">
        <v>17451</v>
      </c>
      <c r="F138" s="129">
        <v>0</v>
      </c>
      <c r="G138" s="129">
        <v>878703</v>
      </c>
      <c r="H138" s="129">
        <v>878703</v>
      </c>
      <c r="I138" s="129">
        <v>498935</v>
      </c>
      <c r="J138" s="129">
        <v>558009</v>
      </c>
      <c r="K138" s="129">
        <v>0</v>
      </c>
      <c r="L138" s="129">
        <v>569</v>
      </c>
      <c r="M138" s="129">
        <v>558578</v>
      </c>
      <c r="N138" s="129">
        <v>320125</v>
      </c>
      <c r="O138" s="130">
        <v>36.431536025255404</v>
      </c>
      <c r="P138" s="130">
        <v>28.590625179072834</v>
      </c>
      <c r="Q138" s="130">
        <v>31.975760701392471</v>
      </c>
    </row>
    <row r="139" spans="1:17" x14ac:dyDescent="0.2">
      <c r="E139" s="129">
        <v>9943</v>
      </c>
      <c r="F139" s="129">
        <v>0</v>
      </c>
      <c r="G139" s="129">
        <v>1350388</v>
      </c>
      <c r="H139" s="129">
        <v>1350388</v>
      </c>
      <c r="I139" s="129">
        <v>452861</v>
      </c>
      <c r="J139" s="129">
        <v>462711</v>
      </c>
      <c r="K139" s="129">
        <v>0</v>
      </c>
      <c r="L139" s="129">
        <v>0</v>
      </c>
      <c r="M139" s="129">
        <v>462711</v>
      </c>
      <c r="N139" s="129">
        <v>887677</v>
      </c>
      <c r="O139" s="130">
        <v>65.73495913767006</v>
      </c>
      <c r="P139" s="130">
        <v>45.545710550135773</v>
      </c>
      <c r="Q139" s="130">
        <v>46.536357236246609</v>
      </c>
    </row>
    <row r="140" spans="1:17" x14ac:dyDescent="0.2">
      <c r="E140" s="129">
        <v>12674</v>
      </c>
      <c r="F140" s="129">
        <v>0</v>
      </c>
      <c r="G140" s="129">
        <v>999028</v>
      </c>
      <c r="H140" s="129">
        <v>999028</v>
      </c>
      <c r="I140" s="129">
        <v>439650</v>
      </c>
      <c r="J140" s="129">
        <v>475504</v>
      </c>
      <c r="K140" s="129">
        <v>0</v>
      </c>
      <c r="L140" s="129">
        <v>0</v>
      </c>
      <c r="M140" s="129">
        <v>475504</v>
      </c>
      <c r="N140" s="129">
        <v>523524</v>
      </c>
      <c r="O140" s="130">
        <v>52.403336042633441</v>
      </c>
      <c r="P140" s="130">
        <v>34.689127347325233</v>
      </c>
      <c r="Q140" s="130">
        <v>37.518068486665612</v>
      </c>
    </row>
    <row r="141" spans="1:17" x14ac:dyDescent="0.2">
      <c r="E141" s="129">
        <v>17406</v>
      </c>
      <c r="F141" s="129">
        <v>0</v>
      </c>
      <c r="G141" s="129">
        <v>768014</v>
      </c>
      <c r="H141" s="129">
        <v>768014</v>
      </c>
      <c r="I141" s="129">
        <v>528348</v>
      </c>
      <c r="J141" s="129">
        <v>550807</v>
      </c>
      <c r="K141" s="129">
        <v>0</v>
      </c>
      <c r="L141" s="129">
        <v>0</v>
      </c>
      <c r="M141" s="129">
        <v>550807</v>
      </c>
      <c r="N141" s="129">
        <v>217207</v>
      </c>
      <c r="O141" s="130">
        <v>28.281645907496479</v>
      </c>
      <c r="P141" s="130">
        <v>30.354360565322303</v>
      </c>
      <c r="Q141" s="130">
        <v>31.644662759967826</v>
      </c>
    </row>
    <row r="142" spans="1:17" x14ac:dyDescent="0.2">
      <c r="A142">
        <v>2011</v>
      </c>
      <c r="B142">
        <v>42</v>
      </c>
      <c r="C142" t="s">
        <v>176</v>
      </c>
      <c r="D142">
        <v>6646</v>
      </c>
      <c r="E142" s="129">
        <v>73223</v>
      </c>
      <c r="F142" s="129">
        <v>0</v>
      </c>
      <c r="G142" s="129">
        <v>5075097</v>
      </c>
      <c r="H142" s="129">
        <v>5075097</v>
      </c>
      <c r="I142" s="129">
        <v>2494919</v>
      </c>
      <c r="J142" s="129">
        <v>2657616</v>
      </c>
      <c r="K142" s="129">
        <v>8362</v>
      </c>
      <c r="L142" s="129">
        <v>569</v>
      </c>
      <c r="M142" s="129">
        <v>2666547</v>
      </c>
      <c r="N142" s="129">
        <v>2408550</v>
      </c>
      <c r="O142" s="130">
        <v>47.458206217536336</v>
      </c>
      <c r="P142" s="130">
        <v>34.072886934433171</v>
      </c>
      <c r="Q142" s="130">
        <v>36.294825396391843</v>
      </c>
    </row>
    <row r="143" spans="1:17" x14ac:dyDescent="0.2">
      <c r="E143" s="129">
        <v>6573</v>
      </c>
      <c r="F143" s="129">
        <v>0</v>
      </c>
      <c r="G143" s="129">
        <v>397444</v>
      </c>
      <c r="H143" s="129">
        <v>397444</v>
      </c>
      <c r="I143" s="129">
        <v>260722</v>
      </c>
      <c r="J143" s="129">
        <v>300688</v>
      </c>
      <c r="K143" s="129">
        <v>0</v>
      </c>
      <c r="L143" s="129">
        <v>15241</v>
      </c>
      <c r="M143" s="129">
        <v>315929</v>
      </c>
      <c r="N143" s="129">
        <v>81515</v>
      </c>
      <c r="O143" s="130">
        <v>20.509807671017803</v>
      </c>
      <c r="P143" s="130">
        <v>39.665601703940361</v>
      </c>
      <c r="Q143" s="130">
        <v>45.745930321010192</v>
      </c>
    </row>
    <row r="144" spans="1:17" x14ac:dyDescent="0.2">
      <c r="E144" s="129">
        <v>16451</v>
      </c>
      <c r="F144" s="129">
        <v>0</v>
      </c>
      <c r="G144" s="129">
        <v>1064314</v>
      </c>
      <c r="H144" s="129">
        <v>1064314</v>
      </c>
      <c r="I144" s="129">
        <v>764111</v>
      </c>
      <c r="J144" s="129">
        <v>839838</v>
      </c>
      <c r="K144" s="129">
        <v>0</v>
      </c>
      <c r="L144" s="129">
        <v>3253</v>
      </c>
      <c r="M144" s="129">
        <v>843091</v>
      </c>
      <c r="N144" s="129">
        <v>221223</v>
      </c>
      <c r="O144" s="130">
        <v>20.785501271241383</v>
      </c>
      <c r="P144" s="130">
        <v>46.447693149352624</v>
      </c>
      <c r="Q144" s="130">
        <v>51.050878366056772</v>
      </c>
    </row>
    <row r="145" spans="1:17" x14ac:dyDescent="0.2">
      <c r="E145" s="129">
        <v>12413</v>
      </c>
      <c r="F145" s="129">
        <v>0</v>
      </c>
      <c r="G145" s="129">
        <v>649195</v>
      </c>
      <c r="H145" s="129">
        <v>649195</v>
      </c>
      <c r="I145" s="129">
        <v>453074</v>
      </c>
      <c r="J145" s="129">
        <v>505265</v>
      </c>
      <c r="K145" s="129">
        <v>0</v>
      </c>
      <c r="L145" s="129">
        <v>25855</v>
      </c>
      <c r="M145" s="129">
        <v>531120</v>
      </c>
      <c r="N145" s="129">
        <v>118075</v>
      </c>
      <c r="O145" s="130">
        <v>18.187909641941175</v>
      </c>
      <c r="P145" s="130">
        <v>36.499959719648757</v>
      </c>
      <c r="Q145" s="130">
        <v>40.704503343269153</v>
      </c>
    </row>
    <row r="146" spans="1:17" x14ac:dyDescent="0.2">
      <c r="E146" s="129">
        <v>6022</v>
      </c>
      <c r="F146" s="129">
        <v>0</v>
      </c>
      <c r="G146" s="129">
        <v>373319</v>
      </c>
      <c r="H146" s="129">
        <v>373319</v>
      </c>
      <c r="I146" s="129">
        <v>316369</v>
      </c>
      <c r="J146" s="129">
        <v>361206</v>
      </c>
      <c r="K146" s="129">
        <v>0</v>
      </c>
      <c r="L146" s="129">
        <v>0</v>
      </c>
      <c r="M146" s="129">
        <v>361206</v>
      </c>
      <c r="N146" s="129">
        <v>12113</v>
      </c>
      <c r="O146" s="130">
        <v>3.2446781438930246</v>
      </c>
      <c r="P146" s="130">
        <v>52.535536366655599</v>
      </c>
      <c r="Q146" s="130">
        <v>59.981069412155428</v>
      </c>
    </row>
    <row r="147" spans="1:17" x14ac:dyDescent="0.2">
      <c r="E147" s="129">
        <v>36888</v>
      </c>
      <c r="F147" s="129">
        <v>0</v>
      </c>
      <c r="G147" s="129">
        <v>2945059</v>
      </c>
      <c r="H147" s="129">
        <v>2945059</v>
      </c>
      <c r="I147" s="129">
        <v>1748560</v>
      </c>
      <c r="J147" s="129">
        <v>2027057</v>
      </c>
      <c r="K147" s="129">
        <v>109805</v>
      </c>
      <c r="L147" s="129">
        <v>9517</v>
      </c>
      <c r="M147" s="129">
        <v>2146379</v>
      </c>
      <c r="N147" s="129">
        <v>798680</v>
      </c>
      <c r="O147" s="130">
        <v>27.119320869293279</v>
      </c>
      <c r="P147" s="130">
        <v>47.401865105183255</v>
      </c>
      <c r="Q147" s="130">
        <v>54.95166449793971</v>
      </c>
    </row>
    <row r="148" spans="1:17" x14ac:dyDescent="0.2">
      <c r="E148" s="129">
        <v>29268</v>
      </c>
      <c r="F148" s="129">
        <v>0</v>
      </c>
      <c r="G148" s="129">
        <v>2015699</v>
      </c>
      <c r="H148" s="129">
        <v>2015699</v>
      </c>
      <c r="I148" s="129">
        <v>1393157</v>
      </c>
      <c r="J148" s="129">
        <v>1509973</v>
      </c>
      <c r="K148" s="129">
        <v>0</v>
      </c>
      <c r="L148" s="129">
        <v>12883</v>
      </c>
      <c r="M148" s="129">
        <v>1522856</v>
      </c>
      <c r="N148" s="129">
        <v>492843</v>
      </c>
      <c r="O148" s="130">
        <v>24.450227935817797</v>
      </c>
      <c r="P148" s="130">
        <v>47.600006833401665</v>
      </c>
      <c r="Q148" s="130">
        <v>51.591260079267457</v>
      </c>
    </row>
    <row r="149" spans="1:17" x14ac:dyDescent="0.2">
      <c r="E149" s="129">
        <v>6949</v>
      </c>
      <c r="F149" s="129">
        <v>0</v>
      </c>
      <c r="G149" s="129">
        <v>483684</v>
      </c>
      <c r="H149" s="129">
        <v>483684</v>
      </c>
      <c r="I149" s="129">
        <v>407778</v>
      </c>
      <c r="J149" s="129">
        <v>449057</v>
      </c>
      <c r="K149" s="129">
        <v>0</v>
      </c>
      <c r="L149" s="129">
        <v>25035</v>
      </c>
      <c r="M149" s="129">
        <v>474092</v>
      </c>
      <c r="N149" s="129">
        <v>9592</v>
      </c>
      <c r="O149" s="130">
        <v>1.983112941507265</v>
      </c>
      <c r="P149" s="130">
        <v>58.681536911785869</v>
      </c>
      <c r="Q149" s="130">
        <v>64.621816088645843</v>
      </c>
    </row>
    <row r="150" spans="1:17" x14ac:dyDescent="0.2">
      <c r="E150" s="129">
        <v>11685</v>
      </c>
      <c r="F150" s="129">
        <v>0</v>
      </c>
      <c r="G150" s="129">
        <v>998772</v>
      </c>
      <c r="H150" s="129">
        <v>998772</v>
      </c>
      <c r="I150" s="129">
        <v>564992</v>
      </c>
      <c r="J150" s="129">
        <v>686039</v>
      </c>
      <c r="K150" s="129">
        <v>0</v>
      </c>
      <c r="L150" s="129">
        <v>23311</v>
      </c>
      <c r="M150" s="129">
        <v>709350</v>
      </c>
      <c r="N150" s="129">
        <v>289422</v>
      </c>
      <c r="O150" s="130">
        <v>28.977784719635714</v>
      </c>
      <c r="P150" s="130">
        <v>48.351904150620456</v>
      </c>
      <c r="Q150" s="130">
        <v>58.711082584510052</v>
      </c>
    </row>
    <row r="151" spans="1:17" x14ac:dyDescent="0.2">
      <c r="E151" s="129">
        <v>11685</v>
      </c>
      <c r="F151" s="129">
        <v>0</v>
      </c>
      <c r="G151" s="129">
        <v>476706</v>
      </c>
      <c r="H151" s="129">
        <v>476706</v>
      </c>
      <c r="I151" s="129">
        <v>356672</v>
      </c>
      <c r="J151" s="129">
        <v>363599</v>
      </c>
      <c r="K151" s="129">
        <v>0</v>
      </c>
      <c r="L151" s="129">
        <v>4821</v>
      </c>
      <c r="M151" s="129">
        <v>368420</v>
      </c>
      <c r="N151" s="129">
        <v>108286</v>
      </c>
      <c r="O151" s="130">
        <v>22.715468234089776</v>
      </c>
      <c r="P151" s="130">
        <v>30.523919554985024</v>
      </c>
      <c r="Q151" s="130">
        <v>31.116730851519041</v>
      </c>
    </row>
    <row r="152" spans="1:17" x14ac:dyDescent="0.2">
      <c r="E152" s="129">
        <v>11685</v>
      </c>
      <c r="F152" s="129">
        <v>0</v>
      </c>
      <c r="G152" s="129">
        <v>180108</v>
      </c>
      <c r="H152" s="129">
        <v>180108</v>
      </c>
      <c r="I152" s="129">
        <v>157472</v>
      </c>
      <c r="J152" s="129">
        <v>177518</v>
      </c>
      <c r="K152" s="129">
        <v>0</v>
      </c>
      <c r="L152" s="129">
        <v>148</v>
      </c>
      <c r="M152" s="129">
        <v>177666</v>
      </c>
      <c r="N152" s="129">
        <v>2442</v>
      </c>
      <c r="O152" s="130">
        <v>1.3558531547738024</v>
      </c>
      <c r="P152" s="130">
        <v>13.476422764227642</v>
      </c>
      <c r="Q152" s="130">
        <v>15.191955498502354</v>
      </c>
    </row>
    <row r="153" spans="1:17" x14ac:dyDescent="0.2">
      <c r="A153">
        <v>2011</v>
      </c>
      <c r="B153">
        <v>43</v>
      </c>
      <c r="C153" t="s">
        <v>26</v>
      </c>
      <c r="D153">
        <v>1626</v>
      </c>
      <c r="E153" s="129">
        <v>126249</v>
      </c>
      <c r="F153" s="129">
        <v>0</v>
      </c>
      <c r="G153" s="129">
        <v>9584300</v>
      </c>
      <c r="H153" s="129">
        <v>9584300</v>
      </c>
      <c r="I153" s="129">
        <v>6422907</v>
      </c>
      <c r="J153" s="129">
        <v>7220240</v>
      </c>
      <c r="K153" s="129">
        <v>109805</v>
      </c>
      <c r="L153" s="129">
        <v>120064</v>
      </c>
      <c r="M153" s="129">
        <v>7450109</v>
      </c>
      <c r="N153" s="129">
        <v>2134191</v>
      </c>
      <c r="O153" s="130">
        <v>22.267573010026815</v>
      </c>
      <c r="P153" s="130">
        <v>50.874913860703849</v>
      </c>
      <c r="Q153" s="130">
        <v>57.190472795824128</v>
      </c>
    </row>
    <row r="154" spans="1:17" x14ac:dyDescent="0.2">
      <c r="E154" s="129">
        <v>39215</v>
      </c>
      <c r="F154" s="129">
        <v>0</v>
      </c>
      <c r="G154" s="129">
        <v>3254224</v>
      </c>
      <c r="H154" s="129">
        <v>3254224</v>
      </c>
      <c r="I154" s="129">
        <v>2137835</v>
      </c>
      <c r="J154" s="129">
        <v>2758369</v>
      </c>
      <c r="K154" s="129">
        <v>63312</v>
      </c>
      <c r="L154" s="129">
        <v>2297</v>
      </c>
      <c r="M154" s="129">
        <v>2823978</v>
      </c>
      <c r="N154" s="129">
        <v>430246</v>
      </c>
      <c r="O154" s="130">
        <v>13.221155028049697</v>
      </c>
      <c r="P154" s="130">
        <v>54.515746525564197</v>
      </c>
      <c r="Q154" s="130">
        <v>70.339640443707765</v>
      </c>
    </row>
    <row r="155" spans="1:17" x14ac:dyDescent="0.2">
      <c r="E155" s="129">
        <v>6205</v>
      </c>
      <c r="F155" s="129">
        <v>0</v>
      </c>
      <c r="G155" s="129">
        <v>541458</v>
      </c>
      <c r="H155" s="129">
        <v>541458</v>
      </c>
      <c r="I155" s="129">
        <v>401976</v>
      </c>
      <c r="J155" s="129">
        <v>479061</v>
      </c>
      <c r="K155" s="129">
        <v>0</v>
      </c>
      <c r="L155" s="129">
        <v>0</v>
      </c>
      <c r="M155" s="129">
        <v>479061</v>
      </c>
      <c r="N155" s="129">
        <v>62397</v>
      </c>
      <c r="O155" s="130">
        <v>11.523885509125362</v>
      </c>
      <c r="P155" s="130">
        <v>64.782594681708304</v>
      </c>
      <c r="Q155" s="130">
        <v>77.205640612409354</v>
      </c>
    </row>
    <row r="156" spans="1:17" x14ac:dyDescent="0.2">
      <c r="A156">
        <v>2011</v>
      </c>
      <c r="B156">
        <v>44</v>
      </c>
      <c r="C156" t="s">
        <v>25</v>
      </c>
      <c r="D156">
        <v>5876</v>
      </c>
      <c r="E156" s="129">
        <v>45420</v>
      </c>
      <c r="F156" s="129">
        <v>0</v>
      </c>
      <c r="G156" s="129">
        <v>3795682</v>
      </c>
      <c r="H156" s="129">
        <v>3795682</v>
      </c>
      <c r="I156" s="129">
        <v>2539811</v>
      </c>
      <c r="J156" s="129">
        <v>3237430</v>
      </c>
      <c r="K156" s="129">
        <v>63312</v>
      </c>
      <c r="L156" s="129">
        <v>2297</v>
      </c>
      <c r="M156" s="129">
        <v>3303039</v>
      </c>
      <c r="N156" s="129">
        <v>492643</v>
      </c>
      <c r="O156" s="130">
        <v>12.979037759222189</v>
      </c>
      <c r="P156" s="130">
        <v>55.918339938353149</v>
      </c>
      <c r="Q156" s="130">
        <v>71.277630999559662</v>
      </c>
    </row>
    <row r="157" spans="1:17" x14ac:dyDescent="0.2">
      <c r="E157" s="129">
        <v>44416</v>
      </c>
      <c r="F157" s="129">
        <v>0</v>
      </c>
      <c r="G157" s="129">
        <v>4066300</v>
      </c>
      <c r="H157" s="129">
        <v>4066300</v>
      </c>
      <c r="I157" s="129">
        <v>1963163</v>
      </c>
      <c r="J157" s="129">
        <v>2953998</v>
      </c>
      <c r="K157" s="129">
        <v>336290</v>
      </c>
      <c r="L157" s="129">
        <v>0</v>
      </c>
      <c r="M157" s="129">
        <v>3290288</v>
      </c>
      <c r="N157" s="129">
        <v>776012</v>
      </c>
      <c r="O157" s="130">
        <v>19.083982982072154</v>
      </c>
      <c r="P157" s="130">
        <v>44.199455151296831</v>
      </c>
      <c r="Q157" s="130">
        <v>66.507519812680115</v>
      </c>
    </row>
    <row r="158" spans="1:17" x14ac:dyDescent="0.2">
      <c r="A158">
        <v>2011</v>
      </c>
      <c r="B158">
        <v>45</v>
      </c>
      <c r="C158" t="s">
        <v>171</v>
      </c>
      <c r="D158">
        <v>636</v>
      </c>
      <c r="E158" s="129">
        <v>44416</v>
      </c>
      <c r="F158" s="129">
        <v>0</v>
      </c>
      <c r="G158" s="129">
        <v>4066300</v>
      </c>
      <c r="H158" s="129">
        <v>4066300</v>
      </c>
      <c r="I158" s="129">
        <v>1963163</v>
      </c>
      <c r="J158" s="129">
        <v>2953998</v>
      </c>
      <c r="K158" s="129">
        <v>336290</v>
      </c>
      <c r="L158" s="129">
        <v>0</v>
      </c>
      <c r="M158" s="129">
        <v>3290288</v>
      </c>
      <c r="N158" s="129">
        <v>776012</v>
      </c>
      <c r="O158" s="130">
        <v>19.083982982072154</v>
      </c>
      <c r="P158" s="130">
        <v>44.199455151296831</v>
      </c>
      <c r="Q158" s="130">
        <v>66.507519812680115</v>
      </c>
    </row>
    <row r="159" spans="1:17" x14ac:dyDescent="0.2">
      <c r="E159" s="129">
        <v>47826</v>
      </c>
      <c r="F159" s="129">
        <v>0</v>
      </c>
      <c r="G159" s="129">
        <v>11303554</v>
      </c>
      <c r="H159" s="129">
        <v>11303554</v>
      </c>
      <c r="I159" s="129">
        <v>3589672</v>
      </c>
      <c r="J159" s="129">
        <v>6046542</v>
      </c>
      <c r="K159" s="129">
        <v>4141666</v>
      </c>
      <c r="L159" s="129">
        <v>108626</v>
      </c>
      <c r="M159" s="129">
        <v>10296834</v>
      </c>
      <c r="N159" s="129">
        <v>1006720</v>
      </c>
      <c r="O159" s="130">
        <v>8.9062254225529429</v>
      </c>
      <c r="P159" s="130">
        <v>75.056914648935731</v>
      </c>
      <c r="Q159" s="130">
        <v>126.42792623259315</v>
      </c>
    </row>
    <row r="160" spans="1:17" x14ac:dyDescent="0.2">
      <c r="A160">
        <v>2011</v>
      </c>
      <c r="B160">
        <v>46</v>
      </c>
      <c r="C160" s="8" t="s">
        <v>15</v>
      </c>
      <c r="D160">
        <v>6544</v>
      </c>
      <c r="E160" s="129">
        <v>47826</v>
      </c>
      <c r="F160" s="129">
        <v>0</v>
      </c>
      <c r="G160" s="129">
        <v>11303554</v>
      </c>
      <c r="H160" s="129">
        <v>11303554</v>
      </c>
      <c r="I160" s="129">
        <v>3589672</v>
      </c>
      <c r="J160" s="129">
        <v>6046542</v>
      </c>
      <c r="K160" s="129">
        <v>4141666</v>
      </c>
      <c r="L160" s="129">
        <v>108626</v>
      </c>
      <c r="M160" s="129">
        <v>10296834</v>
      </c>
      <c r="N160" s="129">
        <v>1006720</v>
      </c>
      <c r="O160" s="130">
        <v>8.9062254225529429</v>
      </c>
      <c r="P160" s="130">
        <v>75.056914648935731</v>
      </c>
      <c r="Q160" s="130">
        <v>126.42792623259315</v>
      </c>
    </row>
    <row r="161" spans="1:17" x14ac:dyDescent="0.2">
      <c r="E161" s="129">
        <v>8673</v>
      </c>
      <c r="F161" s="129">
        <v>0</v>
      </c>
      <c r="G161" s="129">
        <v>698340</v>
      </c>
      <c r="H161" s="129">
        <v>698340</v>
      </c>
      <c r="I161" s="129">
        <v>445500</v>
      </c>
      <c r="J161" s="129">
        <v>616045</v>
      </c>
      <c r="K161" s="129">
        <v>21379</v>
      </c>
      <c r="L161" s="129">
        <v>271</v>
      </c>
      <c r="M161" s="129">
        <v>637695</v>
      </c>
      <c r="N161" s="129">
        <v>60645</v>
      </c>
      <c r="O161" s="130">
        <v>8.6841653062977926</v>
      </c>
      <c r="P161" s="130">
        <v>51.366309235558631</v>
      </c>
      <c r="Q161" s="130">
        <v>71.030208693646955</v>
      </c>
    </row>
    <row r="162" spans="1:17" x14ac:dyDescent="0.2">
      <c r="E162" s="129">
        <v>2954</v>
      </c>
      <c r="F162" s="129">
        <v>0</v>
      </c>
      <c r="G162" s="129">
        <v>171094</v>
      </c>
      <c r="H162" s="129">
        <v>171094</v>
      </c>
      <c r="I162" s="129">
        <v>135773</v>
      </c>
      <c r="J162" s="129">
        <v>150195</v>
      </c>
      <c r="K162" s="129">
        <v>0</v>
      </c>
      <c r="L162" s="129">
        <v>12503</v>
      </c>
      <c r="M162" s="129">
        <v>162698</v>
      </c>
      <c r="N162" s="129">
        <v>8396</v>
      </c>
      <c r="O162" s="130">
        <v>4.9072439711503613</v>
      </c>
      <c r="P162" s="130">
        <v>45.962423832092078</v>
      </c>
      <c r="Q162" s="130">
        <v>50.844617467840216</v>
      </c>
    </row>
    <row r="163" spans="1:17" x14ac:dyDescent="0.2">
      <c r="E163" s="129">
        <v>5730</v>
      </c>
      <c r="F163" s="129">
        <v>0</v>
      </c>
      <c r="G163" s="129">
        <v>539022</v>
      </c>
      <c r="H163" s="129">
        <v>539022</v>
      </c>
      <c r="I163" s="129">
        <v>339056</v>
      </c>
      <c r="J163" s="129">
        <v>378085</v>
      </c>
      <c r="K163" s="129">
        <v>0</v>
      </c>
      <c r="L163" s="129">
        <v>1352</v>
      </c>
      <c r="M163" s="129">
        <v>379437</v>
      </c>
      <c r="N163" s="129">
        <v>159585</v>
      </c>
      <c r="O163" s="130">
        <v>29.606398254616696</v>
      </c>
      <c r="P163" s="130">
        <v>59.172076788830715</v>
      </c>
      <c r="Q163" s="130">
        <v>65.983420593368237</v>
      </c>
    </row>
    <row r="164" spans="1:17" x14ac:dyDescent="0.2">
      <c r="E164" s="129">
        <v>1492</v>
      </c>
      <c r="F164" s="129">
        <v>0</v>
      </c>
      <c r="G164" s="129">
        <v>133618</v>
      </c>
      <c r="H164" s="129">
        <v>133618</v>
      </c>
      <c r="I164" s="129">
        <v>78764</v>
      </c>
      <c r="J164" s="129">
        <v>114262</v>
      </c>
      <c r="K164" s="129">
        <v>6190</v>
      </c>
      <c r="L164" s="129">
        <v>2843</v>
      </c>
      <c r="M164" s="129">
        <v>123295</v>
      </c>
      <c r="N164" s="129">
        <v>10323</v>
      </c>
      <c r="O164" s="130">
        <v>7.7257555119819186</v>
      </c>
      <c r="P164" s="130">
        <v>52.79088471849866</v>
      </c>
      <c r="Q164" s="130">
        <v>76.583109919571044</v>
      </c>
    </row>
    <row r="165" spans="1:17" x14ac:dyDescent="0.2">
      <c r="E165" s="129">
        <v>30398</v>
      </c>
      <c r="F165" s="129">
        <v>0</v>
      </c>
      <c r="G165" s="129">
        <v>2737516</v>
      </c>
      <c r="H165" s="129">
        <v>2737516</v>
      </c>
      <c r="I165" s="129">
        <v>1374813</v>
      </c>
      <c r="J165" s="129">
        <v>2020943</v>
      </c>
      <c r="K165" s="129">
        <v>239382</v>
      </c>
      <c r="L165" s="129">
        <v>0</v>
      </c>
      <c r="M165" s="129">
        <v>2260325</v>
      </c>
      <c r="N165" s="129">
        <v>477191</v>
      </c>
      <c r="O165" s="130">
        <v>17.431532820264795</v>
      </c>
      <c r="P165" s="130">
        <v>45.227087308375552</v>
      </c>
      <c r="Q165" s="130">
        <v>66.482762023817358</v>
      </c>
    </row>
    <row r="166" spans="1:17" x14ac:dyDescent="0.2">
      <c r="E166" s="129">
        <v>5730</v>
      </c>
      <c r="F166" s="129">
        <v>0</v>
      </c>
      <c r="G166" s="129">
        <v>739018</v>
      </c>
      <c r="H166" s="129">
        <v>739018</v>
      </c>
      <c r="I166" s="129">
        <v>443781</v>
      </c>
      <c r="J166" s="129">
        <v>527190</v>
      </c>
      <c r="K166" s="129">
        <v>0</v>
      </c>
      <c r="L166" s="129">
        <v>5232</v>
      </c>
      <c r="M166" s="129">
        <v>532422</v>
      </c>
      <c r="N166" s="129">
        <v>206596</v>
      </c>
      <c r="O166" s="130">
        <v>27.955476050651001</v>
      </c>
      <c r="P166" s="130">
        <v>77.448691099476434</v>
      </c>
      <c r="Q166" s="130">
        <v>92.005235602094245</v>
      </c>
    </row>
    <row r="167" spans="1:17" x14ac:dyDescent="0.2">
      <c r="E167" s="129">
        <v>5730</v>
      </c>
      <c r="F167" s="129">
        <v>0</v>
      </c>
      <c r="G167" s="129">
        <v>362206</v>
      </c>
      <c r="H167" s="129">
        <v>362206</v>
      </c>
      <c r="I167" s="129">
        <v>218850</v>
      </c>
      <c r="J167" s="129">
        <v>249207</v>
      </c>
      <c r="K167" s="129">
        <v>0</v>
      </c>
      <c r="L167" s="129">
        <v>1631</v>
      </c>
      <c r="M167" s="129">
        <v>250838</v>
      </c>
      <c r="N167" s="129">
        <v>111368</v>
      </c>
      <c r="O167" s="130">
        <v>30.747143890493255</v>
      </c>
      <c r="P167" s="130">
        <v>38.193717277486911</v>
      </c>
      <c r="Q167" s="130">
        <v>43.491623036649216</v>
      </c>
    </row>
    <row r="168" spans="1:17" x14ac:dyDescent="0.2">
      <c r="E168" s="129">
        <v>5730</v>
      </c>
      <c r="F168" s="129">
        <v>0</v>
      </c>
      <c r="G168" s="129">
        <v>1433907</v>
      </c>
      <c r="H168" s="129">
        <v>1433907</v>
      </c>
      <c r="I168" s="129">
        <v>750836</v>
      </c>
      <c r="J168" s="129">
        <v>803842</v>
      </c>
      <c r="K168" s="129">
        <v>10827</v>
      </c>
      <c r="L168" s="129">
        <v>4868</v>
      </c>
      <c r="M168" s="129">
        <v>819537</v>
      </c>
      <c r="N168" s="129">
        <v>614370</v>
      </c>
      <c r="O168" s="130">
        <v>42.845874941680314</v>
      </c>
      <c r="P168" s="130">
        <v>131.03595113438044</v>
      </c>
      <c r="Q168" s="130">
        <v>140.28656195462477</v>
      </c>
    </row>
    <row r="169" spans="1:17" x14ac:dyDescent="0.2">
      <c r="E169" s="129">
        <v>5730</v>
      </c>
      <c r="F169" s="129">
        <v>0</v>
      </c>
      <c r="G169" s="129">
        <v>280959</v>
      </c>
      <c r="H169" s="129">
        <v>280959</v>
      </c>
      <c r="I169" s="129">
        <v>176656</v>
      </c>
      <c r="J169" s="129">
        <v>196008</v>
      </c>
      <c r="K169" s="129">
        <v>0</v>
      </c>
      <c r="L169" s="129">
        <v>5741</v>
      </c>
      <c r="M169" s="129">
        <v>201749</v>
      </c>
      <c r="N169" s="129">
        <v>79210</v>
      </c>
      <c r="O169" s="130">
        <v>28.192725629006365</v>
      </c>
      <c r="P169" s="130">
        <v>30.830017452006981</v>
      </c>
      <c r="Q169" s="130">
        <v>34.207329842931934</v>
      </c>
    </row>
    <row r="170" spans="1:17" x14ac:dyDescent="0.2">
      <c r="E170" s="129">
        <v>5730</v>
      </c>
      <c r="F170" s="129">
        <v>0</v>
      </c>
      <c r="G170" s="129">
        <v>394045</v>
      </c>
      <c r="H170" s="129">
        <v>394045</v>
      </c>
      <c r="I170" s="129">
        <v>221017</v>
      </c>
      <c r="J170" s="129">
        <v>264448</v>
      </c>
      <c r="K170" s="129">
        <v>45365</v>
      </c>
      <c r="L170" s="129">
        <v>4954</v>
      </c>
      <c r="M170" s="129">
        <v>314767</v>
      </c>
      <c r="N170" s="129">
        <v>79278</v>
      </c>
      <c r="O170" s="130">
        <v>20.119021939118628</v>
      </c>
      <c r="P170" s="130">
        <v>38.571902268760908</v>
      </c>
      <c r="Q170" s="130">
        <v>46.151483420593365</v>
      </c>
    </row>
    <row r="171" spans="1:17" x14ac:dyDescent="0.2">
      <c r="E171" s="129">
        <v>5730</v>
      </c>
      <c r="F171" s="129">
        <v>0</v>
      </c>
      <c r="G171" s="129">
        <v>189632</v>
      </c>
      <c r="H171" s="129">
        <v>189632</v>
      </c>
      <c r="I171" s="129">
        <v>145256</v>
      </c>
      <c r="J171" s="129">
        <v>157281</v>
      </c>
      <c r="K171" s="129">
        <v>19867</v>
      </c>
      <c r="L171" s="129">
        <v>1705</v>
      </c>
      <c r="M171" s="129">
        <v>178853</v>
      </c>
      <c r="N171" s="129">
        <v>10779</v>
      </c>
      <c r="O171" s="130">
        <v>5.6841672291596357</v>
      </c>
      <c r="P171" s="130">
        <v>25.350087260034904</v>
      </c>
      <c r="Q171" s="130">
        <v>27.448691099476441</v>
      </c>
    </row>
    <row r="172" spans="1:17" x14ac:dyDescent="0.2">
      <c r="E172" s="129">
        <v>5730</v>
      </c>
      <c r="F172" s="129">
        <v>0</v>
      </c>
      <c r="G172" s="129">
        <v>355076</v>
      </c>
      <c r="H172" s="129">
        <v>355076</v>
      </c>
      <c r="I172" s="129">
        <v>198341</v>
      </c>
      <c r="J172" s="129">
        <v>221276</v>
      </c>
      <c r="K172" s="129">
        <v>0</v>
      </c>
      <c r="L172" s="129">
        <v>757</v>
      </c>
      <c r="M172" s="129">
        <v>222033</v>
      </c>
      <c r="N172" s="129">
        <v>133043</v>
      </c>
      <c r="O172" s="130">
        <v>37.468879901767508</v>
      </c>
      <c r="P172" s="130">
        <v>34.614485165794065</v>
      </c>
      <c r="Q172" s="130">
        <v>38.617102966841188</v>
      </c>
    </row>
    <row r="173" spans="1:17" x14ac:dyDescent="0.2">
      <c r="E173" s="129">
        <v>5730</v>
      </c>
      <c r="F173" s="129">
        <v>0</v>
      </c>
      <c r="G173" s="129">
        <v>643698</v>
      </c>
      <c r="H173" s="129">
        <v>643698</v>
      </c>
      <c r="I173" s="129">
        <v>337629</v>
      </c>
      <c r="J173" s="129">
        <v>391734</v>
      </c>
      <c r="K173" s="129">
        <v>0</v>
      </c>
      <c r="L173" s="129">
        <v>11726</v>
      </c>
      <c r="M173" s="129">
        <v>403460</v>
      </c>
      <c r="N173" s="129">
        <v>240238</v>
      </c>
      <c r="O173" s="130">
        <v>37.321538982566359</v>
      </c>
      <c r="P173" s="130">
        <v>58.923036649214659</v>
      </c>
      <c r="Q173" s="130">
        <v>68.365445026178008</v>
      </c>
    </row>
    <row r="174" spans="1:17" x14ac:dyDescent="0.2">
      <c r="A174">
        <v>2011</v>
      </c>
      <c r="B174">
        <v>47</v>
      </c>
      <c r="C174" t="s">
        <v>4</v>
      </c>
      <c r="D174">
        <v>1464</v>
      </c>
      <c r="E174" s="129">
        <v>95087</v>
      </c>
      <c r="F174" s="129">
        <v>0</v>
      </c>
      <c r="G174" s="129">
        <v>8678131</v>
      </c>
      <c r="H174" s="129">
        <v>8678131</v>
      </c>
      <c r="I174" s="129">
        <v>4866272</v>
      </c>
      <c r="J174" s="129">
        <v>6090516</v>
      </c>
      <c r="K174" s="129">
        <v>343010</v>
      </c>
      <c r="L174" s="129">
        <v>53583</v>
      </c>
      <c r="M174" s="129">
        <v>6487109</v>
      </c>
      <c r="N174" s="129">
        <v>2191022</v>
      </c>
      <c r="O174" s="130">
        <v>25.247625323932077</v>
      </c>
      <c r="P174" s="130">
        <v>51.177048387266396</v>
      </c>
      <c r="Q174" s="130">
        <v>64.052036555996082</v>
      </c>
    </row>
    <row r="175" spans="1:17" x14ac:dyDescent="0.2">
      <c r="E175" s="129">
        <v>38452</v>
      </c>
      <c r="F175" s="129">
        <v>9739</v>
      </c>
      <c r="G175" s="129">
        <v>2524848</v>
      </c>
      <c r="H175" s="129">
        <v>2534587</v>
      </c>
      <c r="I175" s="129">
        <v>1874471</v>
      </c>
      <c r="J175" s="129">
        <v>2324712</v>
      </c>
      <c r="K175" s="129">
        <v>0</v>
      </c>
      <c r="L175" s="129">
        <v>0</v>
      </c>
      <c r="M175" s="129">
        <v>2324712</v>
      </c>
      <c r="N175" s="129">
        <v>209875</v>
      </c>
      <c r="O175" s="130">
        <v>8.2804417445524656</v>
      </c>
      <c r="P175" s="130">
        <v>48.748335587225633</v>
      </c>
      <c r="Q175" s="130">
        <v>60.457505461354415</v>
      </c>
    </row>
    <row r="176" spans="1:17" x14ac:dyDescent="0.2">
      <c r="A176">
        <v>2011</v>
      </c>
      <c r="B176">
        <v>48</v>
      </c>
      <c r="C176" t="s">
        <v>207</v>
      </c>
      <c r="D176">
        <v>3160</v>
      </c>
      <c r="E176" s="129">
        <v>38452</v>
      </c>
      <c r="F176" s="129">
        <v>9739</v>
      </c>
      <c r="G176" s="129">
        <v>2524848</v>
      </c>
      <c r="H176" s="129">
        <v>2534587</v>
      </c>
      <c r="I176" s="129">
        <v>1874471</v>
      </c>
      <c r="J176" s="129">
        <v>2324712</v>
      </c>
      <c r="K176" s="129">
        <v>0</v>
      </c>
      <c r="L176" s="129">
        <v>0</v>
      </c>
      <c r="M176" s="129">
        <v>2324712</v>
      </c>
      <c r="N176" s="129">
        <v>209875</v>
      </c>
      <c r="O176" s="130">
        <v>8.2804417445524656</v>
      </c>
      <c r="P176" s="130">
        <v>48.748335587225633</v>
      </c>
      <c r="Q176" s="130">
        <v>60.457505461354415</v>
      </c>
    </row>
    <row r="177" spans="1:17" x14ac:dyDescent="0.2">
      <c r="E177" s="129">
        <v>41328</v>
      </c>
      <c r="F177" s="129">
        <v>0</v>
      </c>
      <c r="G177" s="129">
        <v>5431744</v>
      </c>
      <c r="H177" s="129">
        <v>5431744</v>
      </c>
      <c r="I177" s="129">
        <v>2895175</v>
      </c>
      <c r="J177" s="129">
        <v>3981008</v>
      </c>
      <c r="K177" s="129">
        <v>27094</v>
      </c>
      <c r="L177" s="129">
        <v>899815</v>
      </c>
      <c r="M177" s="129">
        <v>4907917</v>
      </c>
      <c r="N177" s="129">
        <v>523827</v>
      </c>
      <c r="O177" s="130">
        <v>9.6438086920149413</v>
      </c>
      <c r="P177" s="130">
        <v>70.053595625241968</v>
      </c>
      <c r="Q177" s="130">
        <v>96.327138985675575</v>
      </c>
    </row>
    <row r="178" spans="1:17" x14ac:dyDescent="0.2">
      <c r="A178">
        <v>2011</v>
      </c>
      <c r="B178">
        <v>49</v>
      </c>
      <c r="C178" t="s">
        <v>16</v>
      </c>
      <c r="D178">
        <v>8008</v>
      </c>
      <c r="E178" s="129">
        <v>41328</v>
      </c>
      <c r="F178" s="129">
        <v>0</v>
      </c>
      <c r="G178" s="129">
        <v>5431744</v>
      </c>
      <c r="H178" s="129">
        <v>5431744</v>
      </c>
      <c r="I178" s="129">
        <v>2895175</v>
      </c>
      <c r="J178" s="129">
        <v>3981008</v>
      </c>
      <c r="K178" s="129">
        <v>27094</v>
      </c>
      <c r="L178" s="129">
        <v>899815</v>
      </c>
      <c r="M178" s="129">
        <v>4907917</v>
      </c>
      <c r="N178" s="129">
        <v>523827</v>
      </c>
      <c r="O178" s="130">
        <v>9.6438086920149413</v>
      </c>
      <c r="P178" s="130">
        <v>70.053595625241968</v>
      </c>
      <c r="Q178" s="130">
        <v>96.327138985675575</v>
      </c>
    </row>
    <row r="179" spans="1:17" x14ac:dyDescent="0.2">
      <c r="E179" s="129">
        <v>66160</v>
      </c>
      <c r="F179" s="129">
        <v>0</v>
      </c>
      <c r="G179" s="129">
        <v>4755515</v>
      </c>
      <c r="H179" s="129">
        <v>4755515</v>
      </c>
      <c r="I179" s="129">
        <v>2920110</v>
      </c>
      <c r="J179" s="129">
        <v>3615499</v>
      </c>
      <c r="K179" s="129">
        <v>118841</v>
      </c>
      <c r="L179" s="129">
        <v>0</v>
      </c>
      <c r="M179" s="129">
        <v>3734340</v>
      </c>
      <c r="N179" s="129">
        <v>1021175</v>
      </c>
      <c r="O179" s="130">
        <v>21.473489201485013</v>
      </c>
      <c r="P179" s="130">
        <v>44.137091898428054</v>
      </c>
      <c r="Q179" s="130">
        <v>54.647808343409913</v>
      </c>
    </row>
    <row r="180" spans="1:17" x14ac:dyDescent="0.2">
      <c r="A180">
        <v>2011</v>
      </c>
      <c r="B180">
        <v>50</v>
      </c>
      <c r="C180" t="s">
        <v>208</v>
      </c>
      <c r="D180">
        <v>6358</v>
      </c>
      <c r="E180" s="129">
        <v>66160</v>
      </c>
      <c r="F180" s="129">
        <v>0</v>
      </c>
      <c r="G180" s="129">
        <v>4755515</v>
      </c>
      <c r="H180" s="129">
        <v>4755515</v>
      </c>
      <c r="I180" s="129">
        <v>2920110</v>
      </c>
      <c r="J180" s="129">
        <v>3615499</v>
      </c>
      <c r="K180" s="129">
        <v>118841</v>
      </c>
      <c r="L180" s="129">
        <v>0</v>
      </c>
      <c r="M180" s="129">
        <v>3734340</v>
      </c>
      <c r="N180" s="129">
        <v>1021175</v>
      </c>
      <c r="O180" s="130">
        <v>21.473489201485013</v>
      </c>
      <c r="P180" s="130">
        <v>44.137091898428054</v>
      </c>
      <c r="Q180" s="130">
        <v>54.647808343409913</v>
      </c>
    </row>
    <row r="185" spans="1:17" x14ac:dyDescent="0.2">
      <c r="G185" s="13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0"/>
  <sheetViews>
    <sheetView rightToLeft="1" topLeftCell="C1" zoomScale="115" zoomScaleNormal="115" workbookViewId="0">
      <selection activeCell="C65" sqref="C65"/>
    </sheetView>
  </sheetViews>
  <sheetFormatPr defaultRowHeight="14.25" x14ac:dyDescent="0.2"/>
  <cols>
    <col min="1" max="1" width="5" customWidth="1"/>
    <col min="2" max="2" width="5" hidden="1" customWidth="1"/>
    <col min="3" max="3" width="11.25" customWidth="1"/>
    <col min="4" max="4" width="8.875" style="129" bestFit="1" customWidth="1"/>
    <col min="5" max="5" width="4.25" style="135" customWidth="1"/>
    <col min="6" max="6" width="9" style="129"/>
    <col min="7" max="7" width="4" style="135" customWidth="1"/>
    <col min="8" max="8" width="9" style="129"/>
    <col min="9" max="9" width="4.125" style="135" customWidth="1"/>
    <col min="10" max="10" width="9" style="129"/>
    <col min="11" max="11" width="3.75" style="135" customWidth="1"/>
    <col min="12" max="12" width="9" style="129"/>
    <col min="13" max="13" width="3.875" style="135" customWidth="1"/>
    <col min="14" max="14" width="9" style="129"/>
    <col min="15" max="15" width="4" style="135" customWidth="1"/>
    <col min="16" max="16" width="9" style="129"/>
    <col min="17" max="17" width="4" style="135" customWidth="1"/>
    <col min="18" max="18" width="8.875" style="129" bestFit="1" customWidth="1"/>
    <col min="19" max="19" width="4" style="135" customWidth="1"/>
    <col min="20" max="20" width="8.875" style="129" bestFit="1" customWidth="1"/>
    <col min="21" max="21" width="5" style="135" customWidth="1"/>
    <col min="257" max="257" width="5" customWidth="1"/>
    <col min="258" max="258" width="0" hidden="1" customWidth="1"/>
    <col min="259" max="259" width="11.25" customWidth="1"/>
    <col min="260" max="260" width="8.875" bestFit="1" customWidth="1"/>
    <col min="261" max="261" width="4.25" customWidth="1"/>
    <col min="263" max="263" width="4" customWidth="1"/>
    <col min="265" max="265" width="4.125" customWidth="1"/>
    <col min="267" max="267" width="3.75" customWidth="1"/>
    <col min="269" max="269" width="3.875" customWidth="1"/>
    <col min="271" max="271" width="4" customWidth="1"/>
    <col min="273" max="273" width="4" customWidth="1"/>
    <col min="274" max="274" width="8.875" bestFit="1" customWidth="1"/>
    <col min="275" max="275" width="4" customWidth="1"/>
    <col min="276" max="276" width="8.875" bestFit="1" customWidth="1"/>
    <col min="277" max="277" width="5" customWidth="1"/>
    <col min="513" max="513" width="5" customWidth="1"/>
    <col min="514" max="514" width="0" hidden="1" customWidth="1"/>
    <col min="515" max="515" width="11.25" customWidth="1"/>
    <col min="516" max="516" width="8.875" bestFit="1" customWidth="1"/>
    <col min="517" max="517" width="4.25" customWidth="1"/>
    <col min="519" max="519" width="4" customWidth="1"/>
    <col min="521" max="521" width="4.125" customWidth="1"/>
    <col min="523" max="523" width="3.75" customWidth="1"/>
    <col min="525" max="525" width="3.875" customWidth="1"/>
    <col min="527" max="527" width="4" customWidth="1"/>
    <col min="529" max="529" width="4" customWidth="1"/>
    <col min="530" max="530" width="8.875" bestFit="1" customWidth="1"/>
    <col min="531" max="531" width="4" customWidth="1"/>
    <col min="532" max="532" width="8.875" bestFit="1" customWidth="1"/>
    <col min="533" max="533" width="5" customWidth="1"/>
    <col min="769" max="769" width="5" customWidth="1"/>
    <col min="770" max="770" width="0" hidden="1" customWidth="1"/>
    <col min="771" max="771" width="11.25" customWidth="1"/>
    <col min="772" max="772" width="8.875" bestFit="1" customWidth="1"/>
    <col min="773" max="773" width="4.25" customWidth="1"/>
    <col min="775" max="775" width="4" customWidth="1"/>
    <col min="777" max="777" width="4.125" customWidth="1"/>
    <col min="779" max="779" width="3.75" customWidth="1"/>
    <col min="781" max="781" width="3.875" customWidth="1"/>
    <col min="783" max="783" width="4" customWidth="1"/>
    <col min="785" max="785" width="4" customWidth="1"/>
    <col min="786" max="786" width="8.875" bestFit="1" customWidth="1"/>
    <col min="787" max="787" width="4" customWidth="1"/>
    <col min="788" max="788" width="8.875" bestFit="1" customWidth="1"/>
    <col min="789" max="789" width="5" customWidth="1"/>
    <col min="1025" max="1025" width="5" customWidth="1"/>
    <col min="1026" max="1026" width="0" hidden="1" customWidth="1"/>
    <col min="1027" max="1027" width="11.25" customWidth="1"/>
    <col min="1028" max="1028" width="8.875" bestFit="1" customWidth="1"/>
    <col min="1029" max="1029" width="4.25" customWidth="1"/>
    <col min="1031" max="1031" width="4" customWidth="1"/>
    <col min="1033" max="1033" width="4.125" customWidth="1"/>
    <col min="1035" max="1035" width="3.75" customWidth="1"/>
    <col min="1037" max="1037" width="3.875" customWidth="1"/>
    <col min="1039" max="1039" width="4" customWidth="1"/>
    <col min="1041" max="1041" width="4" customWidth="1"/>
    <col min="1042" max="1042" width="8.875" bestFit="1" customWidth="1"/>
    <col min="1043" max="1043" width="4" customWidth="1"/>
    <col min="1044" max="1044" width="8.875" bestFit="1" customWidth="1"/>
    <col min="1045" max="1045" width="5" customWidth="1"/>
    <col min="1281" max="1281" width="5" customWidth="1"/>
    <col min="1282" max="1282" width="0" hidden="1" customWidth="1"/>
    <col min="1283" max="1283" width="11.25" customWidth="1"/>
    <col min="1284" max="1284" width="8.875" bestFit="1" customWidth="1"/>
    <col min="1285" max="1285" width="4.25" customWidth="1"/>
    <col min="1287" max="1287" width="4" customWidth="1"/>
    <col min="1289" max="1289" width="4.125" customWidth="1"/>
    <col min="1291" max="1291" width="3.75" customWidth="1"/>
    <col min="1293" max="1293" width="3.875" customWidth="1"/>
    <col min="1295" max="1295" width="4" customWidth="1"/>
    <col min="1297" max="1297" width="4" customWidth="1"/>
    <col min="1298" max="1298" width="8.875" bestFit="1" customWidth="1"/>
    <col min="1299" max="1299" width="4" customWidth="1"/>
    <col min="1300" max="1300" width="8.875" bestFit="1" customWidth="1"/>
    <col min="1301" max="1301" width="5" customWidth="1"/>
    <col min="1537" max="1537" width="5" customWidth="1"/>
    <col min="1538" max="1538" width="0" hidden="1" customWidth="1"/>
    <col min="1539" max="1539" width="11.25" customWidth="1"/>
    <col min="1540" max="1540" width="8.875" bestFit="1" customWidth="1"/>
    <col min="1541" max="1541" width="4.25" customWidth="1"/>
    <col min="1543" max="1543" width="4" customWidth="1"/>
    <col min="1545" max="1545" width="4.125" customWidth="1"/>
    <col min="1547" max="1547" width="3.75" customWidth="1"/>
    <col min="1549" max="1549" width="3.875" customWidth="1"/>
    <col min="1551" max="1551" width="4" customWidth="1"/>
    <col min="1553" max="1553" width="4" customWidth="1"/>
    <col min="1554" max="1554" width="8.875" bestFit="1" customWidth="1"/>
    <col min="1555" max="1555" width="4" customWidth="1"/>
    <col min="1556" max="1556" width="8.875" bestFit="1" customWidth="1"/>
    <col min="1557" max="1557" width="5" customWidth="1"/>
    <col min="1793" max="1793" width="5" customWidth="1"/>
    <col min="1794" max="1794" width="0" hidden="1" customWidth="1"/>
    <col min="1795" max="1795" width="11.25" customWidth="1"/>
    <col min="1796" max="1796" width="8.875" bestFit="1" customWidth="1"/>
    <col min="1797" max="1797" width="4.25" customWidth="1"/>
    <col min="1799" max="1799" width="4" customWidth="1"/>
    <col min="1801" max="1801" width="4.125" customWidth="1"/>
    <col min="1803" max="1803" width="3.75" customWidth="1"/>
    <col min="1805" max="1805" width="3.875" customWidth="1"/>
    <col min="1807" max="1807" width="4" customWidth="1"/>
    <col min="1809" max="1809" width="4" customWidth="1"/>
    <col min="1810" max="1810" width="8.875" bestFit="1" customWidth="1"/>
    <col min="1811" max="1811" width="4" customWidth="1"/>
    <col min="1812" max="1812" width="8.875" bestFit="1" customWidth="1"/>
    <col min="1813" max="1813" width="5" customWidth="1"/>
    <col min="2049" max="2049" width="5" customWidth="1"/>
    <col min="2050" max="2050" width="0" hidden="1" customWidth="1"/>
    <col min="2051" max="2051" width="11.25" customWidth="1"/>
    <col min="2052" max="2052" width="8.875" bestFit="1" customWidth="1"/>
    <col min="2053" max="2053" width="4.25" customWidth="1"/>
    <col min="2055" max="2055" width="4" customWidth="1"/>
    <col min="2057" max="2057" width="4.125" customWidth="1"/>
    <col min="2059" max="2059" width="3.75" customWidth="1"/>
    <col min="2061" max="2061" width="3.875" customWidth="1"/>
    <col min="2063" max="2063" width="4" customWidth="1"/>
    <col min="2065" max="2065" width="4" customWidth="1"/>
    <col min="2066" max="2066" width="8.875" bestFit="1" customWidth="1"/>
    <col min="2067" max="2067" width="4" customWidth="1"/>
    <col min="2068" max="2068" width="8.875" bestFit="1" customWidth="1"/>
    <col min="2069" max="2069" width="5" customWidth="1"/>
    <col min="2305" max="2305" width="5" customWidth="1"/>
    <col min="2306" max="2306" width="0" hidden="1" customWidth="1"/>
    <col min="2307" max="2307" width="11.25" customWidth="1"/>
    <col min="2308" max="2308" width="8.875" bestFit="1" customWidth="1"/>
    <col min="2309" max="2309" width="4.25" customWidth="1"/>
    <col min="2311" max="2311" width="4" customWidth="1"/>
    <col min="2313" max="2313" width="4.125" customWidth="1"/>
    <col min="2315" max="2315" width="3.75" customWidth="1"/>
    <col min="2317" max="2317" width="3.875" customWidth="1"/>
    <col min="2319" max="2319" width="4" customWidth="1"/>
    <col min="2321" max="2321" width="4" customWidth="1"/>
    <col min="2322" max="2322" width="8.875" bestFit="1" customWidth="1"/>
    <col min="2323" max="2323" width="4" customWidth="1"/>
    <col min="2324" max="2324" width="8.875" bestFit="1" customWidth="1"/>
    <col min="2325" max="2325" width="5" customWidth="1"/>
    <col min="2561" max="2561" width="5" customWidth="1"/>
    <col min="2562" max="2562" width="0" hidden="1" customWidth="1"/>
    <col min="2563" max="2563" width="11.25" customWidth="1"/>
    <col min="2564" max="2564" width="8.875" bestFit="1" customWidth="1"/>
    <col min="2565" max="2565" width="4.25" customWidth="1"/>
    <col min="2567" max="2567" width="4" customWidth="1"/>
    <col min="2569" max="2569" width="4.125" customWidth="1"/>
    <col min="2571" max="2571" width="3.75" customWidth="1"/>
    <col min="2573" max="2573" width="3.875" customWidth="1"/>
    <col min="2575" max="2575" width="4" customWidth="1"/>
    <col min="2577" max="2577" width="4" customWidth="1"/>
    <col min="2578" max="2578" width="8.875" bestFit="1" customWidth="1"/>
    <col min="2579" max="2579" width="4" customWidth="1"/>
    <col min="2580" max="2580" width="8.875" bestFit="1" customWidth="1"/>
    <col min="2581" max="2581" width="5" customWidth="1"/>
    <col min="2817" max="2817" width="5" customWidth="1"/>
    <col min="2818" max="2818" width="0" hidden="1" customWidth="1"/>
    <col min="2819" max="2819" width="11.25" customWidth="1"/>
    <col min="2820" max="2820" width="8.875" bestFit="1" customWidth="1"/>
    <col min="2821" max="2821" width="4.25" customWidth="1"/>
    <col min="2823" max="2823" width="4" customWidth="1"/>
    <col min="2825" max="2825" width="4.125" customWidth="1"/>
    <col min="2827" max="2827" width="3.75" customWidth="1"/>
    <col min="2829" max="2829" width="3.875" customWidth="1"/>
    <col min="2831" max="2831" width="4" customWidth="1"/>
    <col min="2833" max="2833" width="4" customWidth="1"/>
    <col min="2834" max="2834" width="8.875" bestFit="1" customWidth="1"/>
    <col min="2835" max="2835" width="4" customWidth="1"/>
    <col min="2836" max="2836" width="8.875" bestFit="1" customWidth="1"/>
    <col min="2837" max="2837" width="5" customWidth="1"/>
    <col min="3073" max="3073" width="5" customWidth="1"/>
    <col min="3074" max="3074" width="0" hidden="1" customWidth="1"/>
    <col min="3075" max="3075" width="11.25" customWidth="1"/>
    <col min="3076" max="3076" width="8.875" bestFit="1" customWidth="1"/>
    <col min="3077" max="3077" width="4.25" customWidth="1"/>
    <col min="3079" max="3079" width="4" customWidth="1"/>
    <col min="3081" max="3081" width="4.125" customWidth="1"/>
    <col min="3083" max="3083" width="3.75" customWidth="1"/>
    <col min="3085" max="3085" width="3.875" customWidth="1"/>
    <col min="3087" max="3087" width="4" customWidth="1"/>
    <col min="3089" max="3089" width="4" customWidth="1"/>
    <col min="3090" max="3090" width="8.875" bestFit="1" customWidth="1"/>
    <col min="3091" max="3091" width="4" customWidth="1"/>
    <col min="3092" max="3092" width="8.875" bestFit="1" customWidth="1"/>
    <col min="3093" max="3093" width="5" customWidth="1"/>
    <col min="3329" max="3329" width="5" customWidth="1"/>
    <col min="3330" max="3330" width="0" hidden="1" customWidth="1"/>
    <col min="3331" max="3331" width="11.25" customWidth="1"/>
    <col min="3332" max="3332" width="8.875" bestFit="1" customWidth="1"/>
    <col min="3333" max="3333" width="4.25" customWidth="1"/>
    <col min="3335" max="3335" width="4" customWidth="1"/>
    <col min="3337" max="3337" width="4.125" customWidth="1"/>
    <col min="3339" max="3339" width="3.75" customWidth="1"/>
    <col min="3341" max="3341" width="3.875" customWidth="1"/>
    <col min="3343" max="3343" width="4" customWidth="1"/>
    <col min="3345" max="3345" width="4" customWidth="1"/>
    <col min="3346" max="3346" width="8.875" bestFit="1" customWidth="1"/>
    <col min="3347" max="3347" width="4" customWidth="1"/>
    <col min="3348" max="3348" width="8.875" bestFit="1" customWidth="1"/>
    <col min="3349" max="3349" width="5" customWidth="1"/>
    <col min="3585" max="3585" width="5" customWidth="1"/>
    <col min="3586" max="3586" width="0" hidden="1" customWidth="1"/>
    <col min="3587" max="3587" width="11.25" customWidth="1"/>
    <col min="3588" max="3588" width="8.875" bestFit="1" customWidth="1"/>
    <col min="3589" max="3589" width="4.25" customWidth="1"/>
    <col min="3591" max="3591" width="4" customWidth="1"/>
    <col min="3593" max="3593" width="4.125" customWidth="1"/>
    <col min="3595" max="3595" width="3.75" customWidth="1"/>
    <col min="3597" max="3597" width="3.875" customWidth="1"/>
    <col min="3599" max="3599" width="4" customWidth="1"/>
    <col min="3601" max="3601" width="4" customWidth="1"/>
    <col min="3602" max="3602" width="8.875" bestFit="1" customWidth="1"/>
    <col min="3603" max="3603" width="4" customWidth="1"/>
    <col min="3604" max="3604" width="8.875" bestFit="1" customWidth="1"/>
    <col min="3605" max="3605" width="5" customWidth="1"/>
    <col min="3841" max="3841" width="5" customWidth="1"/>
    <col min="3842" max="3842" width="0" hidden="1" customWidth="1"/>
    <col min="3843" max="3843" width="11.25" customWidth="1"/>
    <col min="3844" max="3844" width="8.875" bestFit="1" customWidth="1"/>
    <col min="3845" max="3845" width="4.25" customWidth="1"/>
    <col min="3847" max="3847" width="4" customWidth="1"/>
    <col min="3849" max="3849" width="4.125" customWidth="1"/>
    <col min="3851" max="3851" width="3.75" customWidth="1"/>
    <col min="3853" max="3853" width="3.875" customWidth="1"/>
    <col min="3855" max="3855" width="4" customWidth="1"/>
    <col min="3857" max="3857" width="4" customWidth="1"/>
    <col min="3858" max="3858" width="8.875" bestFit="1" customWidth="1"/>
    <col min="3859" max="3859" width="4" customWidth="1"/>
    <col min="3860" max="3860" width="8.875" bestFit="1" customWidth="1"/>
    <col min="3861" max="3861" width="5" customWidth="1"/>
    <col min="4097" max="4097" width="5" customWidth="1"/>
    <col min="4098" max="4098" width="0" hidden="1" customWidth="1"/>
    <col min="4099" max="4099" width="11.25" customWidth="1"/>
    <col min="4100" max="4100" width="8.875" bestFit="1" customWidth="1"/>
    <col min="4101" max="4101" width="4.25" customWidth="1"/>
    <col min="4103" max="4103" width="4" customWidth="1"/>
    <col min="4105" max="4105" width="4.125" customWidth="1"/>
    <col min="4107" max="4107" width="3.75" customWidth="1"/>
    <col min="4109" max="4109" width="3.875" customWidth="1"/>
    <col min="4111" max="4111" width="4" customWidth="1"/>
    <col min="4113" max="4113" width="4" customWidth="1"/>
    <col min="4114" max="4114" width="8.875" bestFit="1" customWidth="1"/>
    <col min="4115" max="4115" width="4" customWidth="1"/>
    <col min="4116" max="4116" width="8.875" bestFit="1" customWidth="1"/>
    <col min="4117" max="4117" width="5" customWidth="1"/>
    <col min="4353" max="4353" width="5" customWidth="1"/>
    <col min="4354" max="4354" width="0" hidden="1" customWidth="1"/>
    <col min="4355" max="4355" width="11.25" customWidth="1"/>
    <col min="4356" max="4356" width="8.875" bestFit="1" customWidth="1"/>
    <col min="4357" max="4357" width="4.25" customWidth="1"/>
    <col min="4359" max="4359" width="4" customWidth="1"/>
    <col min="4361" max="4361" width="4.125" customWidth="1"/>
    <col min="4363" max="4363" width="3.75" customWidth="1"/>
    <col min="4365" max="4365" width="3.875" customWidth="1"/>
    <col min="4367" max="4367" width="4" customWidth="1"/>
    <col min="4369" max="4369" width="4" customWidth="1"/>
    <col min="4370" max="4370" width="8.875" bestFit="1" customWidth="1"/>
    <col min="4371" max="4371" width="4" customWidth="1"/>
    <col min="4372" max="4372" width="8.875" bestFit="1" customWidth="1"/>
    <col min="4373" max="4373" width="5" customWidth="1"/>
    <col min="4609" max="4609" width="5" customWidth="1"/>
    <col min="4610" max="4610" width="0" hidden="1" customWidth="1"/>
    <col min="4611" max="4611" width="11.25" customWidth="1"/>
    <col min="4612" max="4612" width="8.875" bestFit="1" customWidth="1"/>
    <col min="4613" max="4613" width="4.25" customWidth="1"/>
    <col min="4615" max="4615" width="4" customWidth="1"/>
    <col min="4617" max="4617" width="4.125" customWidth="1"/>
    <col min="4619" max="4619" width="3.75" customWidth="1"/>
    <col min="4621" max="4621" width="3.875" customWidth="1"/>
    <col min="4623" max="4623" width="4" customWidth="1"/>
    <col min="4625" max="4625" width="4" customWidth="1"/>
    <col min="4626" max="4626" width="8.875" bestFit="1" customWidth="1"/>
    <col min="4627" max="4627" width="4" customWidth="1"/>
    <col min="4628" max="4628" width="8.875" bestFit="1" customWidth="1"/>
    <col min="4629" max="4629" width="5" customWidth="1"/>
    <col min="4865" max="4865" width="5" customWidth="1"/>
    <col min="4866" max="4866" width="0" hidden="1" customWidth="1"/>
    <col min="4867" max="4867" width="11.25" customWidth="1"/>
    <col min="4868" max="4868" width="8.875" bestFit="1" customWidth="1"/>
    <col min="4869" max="4869" width="4.25" customWidth="1"/>
    <col min="4871" max="4871" width="4" customWidth="1"/>
    <col min="4873" max="4873" width="4.125" customWidth="1"/>
    <col min="4875" max="4875" width="3.75" customWidth="1"/>
    <col min="4877" max="4877" width="3.875" customWidth="1"/>
    <col min="4879" max="4879" width="4" customWidth="1"/>
    <col min="4881" max="4881" width="4" customWidth="1"/>
    <col min="4882" max="4882" width="8.875" bestFit="1" customWidth="1"/>
    <col min="4883" max="4883" width="4" customWidth="1"/>
    <col min="4884" max="4884" width="8.875" bestFit="1" customWidth="1"/>
    <col min="4885" max="4885" width="5" customWidth="1"/>
    <col min="5121" max="5121" width="5" customWidth="1"/>
    <col min="5122" max="5122" width="0" hidden="1" customWidth="1"/>
    <col min="5123" max="5123" width="11.25" customWidth="1"/>
    <col min="5124" max="5124" width="8.875" bestFit="1" customWidth="1"/>
    <col min="5125" max="5125" width="4.25" customWidth="1"/>
    <col min="5127" max="5127" width="4" customWidth="1"/>
    <col min="5129" max="5129" width="4.125" customWidth="1"/>
    <col min="5131" max="5131" width="3.75" customWidth="1"/>
    <col min="5133" max="5133" width="3.875" customWidth="1"/>
    <col min="5135" max="5135" width="4" customWidth="1"/>
    <col min="5137" max="5137" width="4" customWidth="1"/>
    <col min="5138" max="5138" width="8.875" bestFit="1" customWidth="1"/>
    <col min="5139" max="5139" width="4" customWidth="1"/>
    <col min="5140" max="5140" width="8.875" bestFit="1" customWidth="1"/>
    <col min="5141" max="5141" width="5" customWidth="1"/>
    <col min="5377" max="5377" width="5" customWidth="1"/>
    <col min="5378" max="5378" width="0" hidden="1" customWidth="1"/>
    <col min="5379" max="5379" width="11.25" customWidth="1"/>
    <col min="5380" max="5380" width="8.875" bestFit="1" customWidth="1"/>
    <col min="5381" max="5381" width="4.25" customWidth="1"/>
    <col min="5383" max="5383" width="4" customWidth="1"/>
    <col min="5385" max="5385" width="4.125" customWidth="1"/>
    <col min="5387" max="5387" width="3.75" customWidth="1"/>
    <col min="5389" max="5389" width="3.875" customWidth="1"/>
    <col min="5391" max="5391" width="4" customWidth="1"/>
    <col min="5393" max="5393" width="4" customWidth="1"/>
    <col min="5394" max="5394" width="8.875" bestFit="1" customWidth="1"/>
    <col min="5395" max="5395" width="4" customWidth="1"/>
    <col min="5396" max="5396" width="8.875" bestFit="1" customWidth="1"/>
    <col min="5397" max="5397" width="5" customWidth="1"/>
    <col min="5633" max="5633" width="5" customWidth="1"/>
    <col min="5634" max="5634" width="0" hidden="1" customWidth="1"/>
    <col min="5635" max="5635" width="11.25" customWidth="1"/>
    <col min="5636" max="5636" width="8.875" bestFit="1" customWidth="1"/>
    <col min="5637" max="5637" width="4.25" customWidth="1"/>
    <col min="5639" max="5639" width="4" customWidth="1"/>
    <col min="5641" max="5641" width="4.125" customWidth="1"/>
    <col min="5643" max="5643" width="3.75" customWidth="1"/>
    <col min="5645" max="5645" width="3.875" customWidth="1"/>
    <col min="5647" max="5647" width="4" customWidth="1"/>
    <col min="5649" max="5649" width="4" customWidth="1"/>
    <col min="5650" max="5650" width="8.875" bestFit="1" customWidth="1"/>
    <col min="5651" max="5651" width="4" customWidth="1"/>
    <col min="5652" max="5652" width="8.875" bestFit="1" customWidth="1"/>
    <col min="5653" max="5653" width="5" customWidth="1"/>
    <col min="5889" max="5889" width="5" customWidth="1"/>
    <col min="5890" max="5890" width="0" hidden="1" customWidth="1"/>
    <col min="5891" max="5891" width="11.25" customWidth="1"/>
    <col min="5892" max="5892" width="8.875" bestFit="1" customWidth="1"/>
    <col min="5893" max="5893" width="4.25" customWidth="1"/>
    <col min="5895" max="5895" width="4" customWidth="1"/>
    <col min="5897" max="5897" width="4.125" customWidth="1"/>
    <col min="5899" max="5899" width="3.75" customWidth="1"/>
    <col min="5901" max="5901" width="3.875" customWidth="1"/>
    <col min="5903" max="5903" width="4" customWidth="1"/>
    <col min="5905" max="5905" width="4" customWidth="1"/>
    <col min="5906" max="5906" width="8.875" bestFit="1" customWidth="1"/>
    <col min="5907" max="5907" width="4" customWidth="1"/>
    <col min="5908" max="5908" width="8.875" bestFit="1" customWidth="1"/>
    <col min="5909" max="5909" width="5" customWidth="1"/>
    <col min="6145" max="6145" width="5" customWidth="1"/>
    <col min="6146" max="6146" width="0" hidden="1" customWidth="1"/>
    <col min="6147" max="6147" width="11.25" customWidth="1"/>
    <col min="6148" max="6148" width="8.875" bestFit="1" customWidth="1"/>
    <col min="6149" max="6149" width="4.25" customWidth="1"/>
    <col min="6151" max="6151" width="4" customWidth="1"/>
    <col min="6153" max="6153" width="4.125" customWidth="1"/>
    <col min="6155" max="6155" width="3.75" customWidth="1"/>
    <col min="6157" max="6157" width="3.875" customWidth="1"/>
    <col min="6159" max="6159" width="4" customWidth="1"/>
    <col min="6161" max="6161" width="4" customWidth="1"/>
    <col min="6162" max="6162" width="8.875" bestFit="1" customWidth="1"/>
    <col min="6163" max="6163" width="4" customWidth="1"/>
    <col min="6164" max="6164" width="8.875" bestFit="1" customWidth="1"/>
    <col min="6165" max="6165" width="5" customWidth="1"/>
    <col min="6401" max="6401" width="5" customWidth="1"/>
    <col min="6402" max="6402" width="0" hidden="1" customWidth="1"/>
    <col min="6403" max="6403" width="11.25" customWidth="1"/>
    <col min="6404" max="6404" width="8.875" bestFit="1" customWidth="1"/>
    <col min="6405" max="6405" width="4.25" customWidth="1"/>
    <col min="6407" max="6407" width="4" customWidth="1"/>
    <col min="6409" max="6409" width="4.125" customWidth="1"/>
    <col min="6411" max="6411" width="3.75" customWidth="1"/>
    <col min="6413" max="6413" width="3.875" customWidth="1"/>
    <col min="6415" max="6415" width="4" customWidth="1"/>
    <col min="6417" max="6417" width="4" customWidth="1"/>
    <col min="6418" max="6418" width="8.875" bestFit="1" customWidth="1"/>
    <col min="6419" max="6419" width="4" customWidth="1"/>
    <col min="6420" max="6420" width="8.875" bestFit="1" customWidth="1"/>
    <col min="6421" max="6421" width="5" customWidth="1"/>
    <col min="6657" max="6657" width="5" customWidth="1"/>
    <col min="6658" max="6658" width="0" hidden="1" customWidth="1"/>
    <col min="6659" max="6659" width="11.25" customWidth="1"/>
    <col min="6660" max="6660" width="8.875" bestFit="1" customWidth="1"/>
    <col min="6661" max="6661" width="4.25" customWidth="1"/>
    <col min="6663" max="6663" width="4" customWidth="1"/>
    <col min="6665" max="6665" width="4.125" customWidth="1"/>
    <col min="6667" max="6667" width="3.75" customWidth="1"/>
    <col min="6669" max="6669" width="3.875" customWidth="1"/>
    <col min="6671" max="6671" width="4" customWidth="1"/>
    <col min="6673" max="6673" width="4" customWidth="1"/>
    <col min="6674" max="6674" width="8.875" bestFit="1" customWidth="1"/>
    <col min="6675" max="6675" width="4" customWidth="1"/>
    <col min="6676" max="6676" width="8.875" bestFit="1" customWidth="1"/>
    <col min="6677" max="6677" width="5" customWidth="1"/>
    <col min="6913" max="6913" width="5" customWidth="1"/>
    <col min="6914" max="6914" width="0" hidden="1" customWidth="1"/>
    <col min="6915" max="6915" width="11.25" customWidth="1"/>
    <col min="6916" max="6916" width="8.875" bestFit="1" customWidth="1"/>
    <col min="6917" max="6917" width="4.25" customWidth="1"/>
    <col min="6919" max="6919" width="4" customWidth="1"/>
    <col min="6921" max="6921" width="4.125" customWidth="1"/>
    <col min="6923" max="6923" width="3.75" customWidth="1"/>
    <col min="6925" max="6925" width="3.875" customWidth="1"/>
    <col min="6927" max="6927" width="4" customWidth="1"/>
    <col min="6929" max="6929" width="4" customWidth="1"/>
    <col min="6930" max="6930" width="8.875" bestFit="1" customWidth="1"/>
    <col min="6931" max="6931" width="4" customWidth="1"/>
    <col min="6932" max="6932" width="8.875" bestFit="1" customWidth="1"/>
    <col min="6933" max="6933" width="5" customWidth="1"/>
    <col min="7169" max="7169" width="5" customWidth="1"/>
    <col min="7170" max="7170" width="0" hidden="1" customWidth="1"/>
    <col min="7171" max="7171" width="11.25" customWidth="1"/>
    <col min="7172" max="7172" width="8.875" bestFit="1" customWidth="1"/>
    <col min="7173" max="7173" width="4.25" customWidth="1"/>
    <col min="7175" max="7175" width="4" customWidth="1"/>
    <col min="7177" max="7177" width="4.125" customWidth="1"/>
    <col min="7179" max="7179" width="3.75" customWidth="1"/>
    <col min="7181" max="7181" width="3.875" customWidth="1"/>
    <col min="7183" max="7183" width="4" customWidth="1"/>
    <col min="7185" max="7185" width="4" customWidth="1"/>
    <col min="7186" max="7186" width="8.875" bestFit="1" customWidth="1"/>
    <col min="7187" max="7187" width="4" customWidth="1"/>
    <col min="7188" max="7188" width="8.875" bestFit="1" customWidth="1"/>
    <col min="7189" max="7189" width="5" customWidth="1"/>
    <col min="7425" max="7425" width="5" customWidth="1"/>
    <col min="7426" max="7426" width="0" hidden="1" customWidth="1"/>
    <col min="7427" max="7427" width="11.25" customWidth="1"/>
    <col min="7428" max="7428" width="8.875" bestFit="1" customWidth="1"/>
    <col min="7429" max="7429" width="4.25" customWidth="1"/>
    <col min="7431" max="7431" width="4" customWidth="1"/>
    <col min="7433" max="7433" width="4.125" customWidth="1"/>
    <col min="7435" max="7435" width="3.75" customWidth="1"/>
    <col min="7437" max="7437" width="3.875" customWidth="1"/>
    <col min="7439" max="7439" width="4" customWidth="1"/>
    <col min="7441" max="7441" width="4" customWidth="1"/>
    <col min="7442" max="7442" width="8.875" bestFit="1" customWidth="1"/>
    <col min="7443" max="7443" width="4" customWidth="1"/>
    <col min="7444" max="7444" width="8.875" bestFit="1" customWidth="1"/>
    <col min="7445" max="7445" width="5" customWidth="1"/>
    <col min="7681" max="7681" width="5" customWidth="1"/>
    <col min="7682" max="7682" width="0" hidden="1" customWidth="1"/>
    <col min="7683" max="7683" width="11.25" customWidth="1"/>
    <col min="7684" max="7684" width="8.875" bestFit="1" customWidth="1"/>
    <col min="7685" max="7685" width="4.25" customWidth="1"/>
    <col min="7687" max="7687" width="4" customWidth="1"/>
    <col min="7689" max="7689" width="4.125" customWidth="1"/>
    <col min="7691" max="7691" width="3.75" customWidth="1"/>
    <col min="7693" max="7693" width="3.875" customWidth="1"/>
    <col min="7695" max="7695" width="4" customWidth="1"/>
    <col min="7697" max="7697" width="4" customWidth="1"/>
    <col min="7698" max="7698" width="8.875" bestFit="1" customWidth="1"/>
    <col min="7699" max="7699" width="4" customWidth="1"/>
    <col min="7700" max="7700" width="8.875" bestFit="1" customWidth="1"/>
    <col min="7701" max="7701" width="5" customWidth="1"/>
    <col min="7937" max="7937" width="5" customWidth="1"/>
    <col min="7938" max="7938" width="0" hidden="1" customWidth="1"/>
    <col min="7939" max="7939" width="11.25" customWidth="1"/>
    <col min="7940" max="7940" width="8.875" bestFit="1" customWidth="1"/>
    <col min="7941" max="7941" width="4.25" customWidth="1"/>
    <col min="7943" max="7943" width="4" customWidth="1"/>
    <col min="7945" max="7945" width="4.125" customWidth="1"/>
    <col min="7947" max="7947" width="3.75" customWidth="1"/>
    <col min="7949" max="7949" width="3.875" customWidth="1"/>
    <col min="7951" max="7951" width="4" customWidth="1"/>
    <col min="7953" max="7953" width="4" customWidth="1"/>
    <col min="7954" max="7954" width="8.875" bestFit="1" customWidth="1"/>
    <col min="7955" max="7955" width="4" customWidth="1"/>
    <col min="7956" max="7956" width="8.875" bestFit="1" customWidth="1"/>
    <col min="7957" max="7957" width="5" customWidth="1"/>
    <col min="8193" max="8193" width="5" customWidth="1"/>
    <col min="8194" max="8194" width="0" hidden="1" customWidth="1"/>
    <col min="8195" max="8195" width="11.25" customWidth="1"/>
    <col min="8196" max="8196" width="8.875" bestFit="1" customWidth="1"/>
    <col min="8197" max="8197" width="4.25" customWidth="1"/>
    <col min="8199" max="8199" width="4" customWidth="1"/>
    <col min="8201" max="8201" width="4.125" customWidth="1"/>
    <col min="8203" max="8203" width="3.75" customWidth="1"/>
    <col min="8205" max="8205" width="3.875" customWidth="1"/>
    <col min="8207" max="8207" width="4" customWidth="1"/>
    <col min="8209" max="8209" width="4" customWidth="1"/>
    <col min="8210" max="8210" width="8.875" bestFit="1" customWidth="1"/>
    <col min="8211" max="8211" width="4" customWidth="1"/>
    <col min="8212" max="8212" width="8.875" bestFit="1" customWidth="1"/>
    <col min="8213" max="8213" width="5" customWidth="1"/>
    <col min="8449" max="8449" width="5" customWidth="1"/>
    <col min="8450" max="8450" width="0" hidden="1" customWidth="1"/>
    <col min="8451" max="8451" width="11.25" customWidth="1"/>
    <col min="8452" max="8452" width="8.875" bestFit="1" customWidth="1"/>
    <col min="8453" max="8453" width="4.25" customWidth="1"/>
    <col min="8455" max="8455" width="4" customWidth="1"/>
    <col min="8457" max="8457" width="4.125" customWidth="1"/>
    <col min="8459" max="8459" width="3.75" customWidth="1"/>
    <col min="8461" max="8461" width="3.875" customWidth="1"/>
    <col min="8463" max="8463" width="4" customWidth="1"/>
    <col min="8465" max="8465" width="4" customWidth="1"/>
    <col min="8466" max="8466" width="8.875" bestFit="1" customWidth="1"/>
    <col min="8467" max="8467" width="4" customWidth="1"/>
    <col min="8468" max="8468" width="8.875" bestFit="1" customWidth="1"/>
    <col min="8469" max="8469" width="5" customWidth="1"/>
    <col min="8705" max="8705" width="5" customWidth="1"/>
    <col min="8706" max="8706" width="0" hidden="1" customWidth="1"/>
    <col min="8707" max="8707" width="11.25" customWidth="1"/>
    <col min="8708" max="8708" width="8.875" bestFit="1" customWidth="1"/>
    <col min="8709" max="8709" width="4.25" customWidth="1"/>
    <col min="8711" max="8711" width="4" customWidth="1"/>
    <col min="8713" max="8713" width="4.125" customWidth="1"/>
    <col min="8715" max="8715" width="3.75" customWidth="1"/>
    <col min="8717" max="8717" width="3.875" customWidth="1"/>
    <col min="8719" max="8719" width="4" customWidth="1"/>
    <col min="8721" max="8721" width="4" customWidth="1"/>
    <col min="8722" max="8722" width="8.875" bestFit="1" customWidth="1"/>
    <col min="8723" max="8723" width="4" customWidth="1"/>
    <col min="8724" max="8724" width="8.875" bestFit="1" customWidth="1"/>
    <col min="8725" max="8725" width="5" customWidth="1"/>
    <col min="8961" max="8961" width="5" customWidth="1"/>
    <col min="8962" max="8962" width="0" hidden="1" customWidth="1"/>
    <col min="8963" max="8963" width="11.25" customWidth="1"/>
    <col min="8964" max="8964" width="8.875" bestFit="1" customWidth="1"/>
    <col min="8965" max="8965" width="4.25" customWidth="1"/>
    <col min="8967" max="8967" width="4" customWidth="1"/>
    <col min="8969" max="8969" width="4.125" customWidth="1"/>
    <col min="8971" max="8971" width="3.75" customWidth="1"/>
    <col min="8973" max="8973" width="3.875" customWidth="1"/>
    <col min="8975" max="8975" width="4" customWidth="1"/>
    <col min="8977" max="8977" width="4" customWidth="1"/>
    <col min="8978" max="8978" width="8.875" bestFit="1" customWidth="1"/>
    <col min="8979" max="8979" width="4" customWidth="1"/>
    <col min="8980" max="8980" width="8.875" bestFit="1" customWidth="1"/>
    <col min="8981" max="8981" width="5" customWidth="1"/>
    <col min="9217" max="9217" width="5" customWidth="1"/>
    <col min="9218" max="9218" width="0" hidden="1" customWidth="1"/>
    <col min="9219" max="9219" width="11.25" customWidth="1"/>
    <col min="9220" max="9220" width="8.875" bestFit="1" customWidth="1"/>
    <col min="9221" max="9221" width="4.25" customWidth="1"/>
    <col min="9223" max="9223" width="4" customWidth="1"/>
    <col min="9225" max="9225" width="4.125" customWidth="1"/>
    <col min="9227" max="9227" width="3.75" customWidth="1"/>
    <col min="9229" max="9229" width="3.875" customWidth="1"/>
    <col min="9231" max="9231" width="4" customWidth="1"/>
    <col min="9233" max="9233" width="4" customWidth="1"/>
    <col min="9234" max="9234" width="8.875" bestFit="1" customWidth="1"/>
    <col min="9235" max="9235" width="4" customWidth="1"/>
    <col min="9236" max="9236" width="8.875" bestFit="1" customWidth="1"/>
    <col min="9237" max="9237" width="5" customWidth="1"/>
    <col min="9473" max="9473" width="5" customWidth="1"/>
    <col min="9474" max="9474" width="0" hidden="1" customWidth="1"/>
    <col min="9475" max="9475" width="11.25" customWidth="1"/>
    <col min="9476" max="9476" width="8.875" bestFit="1" customWidth="1"/>
    <col min="9477" max="9477" width="4.25" customWidth="1"/>
    <col min="9479" max="9479" width="4" customWidth="1"/>
    <col min="9481" max="9481" width="4.125" customWidth="1"/>
    <col min="9483" max="9483" width="3.75" customWidth="1"/>
    <col min="9485" max="9485" width="3.875" customWidth="1"/>
    <col min="9487" max="9487" width="4" customWidth="1"/>
    <col min="9489" max="9489" width="4" customWidth="1"/>
    <col min="9490" max="9490" width="8.875" bestFit="1" customWidth="1"/>
    <col min="9491" max="9491" width="4" customWidth="1"/>
    <col min="9492" max="9492" width="8.875" bestFit="1" customWidth="1"/>
    <col min="9493" max="9493" width="5" customWidth="1"/>
    <col min="9729" max="9729" width="5" customWidth="1"/>
    <col min="9730" max="9730" width="0" hidden="1" customWidth="1"/>
    <col min="9731" max="9731" width="11.25" customWidth="1"/>
    <col min="9732" max="9732" width="8.875" bestFit="1" customWidth="1"/>
    <col min="9733" max="9733" width="4.25" customWidth="1"/>
    <col min="9735" max="9735" width="4" customWidth="1"/>
    <col min="9737" max="9737" width="4.125" customWidth="1"/>
    <col min="9739" max="9739" width="3.75" customWidth="1"/>
    <col min="9741" max="9741" width="3.875" customWidth="1"/>
    <col min="9743" max="9743" width="4" customWidth="1"/>
    <col min="9745" max="9745" width="4" customWidth="1"/>
    <col min="9746" max="9746" width="8.875" bestFit="1" customWidth="1"/>
    <col min="9747" max="9747" width="4" customWidth="1"/>
    <col min="9748" max="9748" width="8.875" bestFit="1" customWidth="1"/>
    <col min="9749" max="9749" width="5" customWidth="1"/>
    <col min="9985" max="9985" width="5" customWidth="1"/>
    <col min="9986" max="9986" width="0" hidden="1" customWidth="1"/>
    <col min="9987" max="9987" width="11.25" customWidth="1"/>
    <col min="9988" max="9988" width="8.875" bestFit="1" customWidth="1"/>
    <col min="9989" max="9989" width="4.25" customWidth="1"/>
    <col min="9991" max="9991" width="4" customWidth="1"/>
    <col min="9993" max="9993" width="4.125" customWidth="1"/>
    <col min="9995" max="9995" width="3.75" customWidth="1"/>
    <col min="9997" max="9997" width="3.875" customWidth="1"/>
    <col min="9999" max="9999" width="4" customWidth="1"/>
    <col min="10001" max="10001" width="4" customWidth="1"/>
    <col min="10002" max="10002" width="8.875" bestFit="1" customWidth="1"/>
    <col min="10003" max="10003" width="4" customWidth="1"/>
    <col min="10004" max="10004" width="8.875" bestFit="1" customWidth="1"/>
    <col min="10005" max="10005" width="5" customWidth="1"/>
    <col min="10241" max="10241" width="5" customWidth="1"/>
    <col min="10242" max="10242" width="0" hidden="1" customWidth="1"/>
    <col min="10243" max="10243" width="11.25" customWidth="1"/>
    <col min="10244" max="10244" width="8.875" bestFit="1" customWidth="1"/>
    <col min="10245" max="10245" width="4.25" customWidth="1"/>
    <col min="10247" max="10247" width="4" customWidth="1"/>
    <col min="10249" max="10249" width="4.125" customWidth="1"/>
    <col min="10251" max="10251" width="3.75" customWidth="1"/>
    <col min="10253" max="10253" width="3.875" customWidth="1"/>
    <col min="10255" max="10255" width="4" customWidth="1"/>
    <col min="10257" max="10257" width="4" customWidth="1"/>
    <col min="10258" max="10258" width="8.875" bestFit="1" customWidth="1"/>
    <col min="10259" max="10259" width="4" customWidth="1"/>
    <col min="10260" max="10260" width="8.875" bestFit="1" customWidth="1"/>
    <col min="10261" max="10261" width="5" customWidth="1"/>
    <col min="10497" max="10497" width="5" customWidth="1"/>
    <col min="10498" max="10498" width="0" hidden="1" customWidth="1"/>
    <col min="10499" max="10499" width="11.25" customWidth="1"/>
    <col min="10500" max="10500" width="8.875" bestFit="1" customWidth="1"/>
    <col min="10501" max="10501" width="4.25" customWidth="1"/>
    <col min="10503" max="10503" width="4" customWidth="1"/>
    <col min="10505" max="10505" width="4.125" customWidth="1"/>
    <col min="10507" max="10507" width="3.75" customWidth="1"/>
    <col min="10509" max="10509" width="3.875" customWidth="1"/>
    <col min="10511" max="10511" width="4" customWidth="1"/>
    <col min="10513" max="10513" width="4" customWidth="1"/>
    <col min="10514" max="10514" width="8.875" bestFit="1" customWidth="1"/>
    <col min="10515" max="10515" width="4" customWidth="1"/>
    <col min="10516" max="10516" width="8.875" bestFit="1" customWidth="1"/>
    <col min="10517" max="10517" width="5" customWidth="1"/>
    <col min="10753" max="10753" width="5" customWidth="1"/>
    <col min="10754" max="10754" width="0" hidden="1" customWidth="1"/>
    <col min="10755" max="10755" width="11.25" customWidth="1"/>
    <col min="10756" max="10756" width="8.875" bestFit="1" customWidth="1"/>
    <col min="10757" max="10757" width="4.25" customWidth="1"/>
    <col min="10759" max="10759" width="4" customWidth="1"/>
    <col min="10761" max="10761" width="4.125" customWidth="1"/>
    <col min="10763" max="10763" width="3.75" customWidth="1"/>
    <col min="10765" max="10765" width="3.875" customWidth="1"/>
    <col min="10767" max="10767" width="4" customWidth="1"/>
    <col min="10769" max="10769" width="4" customWidth="1"/>
    <col min="10770" max="10770" width="8.875" bestFit="1" customWidth="1"/>
    <col min="10771" max="10771" width="4" customWidth="1"/>
    <col min="10772" max="10772" width="8.875" bestFit="1" customWidth="1"/>
    <col min="10773" max="10773" width="5" customWidth="1"/>
    <col min="11009" max="11009" width="5" customWidth="1"/>
    <col min="11010" max="11010" width="0" hidden="1" customWidth="1"/>
    <col min="11011" max="11011" width="11.25" customWidth="1"/>
    <col min="11012" max="11012" width="8.875" bestFit="1" customWidth="1"/>
    <col min="11013" max="11013" width="4.25" customWidth="1"/>
    <col min="11015" max="11015" width="4" customWidth="1"/>
    <col min="11017" max="11017" width="4.125" customWidth="1"/>
    <col min="11019" max="11019" width="3.75" customWidth="1"/>
    <col min="11021" max="11021" width="3.875" customWidth="1"/>
    <col min="11023" max="11023" width="4" customWidth="1"/>
    <col min="11025" max="11025" width="4" customWidth="1"/>
    <col min="11026" max="11026" width="8.875" bestFit="1" customWidth="1"/>
    <col min="11027" max="11027" width="4" customWidth="1"/>
    <col min="11028" max="11028" width="8.875" bestFit="1" customWidth="1"/>
    <col min="11029" max="11029" width="5" customWidth="1"/>
    <col min="11265" max="11265" width="5" customWidth="1"/>
    <col min="11266" max="11266" width="0" hidden="1" customWidth="1"/>
    <col min="11267" max="11267" width="11.25" customWidth="1"/>
    <col min="11268" max="11268" width="8.875" bestFit="1" customWidth="1"/>
    <col min="11269" max="11269" width="4.25" customWidth="1"/>
    <col min="11271" max="11271" width="4" customWidth="1"/>
    <col min="11273" max="11273" width="4.125" customWidth="1"/>
    <col min="11275" max="11275" width="3.75" customWidth="1"/>
    <col min="11277" max="11277" width="3.875" customWidth="1"/>
    <col min="11279" max="11279" width="4" customWidth="1"/>
    <col min="11281" max="11281" width="4" customWidth="1"/>
    <col min="11282" max="11282" width="8.875" bestFit="1" customWidth="1"/>
    <col min="11283" max="11283" width="4" customWidth="1"/>
    <col min="11284" max="11284" width="8.875" bestFit="1" customWidth="1"/>
    <col min="11285" max="11285" width="5" customWidth="1"/>
    <col min="11521" max="11521" width="5" customWidth="1"/>
    <col min="11522" max="11522" width="0" hidden="1" customWidth="1"/>
    <col min="11523" max="11523" width="11.25" customWidth="1"/>
    <col min="11524" max="11524" width="8.875" bestFit="1" customWidth="1"/>
    <col min="11525" max="11525" width="4.25" customWidth="1"/>
    <col min="11527" max="11527" width="4" customWidth="1"/>
    <col min="11529" max="11529" width="4.125" customWidth="1"/>
    <col min="11531" max="11531" width="3.75" customWidth="1"/>
    <col min="11533" max="11533" width="3.875" customWidth="1"/>
    <col min="11535" max="11535" width="4" customWidth="1"/>
    <col min="11537" max="11537" width="4" customWidth="1"/>
    <col min="11538" max="11538" width="8.875" bestFit="1" customWidth="1"/>
    <col min="11539" max="11539" width="4" customWidth="1"/>
    <col min="11540" max="11540" width="8.875" bestFit="1" customWidth="1"/>
    <col min="11541" max="11541" width="5" customWidth="1"/>
    <col min="11777" max="11777" width="5" customWidth="1"/>
    <col min="11778" max="11778" width="0" hidden="1" customWidth="1"/>
    <col min="11779" max="11779" width="11.25" customWidth="1"/>
    <col min="11780" max="11780" width="8.875" bestFit="1" customWidth="1"/>
    <col min="11781" max="11781" width="4.25" customWidth="1"/>
    <col min="11783" max="11783" width="4" customWidth="1"/>
    <col min="11785" max="11785" width="4.125" customWidth="1"/>
    <col min="11787" max="11787" width="3.75" customWidth="1"/>
    <col min="11789" max="11789" width="3.875" customWidth="1"/>
    <col min="11791" max="11791" width="4" customWidth="1"/>
    <col min="11793" max="11793" width="4" customWidth="1"/>
    <col min="11794" max="11794" width="8.875" bestFit="1" customWidth="1"/>
    <col min="11795" max="11795" width="4" customWidth="1"/>
    <col min="11796" max="11796" width="8.875" bestFit="1" customWidth="1"/>
    <col min="11797" max="11797" width="5" customWidth="1"/>
    <col min="12033" max="12033" width="5" customWidth="1"/>
    <col min="12034" max="12034" width="0" hidden="1" customWidth="1"/>
    <col min="12035" max="12035" width="11.25" customWidth="1"/>
    <col min="12036" max="12036" width="8.875" bestFit="1" customWidth="1"/>
    <col min="12037" max="12037" width="4.25" customWidth="1"/>
    <col min="12039" max="12039" width="4" customWidth="1"/>
    <col min="12041" max="12041" width="4.125" customWidth="1"/>
    <col min="12043" max="12043" width="3.75" customWidth="1"/>
    <col min="12045" max="12045" width="3.875" customWidth="1"/>
    <col min="12047" max="12047" width="4" customWidth="1"/>
    <col min="12049" max="12049" width="4" customWidth="1"/>
    <col min="12050" max="12050" width="8.875" bestFit="1" customWidth="1"/>
    <col min="12051" max="12051" width="4" customWidth="1"/>
    <col min="12052" max="12052" width="8.875" bestFit="1" customWidth="1"/>
    <col min="12053" max="12053" width="5" customWidth="1"/>
    <col min="12289" max="12289" width="5" customWidth="1"/>
    <col min="12290" max="12290" width="0" hidden="1" customWidth="1"/>
    <col min="12291" max="12291" width="11.25" customWidth="1"/>
    <col min="12292" max="12292" width="8.875" bestFit="1" customWidth="1"/>
    <col min="12293" max="12293" width="4.25" customWidth="1"/>
    <col min="12295" max="12295" width="4" customWidth="1"/>
    <col min="12297" max="12297" width="4.125" customWidth="1"/>
    <col min="12299" max="12299" width="3.75" customWidth="1"/>
    <col min="12301" max="12301" width="3.875" customWidth="1"/>
    <col min="12303" max="12303" width="4" customWidth="1"/>
    <col min="12305" max="12305" width="4" customWidth="1"/>
    <col min="12306" max="12306" width="8.875" bestFit="1" customWidth="1"/>
    <col min="12307" max="12307" width="4" customWidth="1"/>
    <col min="12308" max="12308" width="8.875" bestFit="1" customWidth="1"/>
    <col min="12309" max="12309" width="5" customWidth="1"/>
    <col min="12545" max="12545" width="5" customWidth="1"/>
    <col min="12546" max="12546" width="0" hidden="1" customWidth="1"/>
    <col min="12547" max="12547" width="11.25" customWidth="1"/>
    <col min="12548" max="12548" width="8.875" bestFit="1" customWidth="1"/>
    <col min="12549" max="12549" width="4.25" customWidth="1"/>
    <col min="12551" max="12551" width="4" customWidth="1"/>
    <col min="12553" max="12553" width="4.125" customWidth="1"/>
    <col min="12555" max="12555" width="3.75" customWidth="1"/>
    <col min="12557" max="12557" width="3.875" customWidth="1"/>
    <col min="12559" max="12559" width="4" customWidth="1"/>
    <col min="12561" max="12561" width="4" customWidth="1"/>
    <col min="12562" max="12562" width="8.875" bestFit="1" customWidth="1"/>
    <col min="12563" max="12563" width="4" customWidth="1"/>
    <col min="12564" max="12564" width="8.875" bestFit="1" customWidth="1"/>
    <col min="12565" max="12565" width="5" customWidth="1"/>
    <col min="12801" max="12801" width="5" customWidth="1"/>
    <col min="12802" max="12802" width="0" hidden="1" customWidth="1"/>
    <col min="12803" max="12803" width="11.25" customWidth="1"/>
    <col min="12804" max="12804" width="8.875" bestFit="1" customWidth="1"/>
    <col min="12805" max="12805" width="4.25" customWidth="1"/>
    <col min="12807" max="12807" width="4" customWidth="1"/>
    <col min="12809" max="12809" width="4.125" customWidth="1"/>
    <col min="12811" max="12811" width="3.75" customWidth="1"/>
    <col min="12813" max="12813" width="3.875" customWidth="1"/>
    <col min="12815" max="12815" width="4" customWidth="1"/>
    <col min="12817" max="12817" width="4" customWidth="1"/>
    <col min="12818" max="12818" width="8.875" bestFit="1" customWidth="1"/>
    <col min="12819" max="12819" width="4" customWidth="1"/>
    <col min="12820" max="12820" width="8.875" bestFit="1" customWidth="1"/>
    <col min="12821" max="12821" width="5" customWidth="1"/>
    <col min="13057" max="13057" width="5" customWidth="1"/>
    <col min="13058" max="13058" width="0" hidden="1" customWidth="1"/>
    <col min="13059" max="13059" width="11.25" customWidth="1"/>
    <col min="13060" max="13060" width="8.875" bestFit="1" customWidth="1"/>
    <col min="13061" max="13061" width="4.25" customWidth="1"/>
    <col min="13063" max="13063" width="4" customWidth="1"/>
    <col min="13065" max="13065" width="4.125" customWidth="1"/>
    <col min="13067" max="13067" width="3.75" customWidth="1"/>
    <col min="13069" max="13069" width="3.875" customWidth="1"/>
    <col min="13071" max="13071" width="4" customWidth="1"/>
    <col min="13073" max="13073" width="4" customWidth="1"/>
    <col min="13074" max="13074" width="8.875" bestFit="1" customWidth="1"/>
    <col min="13075" max="13075" width="4" customWidth="1"/>
    <col min="13076" max="13076" width="8.875" bestFit="1" customWidth="1"/>
    <col min="13077" max="13077" width="5" customWidth="1"/>
    <col min="13313" max="13313" width="5" customWidth="1"/>
    <col min="13314" max="13314" width="0" hidden="1" customWidth="1"/>
    <col min="13315" max="13315" width="11.25" customWidth="1"/>
    <col min="13316" max="13316" width="8.875" bestFit="1" customWidth="1"/>
    <col min="13317" max="13317" width="4.25" customWidth="1"/>
    <col min="13319" max="13319" width="4" customWidth="1"/>
    <col min="13321" max="13321" width="4.125" customWidth="1"/>
    <col min="13323" max="13323" width="3.75" customWidth="1"/>
    <col min="13325" max="13325" width="3.875" customWidth="1"/>
    <col min="13327" max="13327" width="4" customWidth="1"/>
    <col min="13329" max="13329" width="4" customWidth="1"/>
    <col min="13330" max="13330" width="8.875" bestFit="1" customWidth="1"/>
    <col min="13331" max="13331" width="4" customWidth="1"/>
    <col min="13332" max="13332" width="8.875" bestFit="1" customWidth="1"/>
    <col min="13333" max="13333" width="5" customWidth="1"/>
    <col min="13569" max="13569" width="5" customWidth="1"/>
    <col min="13570" max="13570" width="0" hidden="1" customWidth="1"/>
    <col min="13571" max="13571" width="11.25" customWidth="1"/>
    <col min="13572" max="13572" width="8.875" bestFit="1" customWidth="1"/>
    <col min="13573" max="13573" width="4.25" customWidth="1"/>
    <col min="13575" max="13575" width="4" customWidth="1"/>
    <col min="13577" max="13577" width="4.125" customWidth="1"/>
    <col min="13579" max="13579" width="3.75" customWidth="1"/>
    <col min="13581" max="13581" width="3.875" customWidth="1"/>
    <col min="13583" max="13583" width="4" customWidth="1"/>
    <col min="13585" max="13585" width="4" customWidth="1"/>
    <col min="13586" max="13586" width="8.875" bestFit="1" customWidth="1"/>
    <col min="13587" max="13587" width="4" customWidth="1"/>
    <col min="13588" max="13588" width="8.875" bestFit="1" customWidth="1"/>
    <col min="13589" max="13589" width="5" customWidth="1"/>
    <col min="13825" max="13825" width="5" customWidth="1"/>
    <col min="13826" max="13826" width="0" hidden="1" customWidth="1"/>
    <col min="13827" max="13827" width="11.25" customWidth="1"/>
    <col min="13828" max="13828" width="8.875" bestFit="1" customWidth="1"/>
    <col min="13829" max="13829" width="4.25" customWidth="1"/>
    <col min="13831" max="13831" width="4" customWidth="1"/>
    <col min="13833" max="13833" width="4.125" customWidth="1"/>
    <col min="13835" max="13835" width="3.75" customWidth="1"/>
    <col min="13837" max="13837" width="3.875" customWidth="1"/>
    <col min="13839" max="13839" width="4" customWidth="1"/>
    <col min="13841" max="13841" width="4" customWidth="1"/>
    <col min="13842" max="13842" width="8.875" bestFit="1" customWidth="1"/>
    <col min="13843" max="13843" width="4" customWidth="1"/>
    <col min="13844" max="13844" width="8.875" bestFit="1" customWidth="1"/>
    <col min="13845" max="13845" width="5" customWidth="1"/>
    <col min="14081" max="14081" width="5" customWidth="1"/>
    <col min="14082" max="14082" width="0" hidden="1" customWidth="1"/>
    <col min="14083" max="14083" width="11.25" customWidth="1"/>
    <col min="14084" max="14084" width="8.875" bestFit="1" customWidth="1"/>
    <col min="14085" max="14085" width="4.25" customWidth="1"/>
    <col min="14087" max="14087" width="4" customWidth="1"/>
    <col min="14089" max="14089" width="4.125" customWidth="1"/>
    <col min="14091" max="14091" width="3.75" customWidth="1"/>
    <col min="14093" max="14093" width="3.875" customWidth="1"/>
    <col min="14095" max="14095" width="4" customWidth="1"/>
    <col min="14097" max="14097" width="4" customWidth="1"/>
    <col min="14098" max="14098" width="8.875" bestFit="1" customWidth="1"/>
    <col min="14099" max="14099" width="4" customWidth="1"/>
    <col min="14100" max="14100" width="8.875" bestFit="1" customWidth="1"/>
    <col min="14101" max="14101" width="5" customWidth="1"/>
    <col min="14337" max="14337" width="5" customWidth="1"/>
    <col min="14338" max="14338" width="0" hidden="1" customWidth="1"/>
    <col min="14339" max="14339" width="11.25" customWidth="1"/>
    <col min="14340" max="14340" width="8.875" bestFit="1" customWidth="1"/>
    <col min="14341" max="14341" width="4.25" customWidth="1"/>
    <col min="14343" max="14343" width="4" customWidth="1"/>
    <col min="14345" max="14345" width="4.125" customWidth="1"/>
    <col min="14347" max="14347" width="3.75" customWidth="1"/>
    <col min="14349" max="14349" width="3.875" customWidth="1"/>
    <col min="14351" max="14351" width="4" customWidth="1"/>
    <col min="14353" max="14353" width="4" customWidth="1"/>
    <col min="14354" max="14354" width="8.875" bestFit="1" customWidth="1"/>
    <col min="14355" max="14355" width="4" customWidth="1"/>
    <col min="14356" max="14356" width="8.875" bestFit="1" customWidth="1"/>
    <col min="14357" max="14357" width="5" customWidth="1"/>
    <col min="14593" max="14593" width="5" customWidth="1"/>
    <col min="14594" max="14594" width="0" hidden="1" customWidth="1"/>
    <col min="14595" max="14595" width="11.25" customWidth="1"/>
    <col min="14596" max="14596" width="8.875" bestFit="1" customWidth="1"/>
    <col min="14597" max="14597" width="4.25" customWidth="1"/>
    <col min="14599" max="14599" width="4" customWidth="1"/>
    <col min="14601" max="14601" width="4.125" customWidth="1"/>
    <col min="14603" max="14603" width="3.75" customWidth="1"/>
    <col min="14605" max="14605" width="3.875" customWidth="1"/>
    <col min="14607" max="14607" width="4" customWidth="1"/>
    <col min="14609" max="14609" width="4" customWidth="1"/>
    <col min="14610" max="14610" width="8.875" bestFit="1" customWidth="1"/>
    <col min="14611" max="14611" width="4" customWidth="1"/>
    <col min="14612" max="14612" width="8.875" bestFit="1" customWidth="1"/>
    <col min="14613" max="14613" width="5" customWidth="1"/>
    <col min="14849" max="14849" width="5" customWidth="1"/>
    <col min="14850" max="14850" width="0" hidden="1" customWidth="1"/>
    <col min="14851" max="14851" width="11.25" customWidth="1"/>
    <col min="14852" max="14852" width="8.875" bestFit="1" customWidth="1"/>
    <col min="14853" max="14853" width="4.25" customWidth="1"/>
    <col min="14855" max="14855" width="4" customWidth="1"/>
    <col min="14857" max="14857" width="4.125" customWidth="1"/>
    <col min="14859" max="14859" width="3.75" customWidth="1"/>
    <col min="14861" max="14861" width="3.875" customWidth="1"/>
    <col min="14863" max="14863" width="4" customWidth="1"/>
    <col min="14865" max="14865" width="4" customWidth="1"/>
    <col min="14866" max="14866" width="8.875" bestFit="1" customWidth="1"/>
    <col min="14867" max="14867" width="4" customWidth="1"/>
    <col min="14868" max="14868" width="8.875" bestFit="1" customWidth="1"/>
    <col min="14869" max="14869" width="5" customWidth="1"/>
    <col min="15105" max="15105" width="5" customWidth="1"/>
    <col min="15106" max="15106" width="0" hidden="1" customWidth="1"/>
    <col min="15107" max="15107" width="11.25" customWidth="1"/>
    <col min="15108" max="15108" width="8.875" bestFit="1" customWidth="1"/>
    <col min="15109" max="15109" width="4.25" customWidth="1"/>
    <col min="15111" max="15111" width="4" customWidth="1"/>
    <col min="15113" max="15113" width="4.125" customWidth="1"/>
    <col min="15115" max="15115" width="3.75" customWidth="1"/>
    <col min="15117" max="15117" width="3.875" customWidth="1"/>
    <col min="15119" max="15119" width="4" customWidth="1"/>
    <col min="15121" max="15121" width="4" customWidth="1"/>
    <col min="15122" max="15122" width="8.875" bestFit="1" customWidth="1"/>
    <col min="15123" max="15123" width="4" customWidth="1"/>
    <col min="15124" max="15124" width="8.875" bestFit="1" customWidth="1"/>
    <col min="15125" max="15125" width="5" customWidth="1"/>
    <col min="15361" max="15361" width="5" customWidth="1"/>
    <col min="15362" max="15362" width="0" hidden="1" customWidth="1"/>
    <col min="15363" max="15363" width="11.25" customWidth="1"/>
    <col min="15364" max="15364" width="8.875" bestFit="1" customWidth="1"/>
    <col min="15365" max="15365" width="4.25" customWidth="1"/>
    <col min="15367" max="15367" width="4" customWidth="1"/>
    <col min="15369" max="15369" width="4.125" customWidth="1"/>
    <col min="15371" max="15371" width="3.75" customWidth="1"/>
    <col min="15373" max="15373" width="3.875" customWidth="1"/>
    <col min="15375" max="15375" width="4" customWidth="1"/>
    <col min="15377" max="15377" width="4" customWidth="1"/>
    <col min="15378" max="15378" width="8.875" bestFit="1" customWidth="1"/>
    <col min="15379" max="15379" width="4" customWidth="1"/>
    <col min="15380" max="15380" width="8.875" bestFit="1" customWidth="1"/>
    <col min="15381" max="15381" width="5" customWidth="1"/>
    <col min="15617" max="15617" width="5" customWidth="1"/>
    <col min="15618" max="15618" width="0" hidden="1" customWidth="1"/>
    <col min="15619" max="15619" width="11.25" customWidth="1"/>
    <col min="15620" max="15620" width="8.875" bestFit="1" customWidth="1"/>
    <col min="15621" max="15621" width="4.25" customWidth="1"/>
    <col min="15623" max="15623" width="4" customWidth="1"/>
    <col min="15625" max="15625" width="4.125" customWidth="1"/>
    <col min="15627" max="15627" width="3.75" customWidth="1"/>
    <col min="15629" max="15629" width="3.875" customWidth="1"/>
    <col min="15631" max="15631" width="4" customWidth="1"/>
    <col min="15633" max="15633" width="4" customWidth="1"/>
    <col min="15634" max="15634" width="8.875" bestFit="1" customWidth="1"/>
    <col min="15635" max="15635" width="4" customWidth="1"/>
    <col min="15636" max="15636" width="8.875" bestFit="1" customWidth="1"/>
    <col min="15637" max="15637" width="5" customWidth="1"/>
    <col min="15873" max="15873" width="5" customWidth="1"/>
    <col min="15874" max="15874" width="0" hidden="1" customWidth="1"/>
    <col min="15875" max="15875" width="11.25" customWidth="1"/>
    <col min="15876" max="15876" width="8.875" bestFit="1" customWidth="1"/>
    <col min="15877" max="15877" width="4.25" customWidth="1"/>
    <col min="15879" max="15879" width="4" customWidth="1"/>
    <col min="15881" max="15881" width="4.125" customWidth="1"/>
    <col min="15883" max="15883" width="3.75" customWidth="1"/>
    <col min="15885" max="15885" width="3.875" customWidth="1"/>
    <col min="15887" max="15887" width="4" customWidth="1"/>
    <col min="15889" max="15889" width="4" customWidth="1"/>
    <col min="15890" max="15890" width="8.875" bestFit="1" customWidth="1"/>
    <col min="15891" max="15891" width="4" customWidth="1"/>
    <col min="15892" max="15892" width="8.875" bestFit="1" customWidth="1"/>
    <col min="15893" max="15893" width="5" customWidth="1"/>
    <col min="16129" max="16129" width="5" customWidth="1"/>
    <col min="16130" max="16130" width="0" hidden="1" customWidth="1"/>
    <col min="16131" max="16131" width="11.25" customWidth="1"/>
    <col min="16132" max="16132" width="8.875" bestFit="1" customWidth="1"/>
    <col min="16133" max="16133" width="4.25" customWidth="1"/>
    <col min="16135" max="16135" width="4" customWidth="1"/>
    <col min="16137" max="16137" width="4.125" customWidth="1"/>
    <col min="16139" max="16139" width="3.75" customWidth="1"/>
    <col min="16141" max="16141" width="3.875" customWidth="1"/>
    <col min="16143" max="16143" width="4" customWidth="1"/>
    <col min="16145" max="16145" width="4" customWidth="1"/>
    <col min="16146" max="16146" width="8.875" bestFit="1" customWidth="1"/>
    <col min="16147" max="16147" width="4" customWidth="1"/>
    <col min="16148" max="16148" width="8.875" bestFit="1" customWidth="1"/>
    <col min="16149" max="16149" width="5" customWidth="1"/>
  </cols>
  <sheetData>
    <row r="1" spans="1:21" s="123" customFormat="1" ht="12.75" x14ac:dyDescent="0.2">
      <c r="B1" s="123" t="s">
        <v>183</v>
      </c>
      <c r="D1" s="133" t="s">
        <v>186</v>
      </c>
      <c r="E1" s="125"/>
      <c r="F1" s="133" t="s">
        <v>209</v>
      </c>
      <c r="G1" s="125"/>
      <c r="H1" s="133" t="s">
        <v>210</v>
      </c>
      <c r="I1" s="125"/>
      <c r="J1" s="133" t="s">
        <v>211</v>
      </c>
      <c r="K1" s="125"/>
      <c r="L1" s="133" t="s">
        <v>212</v>
      </c>
      <c r="M1" s="125"/>
      <c r="N1" s="133" t="s">
        <v>213</v>
      </c>
      <c r="O1" s="125"/>
      <c r="P1" s="133" t="s">
        <v>214</v>
      </c>
      <c r="Q1" s="125"/>
      <c r="R1" s="133" t="s">
        <v>186</v>
      </c>
      <c r="S1" s="125"/>
      <c r="T1" s="133" t="s">
        <v>186</v>
      </c>
      <c r="U1" s="125"/>
    </row>
    <row r="2" spans="1:21" s="123" customFormat="1" ht="12.75" x14ac:dyDescent="0.2">
      <c r="B2" s="123" t="s">
        <v>190</v>
      </c>
      <c r="C2" s="123" t="s">
        <v>191</v>
      </c>
      <c r="D2" s="133" t="s">
        <v>199</v>
      </c>
      <c r="E2" s="125"/>
      <c r="F2" s="133" t="s">
        <v>215</v>
      </c>
      <c r="G2" s="125"/>
      <c r="H2" s="133" t="s">
        <v>215</v>
      </c>
      <c r="I2" s="125"/>
      <c r="J2" s="133"/>
      <c r="K2" s="125"/>
      <c r="L2" s="133" t="s">
        <v>216</v>
      </c>
      <c r="M2" s="125"/>
      <c r="N2" s="133" t="s">
        <v>217</v>
      </c>
      <c r="O2" s="125"/>
      <c r="P2" s="133"/>
      <c r="Q2" s="125"/>
      <c r="R2" s="133" t="s">
        <v>218</v>
      </c>
      <c r="S2" s="125"/>
      <c r="T2" s="133" t="s">
        <v>196</v>
      </c>
      <c r="U2" s="125"/>
    </row>
    <row r="3" spans="1:21" s="123" customFormat="1" ht="12.75" x14ac:dyDescent="0.2">
      <c r="A3" s="126"/>
      <c r="B3" s="126"/>
      <c r="C3" s="126"/>
      <c r="D3" s="134" t="s">
        <v>201</v>
      </c>
      <c r="E3" s="128" t="s">
        <v>202</v>
      </c>
      <c r="F3" s="134" t="s">
        <v>201</v>
      </c>
      <c r="G3" s="128" t="s">
        <v>202</v>
      </c>
      <c r="H3" s="134" t="s">
        <v>201</v>
      </c>
      <c r="I3" s="128" t="s">
        <v>202</v>
      </c>
      <c r="J3" s="134" t="s">
        <v>201</v>
      </c>
      <c r="K3" s="128" t="s">
        <v>202</v>
      </c>
      <c r="L3" s="134" t="s">
        <v>201</v>
      </c>
      <c r="M3" s="128" t="s">
        <v>202</v>
      </c>
      <c r="N3" s="134" t="s">
        <v>201</v>
      </c>
      <c r="O3" s="128" t="s">
        <v>202</v>
      </c>
      <c r="P3" s="134" t="s">
        <v>201</v>
      </c>
      <c r="Q3" s="128" t="s">
        <v>202</v>
      </c>
      <c r="R3" s="134" t="s">
        <v>201</v>
      </c>
      <c r="S3" s="128" t="s">
        <v>202</v>
      </c>
      <c r="T3" s="134" t="s">
        <v>201</v>
      </c>
      <c r="U3" s="128" t="s">
        <v>202</v>
      </c>
    </row>
    <row r="4" spans="1:21" hidden="1" x14ac:dyDescent="0.2">
      <c r="D4" s="129">
        <v>585730</v>
      </c>
      <c r="E4" s="135">
        <v>89.114228334956181</v>
      </c>
      <c r="F4" s="129">
        <v>0</v>
      </c>
      <c r="G4" s="135">
        <v>0</v>
      </c>
      <c r="H4" s="129">
        <v>38288</v>
      </c>
      <c r="I4" s="135">
        <v>5.8252190847127556</v>
      </c>
      <c r="J4" s="129">
        <v>0</v>
      </c>
      <c r="K4" s="135">
        <v>0</v>
      </c>
      <c r="L4" s="129">
        <v>0</v>
      </c>
      <c r="M4" s="135">
        <v>0</v>
      </c>
      <c r="N4" s="129">
        <v>9736</v>
      </c>
      <c r="O4" s="135">
        <v>1.4812560856864654</v>
      </c>
      <c r="P4" s="129">
        <v>12880</v>
      </c>
      <c r="Q4" s="135">
        <v>1.9595910418695228</v>
      </c>
      <c r="R4" s="129">
        <v>10646</v>
      </c>
      <c r="S4" s="135">
        <v>1.6197054527750732</v>
      </c>
      <c r="T4" s="129">
        <v>657280</v>
      </c>
      <c r="U4" s="135">
        <v>100</v>
      </c>
    </row>
    <row r="5" spans="1:21" hidden="1" x14ac:dyDescent="0.2">
      <c r="D5" s="129">
        <v>251438</v>
      </c>
      <c r="E5" s="135">
        <v>84.638740776646742</v>
      </c>
      <c r="F5" s="129">
        <v>796</v>
      </c>
      <c r="G5" s="135">
        <v>0.26794851079872894</v>
      </c>
      <c r="H5" s="129">
        <v>16164</v>
      </c>
      <c r="I5" s="135">
        <v>5.4411051866214244</v>
      </c>
      <c r="J5" s="129">
        <v>225</v>
      </c>
      <c r="K5" s="135">
        <v>7.5739214735821625E-2</v>
      </c>
      <c r="L5" s="129">
        <v>0</v>
      </c>
      <c r="M5" s="135">
        <v>0</v>
      </c>
      <c r="N5" s="129">
        <v>16221</v>
      </c>
      <c r="O5" s="135">
        <v>5.4602924543544997</v>
      </c>
      <c r="P5" s="129">
        <v>4933</v>
      </c>
      <c r="Q5" s="135">
        <v>1.660540205741369</v>
      </c>
      <c r="R5" s="129">
        <v>7295</v>
      </c>
      <c r="S5" s="135">
        <v>2.4556336511014165</v>
      </c>
      <c r="T5" s="129">
        <v>297072</v>
      </c>
      <c r="U5" s="135">
        <v>100</v>
      </c>
    </row>
    <row r="6" spans="1:21" hidden="1" x14ac:dyDescent="0.2">
      <c r="D6" s="129">
        <v>476860</v>
      </c>
      <c r="E6" s="135">
        <v>81.905857902285277</v>
      </c>
      <c r="F6" s="129">
        <v>0</v>
      </c>
      <c r="G6" s="135">
        <v>0</v>
      </c>
      <c r="H6" s="129">
        <v>14881</v>
      </c>
      <c r="I6" s="135">
        <v>2.5559725526232167</v>
      </c>
      <c r="J6" s="129">
        <v>55</v>
      </c>
      <c r="K6" s="135">
        <v>9.4468443245935719E-3</v>
      </c>
      <c r="L6" s="129">
        <v>0</v>
      </c>
      <c r="M6" s="135">
        <v>0</v>
      </c>
      <c r="N6" s="129">
        <v>54240</v>
      </c>
      <c r="O6" s="135">
        <v>9.3163061121082773</v>
      </c>
      <c r="P6" s="129">
        <v>8647</v>
      </c>
      <c r="Q6" s="135">
        <v>1.4852156886320111</v>
      </c>
      <c r="R6" s="129">
        <v>27522</v>
      </c>
      <c r="S6" s="135">
        <v>4.7272009000266229</v>
      </c>
      <c r="T6" s="129">
        <v>582205</v>
      </c>
      <c r="U6" s="135">
        <v>100</v>
      </c>
    </row>
    <row r="7" spans="1:21" hidden="1" x14ac:dyDescent="0.2">
      <c r="D7" s="129">
        <v>618591</v>
      </c>
      <c r="E7" s="135">
        <v>76.17862460238392</v>
      </c>
      <c r="F7" s="129">
        <v>467</v>
      </c>
      <c r="G7" s="135">
        <v>5.7510402979211277E-2</v>
      </c>
      <c r="H7" s="129">
        <v>62719</v>
      </c>
      <c r="I7" s="135">
        <v>7.7237579538611403</v>
      </c>
      <c r="J7" s="129">
        <v>17958</v>
      </c>
      <c r="K7" s="135">
        <v>2.2115028194875297</v>
      </c>
      <c r="L7" s="129">
        <v>0</v>
      </c>
      <c r="M7" s="135">
        <v>0</v>
      </c>
      <c r="N7" s="129">
        <v>58020</v>
      </c>
      <c r="O7" s="135">
        <v>7.1450826142480484</v>
      </c>
      <c r="P7" s="129">
        <v>8592</v>
      </c>
      <c r="Q7" s="135">
        <v>1.0580928959258744</v>
      </c>
      <c r="R7" s="129">
        <v>45680</v>
      </c>
      <c r="S7" s="135">
        <v>5.625428711114286</v>
      </c>
      <c r="T7" s="129">
        <v>812027</v>
      </c>
      <c r="U7" s="135">
        <v>100</v>
      </c>
    </row>
    <row r="8" spans="1:21" hidden="1" x14ac:dyDescent="0.2">
      <c r="D8" s="129">
        <v>935763</v>
      </c>
      <c r="E8" s="135">
        <v>89.012284142859045</v>
      </c>
      <c r="F8" s="129">
        <v>245</v>
      </c>
      <c r="G8" s="135">
        <v>2.3305056531408557E-2</v>
      </c>
      <c r="H8" s="129">
        <v>75203</v>
      </c>
      <c r="I8" s="135">
        <v>7.7237579538611403</v>
      </c>
      <c r="J8" s="129">
        <v>494</v>
      </c>
      <c r="K8" s="135">
        <v>4.6990603781697254E-2</v>
      </c>
      <c r="L8" s="129">
        <v>0</v>
      </c>
      <c r="M8" s="135">
        <v>0</v>
      </c>
      <c r="N8" s="129">
        <v>22866</v>
      </c>
      <c r="O8" s="135">
        <v>2.1750751944783189</v>
      </c>
      <c r="P8" s="129">
        <v>2988</v>
      </c>
      <c r="Q8" s="135">
        <v>0.28422656700346438</v>
      </c>
      <c r="R8" s="129">
        <v>13715</v>
      </c>
      <c r="S8" s="135">
        <v>1.3046075523602791</v>
      </c>
      <c r="T8" s="129">
        <v>1051274</v>
      </c>
      <c r="U8" s="135">
        <v>100</v>
      </c>
    </row>
    <row r="9" spans="1:21" hidden="1" x14ac:dyDescent="0.2">
      <c r="D9" s="129">
        <v>164810</v>
      </c>
      <c r="E9" s="135">
        <v>91.649705826743627</v>
      </c>
      <c r="F9" s="129">
        <v>0</v>
      </c>
      <c r="G9" s="135">
        <v>0</v>
      </c>
      <c r="H9" s="129">
        <v>2458</v>
      </c>
      <c r="I9" s="135">
        <v>1.36687686986309</v>
      </c>
      <c r="J9" s="129">
        <v>110</v>
      </c>
      <c r="K9" s="135">
        <v>6.1170242345378309E-2</v>
      </c>
      <c r="L9" s="129">
        <v>0</v>
      </c>
      <c r="M9" s="135">
        <v>0</v>
      </c>
      <c r="N9" s="129">
        <v>11433</v>
      </c>
      <c r="O9" s="135">
        <v>6.357812552133729</v>
      </c>
      <c r="P9" s="129">
        <v>129</v>
      </c>
      <c r="Q9" s="135">
        <v>7.1736011477761846E-2</v>
      </c>
      <c r="R9" s="129">
        <v>886</v>
      </c>
      <c r="S9" s="135">
        <v>0.49269849743641075</v>
      </c>
      <c r="T9" s="129">
        <v>179826</v>
      </c>
      <c r="U9" s="135">
        <v>100</v>
      </c>
    </row>
    <row r="10" spans="1:21" hidden="1" x14ac:dyDescent="0.2">
      <c r="D10" s="129">
        <v>235521</v>
      </c>
      <c r="E10" s="135">
        <v>92.134633665457883</v>
      </c>
      <c r="F10" s="129">
        <v>0</v>
      </c>
      <c r="G10" s="135">
        <v>0</v>
      </c>
      <c r="H10" s="129">
        <v>11696</v>
      </c>
      <c r="I10" s="135">
        <v>4.5754165248584853</v>
      </c>
      <c r="J10" s="129">
        <v>2604</v>
      </c>
      <c r="K10" s="135">
        <v>1.0186717365536506</v>
      </c>
      <c r="L10" s="129">
        <v>0</v>
      </c>
      <c r="M10" s="135">
        <v>0</v>
      </c>
      <c r="N10" s="129">
        <v>5188</v>
      </c>
      <c r="O10" s="135">
        <v>2.0295195734409903</v>
      </c>
      <c r="P10" s="129">
        <v>0</v>
      </c>
      <c r="Q10" s="135">
        <v>0</v>
      </c>
      <c r="R10" s="129">
        <v>618</v>
      </c>
      <c r="S10" s="135">
        <v>0.24175849968899998</v>
      </c>
      <c r="T10" s="129">
        <v>255627</v>
      </c>
      <c r="U10" s="135">
        <v>100</v>
      </c>
    </row>
    <row r="11" spans="1:21" x14ac:dyDescent="0.2">
      <c r="A11">
        <v>2011</v>
      </c>
      <c r="B11">
        <v>1</v>
      </c>
      <c r="C11" t="s">
        <v>31</v>
      </c>
      <c r="D11" s="129">
        <v>3268713</v>
      </c>
      <c r="E11" s="135">
        <v>85.226804293054727</v>
      </c>
      <c r="F11" s="129">
        <v>1508</v>
      </c>
      <c r="G11" s="135">
        <v>3.931884532962255E-2</v>
      </c>
      <c r="H11" s="129">
        <v>221409</v>
      </c>
      <c r="I11" s="135">
        <v>5.772908637656764</v>
      </c>
      <c r="J11" s="129">
        <v>21446</v>
      </c>
      <c r="K11" s="135">
        <v>0.55917238523812018</v>
      </c>
      <c r="L11" s="129">
        <v>0</v>
      </c>
      <c r="M11" s="135">
        <v>0</v>
      </c>
      <c r="N11" s="129">
        <v>177704</v>
      </c>
      <c r="O11" s="135">
        <v>4.6333661077289428</v>
      </c>
      <c r="P11" s="129">
        <v>38169</v>
      </c>
      <c r="Q11" s="135">
        <v>0.99519960702013477</v>
      </c>
      <c r="R11" s="129">
        <v>106362</v>
      </c>
      <c r="S11" s="135">
        <v>2.7732301239716937</v>
      </c>
      <c r="T11" s="129">
        <v>3835311</v>
      </c>
      <c r="U11" s="135">
        <v>100</v>
      </c>
    </row>
    <row r="12" spans="1:21" hidden="1" x14ac:dyDescent="0.2">
      <c r="D12" s="129">
        <v>29584429</v>
      </c>
      <c r="E12" s="135">
        <v>57.573932262207236</v>
      </c>
      <c r="F12" s="129">
        <v>1377896</v>
      </c>
      <c r="G12" s="135">
        <v>2.6815082680272893</v>
      </c>
      <c r="H12" s="129">
        <v>447514</v>
      </c>
      <c r="I12" s="135">
        <v>0.87090207900883976</v>
      </c>
      <c r="J12" s="129">
        <v>604623</v>
      </c>
      <c r="K12" s="135">
        <v>1.1766501779085385</v>
      </c>
      <c r="L12" s="129">
        <v>348372</v>
      </c>
      <c r="M12" s="135">
        <v>0.67796292198337382</v>
      </c>
      <c r="N12" s="129">
        <v>2418483</v>
      </c>
      <c r="O12" s="135">
        <v>4.7065831968330283</v>
      </c>
      <c r="P12" s="129">
        <v>312841</v>
      </c>
      <c r="Q12" s="135">
        <v>0.60881643322712675</v>
      </c>
      <c r="R12" s="129">
        <v>16290953</v>
      </c>
      <c r="S12" s="135">
        <v>31.703644660804564</v>
      </c>
      <c r="T12" s="129">
        <v>51385111</v>
      </c>
      <c r="U12" s="135">
        <v>100</v>
      </c>
    </row>
    <row r="13" spans="1:21" hidden="1" x14ac:dyDescent="0.2">
      <c r="D13" s="129">
        <v>229386</v>
      </c>
      <c r="E13" s="135">
        <v>89.727632242897442</v>
      </c>
      <c r="F13" s="129">
        <v>882</v>
      </c>
      <c r="G13" s="135">
        <v>0.34500698228416532</v>
      </c>
      <c r="H13" s="129">
        <v>2996</v>
      </c>
      <c r="I13" s="135">
        <v>1.1719284795049423</v>
      </c>
      <c r="J13" s="129">
        <v>86</v>
      </c>
      <c r="K13" s="135">
        <v>3.3640136594601154E-2</v>
      </c>
      <c r="L13" s="129">
        <v>0</v>
      </c>
      <c r="M13" s="135">
        <v>0</v>
      </c>
      <c r="N13" s="129">
        <v>15941</v>
      </c>
      <c r="O13" s="135">
        <v>6.2355513657504291</v>
      </c>
      <c r="P13" s="129">
        <v>256</v>
      </c>
      <c r="Q13" s="135">
        <v>0.10013808102578947</v>
      </c>
      <c r="R13" s="129">
        <v>6100</v>
      </c>
      <c r="S13" s="135">
        <v>2.3861027119426397</v>
      </c>
      <c r="T13" s="129">
        <v>255647</v>
      </c>
      <c r="U13" s="135">
        <v>100</v>
      </c>
    </row>
    <row r="14" spans="1:21" hidden="1" x14ac:dyDescent="0.2">
      <c r="D14" s="129">
        <v>1386218</v>
      </c>
      <c r="E14" s="135">
        <v>89.817548729372263</v>
      </c>
      <c r="F14" s="129">
        <v>34228</v>
      </c>
      <c r="G14" s="135">
        <v>2.2177428499045271</v>
      </c>
      <c r="H14" s="129">
        <v>31165</v>
      </c>
      <c r="I14" s="135">
        <v>2.0192811708915093</v>
      </c>
      <c r="J14" s="129">
        <v>855</v>
      </c>
      <c r="K14" s="135">
        <v>5.5398215983065636E-2</v>
      </c>
      <c r="L14" s="129">
        <v>633</v>
      </c>
      <c r="M14" s="135">
        <v>4.1014117797988948E-2</v>
      </c>
      <c r="N14" s="129">
        <v>31986</v>
      </c>
      <c r="O14" s="135">
        <v>2.072476416882266</v>
      </c>
      <c r="P14" s="129">
        <v>1130</v>
      </c>
      <c r="Q14" s="135">
        <v>7.3216355626741725E-2</v>
      </c>
      <c r="R14" s="129">
        <v>57156</v>
      </c>
      <c r="S14" s="135">
        <v>3.7033221435416368</v>
      </c>
      <c r="T14" s="129">
        <v>1543371</v>
      </c>
      <c r="U14" s="135">
        <v>100</v>
      </c>
    </row>
    <row r="15" spans="1:21" x14ac:dyDescent="0.2">
      <c r="A15">
        <v>2011</v>
      </c>
      <c r="B15">
        <v>2</v>
      </c>
      <c r="C15" t="s">
        <v>21</v>
      </c>
      <c r="D15" s="129">
        <v>31200033</v>
      </c>
      <c r="E15" s="135">
        <v>58.664179684130957</v>
      </c>
      <c r="F15" s="129">
        <v>1413006</v>
      </c>
      <c r="G15" s="135">
        <v>2.6568189167862464</v>
      </c>
      <c r="H15" s="129">
        <v>481675</v>
      </c>
      <c r="I15" s="135">
        <v>0.90567432250324154</v>
      </c>
      <c r="J15" s="129">
        <v>605564</v>
      </c>
      <c r="K15" s="135">
        <v>1.1386178760208709</v>
      </c>
      <c r="L15" s="129">
        <v>349005</v>
      </c>
      <c r="M15" s="135">
        <v>0.65622020433953143</v>
      </c>
      <c r="N15" s="129">
        <v>2466410</v>
      </c>
      <c r="O15" s="135">
        <v>4.6374925120988637</v>
      </c>
      <c r="P15" s="129">
        <v>314227</v>
      </c>
      <c r="Q15" s="135">
        <v>0.59082851577770501</v>
      </c>
      <c r="R15" s="129">
        <v>16354209</v>
      </c>
      <c r="S15" s="135">
        <v>30.750167968342584</v>
      </c>
      <c r="T15" s="129">
        <v>53184129</v>
      </c>
      <c r="U15" s="135">
        <v>100</v>
      </c>
    </row>
    <row r="16" spans="1:21" hidden="1" x14ac:dyDescent="0.2">
      <c r="D16" s="129">
        <v>535862</v>
      </c>
      <c r="E16" s="135">
        <v>54.198260961032943</v>
      </c>
      <c r="F16" s="129">
        <v>43605</v>
      </c>
      <c r="G16" s="135">
        <v>4.4103055809253906</v>
      </c>
      <c r="H16" s="129">
        <v>9143</v>
      </c>
      <c r="I16" s="135">
        <v>0.92474312410046666</v>
      </c>
      <c r="J16" s="129">
        <v>94</v>
      </c>
      <c r="K16" s="135">
        <v>9.5073666920533588E-3</v>
      </c>
      <c r="L16" s="129">
        <v>349005</v>
      </c>
      <c r="M16" s="135">
        <v>35.299133110213646</v>
      </c>
      <c r="N16" s="129">
        <v>42137</v>
      </c>
      <c r="O16" s="135">
        <v>4.2618288330111955</v>
      </c>
      <c r="P16" s="129">
        <v>8861</v>
      </c>
      <c r="Q16" s="135">
        <v>0.89622102402430648</v>
      </c>
      <c r="R16" s="129">
        <v>0</v>
      </c>
      <c r="S16" s="135">
        <v>0</v>
      </c>
      <c r="T16" s="129">
        <v>988707</v>
      </c>
      <c r="U16" s="135">
        <v>100</v>
      </c>
    </row>
    <row r="17" spans="1:21" hidden="1" x14ac:dyDescent="0.2">
      <c r="D17" s="129">
        <v>736861</v>
      </c>
      <c r="E17" s="135">
        <v>74.362951585329668</v>
      </c>
      <c r="F17" s="129">
        <v>100</v>
      </c>
      <c r="G17" s="135">
        <v>1.0091856073985415E-2</v>
      </c>
      <c r="H17" s="129">
        <v>28294</v>
      </c>
      <c r="I17" s="135">
        <v>2.8553897575734335</v>
      </c>
      <c r="J17" s="129">
        <v>8305</v>
      </c>
      <c r="K17" s="135">
        <v>0.83812864694448874</v>
      </c>
      <c r="L17" s="129">
        <v>0</v>
      </c>
      <c r="M17" s="135">
        <v>0</v>
      </c>
      <c r="N17" s="129">
        <v>58077</v>
      </c>
      <c r="O17" s="135">
        <v>5.8610472520885093</v>
      </c>
      <c r="P17" s="129">
        <v>21370</v>
      </c>
      <c r="Q17" s="135">
        <v>2.1566296430106831</v>
      </c>
      <c r="R17" s="129">
        <v>137891</v>
      </c>
      <c r="S17" s="135">
        <v>13.915761258979229</v>
      </c>
      <c r="T17" s="129">
        <v>990898</v>
      </c>
      <c r="U17" s="135">
        <v>100</v>
      </c>
    </row>
    <row r="18" spans="1:21" hidden="1" x14ac:dyDescent="0.2">
      <c r="D18" s="129">
        <v>275412</v>
      </c>
      <c r="E18" s="135">
        <v>80.30323793973146</v>
      </c>
      <c r="F18" s="129">
        <v>0</v>
      </c>
      <c r="G18" s="135">
        <v>0</v>
      </c>
      <c r="H18" s="129">
        <v>7760</v>
      </c>
      <c r="I18" s="135">
        <v>2.2626215503039666</v>
      </c>
      <c r="J18" s="129">
        <v>0</v>
      </c>
      <c r="K18" s="135">
        <v>0</v>
      </c>
      <c r="L18" s="129">
        <v>0</v>
      </c>
      <c r="M18" s="135">
        <v>0</v>
      </c>
      <c r="N18" s="129">
        <v>23348</v>
      </c>
      <c r="O18" s="135">
        <v>6.8076917469712654</v>
      </c>
      <c r="P18" s="129">
        <v>9751</v>
      </c>
      <c r="Q18" s="135">
        <v>2.843147259924482</v>
      </c>
      <c r="R18" s="129">
        <v>26694</v>
      </c>
      <c r="S18" s="135">
        <v>7.7833015030688264</v>
      </c>
      <c r="T18" s="129">
        <v>342965</v>
      </c>
      <c r="U18" s="135">
        <v>100</v>
      </c>
    </row>
    <row r="19" spans="1:21" hidden="1" x14ac:dyDescent="0.2">
      <c r="D19" s="129">
        <v>732550</v>
      </c>
      <c r="E19" s="135">
        <v>94.92776910995579</v>
      </c>
      <c r="F19" s="129">
        <v>1024</v>
      </c>
      <c r="G19" s="135">
        <v>0.13269542770950069</v>
      </c>
      <c r="H19" s="129">
        <v>4766</v>
      </c>
      <c r="I19" s="135">
        <v>0.61760391451511742</v>
      </c>
      <c r="J19" s="129">
        <v>123</v>
      </c>
      <c r="K19" s="135">
        <v>1.5939001570574787E-2</v>
      </c>
      <c r="L19" s="129">
        <v>0</v>
      </c>
      <c r="M19" s="135">
        <v>0</v>
      </c>
      <c r="N19" s="129">
        <v>26904</v>
      </c>
      <c r="O19" s="135">
        <v>3.4863650264613342</v>
      </c>
      <c r="P19" s="129">
        <v>6325</v>
      </c>
      <c r="Q19" s="135">
        <v>0.81962751978768744</v>
      </c>
      <c r="R19" s="129">
        <v>0</v>
      </c>
      <c r="S19" s="135">
        <v>0</v>
      </c>
      <c r="T19" s="129">
        <v>771692</v>
      </c>
      <c r="U19" s="135">
        <v>100</v>
      </c>
    </row>
    <row r="20" spans="1:21" hidden="1" x14ac:dyDescent="0.2">
      <c r="D20" s="129">
        <v>3394665</v>
      </c>
      <c r="E20" s="135">
        <v>86.83753306930754</v>
      </c>
      <c r="F20" s="129">
        <v>12126</v>
      </c>
      <c r="G20" s="135">
        <v>0.31019023261453582</v>
      </c>
      <c r="H20" s="129">
        <v>159218</v>
      </c>
      <c r="I20" s="135">
        <v>4.0728903559641401</v>
      </c>
      <c r="J20" s="129">
        <v>73312</v>
      </c>
      <c r="K20" s="135">
        <v>1.8753642036480989</v>
      </c>
      <c r="L20" s="129">
        <v>0</v>
      </c>
      <c r="M20" s="135">
        <v>0</v>
      </c>
      <c r="N20" s="129">
        <v>243575</v>
      </c>
      <c r="O20" s="135">
        <v>6.2307921745905954</v>
      </c>
      <c r="P20" s="129">
        <v>26318</v>
      </c>
      <c r="Q20" s="135">
        <v>0.67322996387509104</v>
      </c>
      <c r="R20" s="129">
        <v>0</v>
      </c>
      <c r="S20" s="135">
        <v>0</v>
      </c>
      <c r="T20" s="129">
        <v>3909214</v>
      </c>
      <c r="U20" s="135">
        <v>100</v>
      </c>
    </row>
    <row r="21" spans="1:21" x14ac:dyDescent="0.2">
      <c r="A21">
        <v>2011</v>
      </c>
      <c r="B21">
        <v>3</v>
      </c>
      <c r="C21" t="s">
        <v>175</v>
      </c>
      <c r="D21" s="129">
        <v>5675350</v>
      </c>
      <c r="E21" s="135">
        <v>81.036188315630696</v>
      </c>
      <c r="F21" s="129">
        <v>56855</v>
      </c>
      <c r="G21" s="135">
        <v>0.81181116348510374</v>
      </c>
      <c r="H21" s="129">
        <v>209181</v>
      </c>
      <c r="I21" s="135">
        <v>2.9868168320988033</v>
      </c>
      <c r="J21" s="129">
        <v>81834</v>
      </c>
      <c r="K21" s="135">
        <v>1.1684769106083892</v>
      </c>
      <c r="L21" s="129">
        <v>349005</v>
      </c>
      <c r="M21" s="135">
        <v>4.9833111443517479</v>
      </c>
      <c r="N21" s="129">
        <v>394041</v>
      </c>
      <c r="O21" s="135">
        <v>5.6263632516196243</v>
      </c>
      <c r="P21" s="129">
        <v>72625</v>
      </c>
      <c r="Q21" s="135">
        <v>1.0369850628459354</v>
      </c>
      <c r="R21" s="129">
        <v>164585</v>
      </c>
      <c r="S21" s="135">
        <v>2.3500473193597009</v>
      </c>
      <c r="T21" s="129">
        <v>7003476</v>
      </c>
      <c r="U21" s="135">
        <v>100</v>
      </c>
    </row>
    <row r="22" spans="1:21" hidden="1" x14ac:dyDescent="0.2">
      <c r="D22" s="129">
        <v>110781</v>
      </c>
      <c r="E22" s="135">
        <v>63.133149448345037</v>
      </c>
      <c r="F22" s="129">
        <v>9144</v>
      </c>
      <c r="G22" s="135">
        <v>5.2110878088811887</v>
      </c>
      <c r="H22" s="129">
        <v>50007</v>
      </c>
      <c r="I22" s="135">
        <v>28.498563873438499</v>
      </c>
      <c r="J22" s="129">
        <v>0</v>
      </c>
      <c r="K22" s="135">
        <v>0</v>
      </c>
      <c r="L22" s="129">
        <v>29</v>
      </c>
      <c r="M22" s="135">
        <v>1.652685328713413E-2</v>
      </c>
      <c r="N22" s="129">
        <v>3748</v>
      </c>
      <c r="O22" s="135">
        <v>2.1359533144889213</v>
      </c>
      <c r="P22" s="129">
        <v>1200</v>
      </c>
      <c r="Q22" s="135">
        <v>0.68386979119175717</v>
      </c>
      <c r="R22" s="129">
        <v>563</v>
      </c>
      <c r="S22" s="135">
        <v>0.32084891036746599</v>
      </c>
      <c r="T22" s="129">
        <v>175472</v>
      </c>
      <c r="U22" s="135">
        <v>100</v>
      </c>
    </row>
    <row r="23" spans="1:21" hidden="1" x14ac:dyDescent="0.2">
      <c r="D23" s="129">
        <v>1177364</v>
      </c>
      <c r="E23" s="135">
        <v>73.353315984023013</v>
      </c>
      <c r="F23" s="129">
        <v>67311</v>
      </c>
      <c r="G23" s="135">
        <v>4.193677615589209</v>
      </c>
      <c r="H23" s="129">
        <v>134530</v>
      </c>
      <c r="I23" s="135">
        <v>8.381623354655499</v>
      </c>
      <c r="J23" s="129">
        <v>0</v>
      </c>
      <c r="K23" s="135">
        <v>0</v>
      </c>
      <c r="L23" s="129">
        <v>1433</v>
      </c>
      <c r="M23" s="135">
        <v>8.9280207145033305E-2</v>
      </c>
      <c r="N23" s="129">
        <v>210046</v>
      </c>
      <c r="O23" s="135">
        <v>13.086497131881133</v>
      </c>
      <c r="P23" s="129">
        <v>3628</v>
      </c>
      <c r="Q23" s="135">
        <v>0.22603530462120083</v>
      </c>
      <c r="R23" s="129">
        <v>10747</v>
      </c>
      <c r="S23" s="135">
        <v>0.66957040208490781</v>
      </c>
      <c r="T23" s="129">
        <v>1605059</v>
      </c>
      <c r="U23" s="135">
        <v>100</v>
      </c>
    </row>
    <row r="24" spans="1:21" hidden="1" x14ac:dyDescent="0.2">
      <c r="D24" s="129">
        <v>347517</v>
      </c>
      <c r="E24" s="135">
        <v>64.807935460048554</v>
      </c>
      <c r="F24" s="129">
        <v>92870</v>
      </c>
      <c r="G24" s="135">
        <v>17.319190043004255</v>
      </c>
      <c r="H24" s="129">
        <v>51647</v>
      </c>
      <c r="I24" s="135">
        <v>9.6315732545605766</v>
      </c>
      <c r="J24" s="129">
        <v>0</v>
      </c>
      <c r="K24" s="135">
        <v>0</v>
      </c>
      <c r="L24" s="129">
        <v>445</v>
      </c>
      <c r="M24" s="135">
        <v>8.298739710495201E-2</v>
      </c>
      <c r="N24" s="129">
        <v>40441</v>
      </c>
      <c r="O24" s="135">
        <v>7.5417827557783461</v>
      </c>
      <c r="P24" s="129">
        <v>3054</v>
      </c>
      <c r="Q24" s="135">
        <v>0.56953597923263699</v>
      </c>
      <c r="R24" s="129">
        <v>252</v>
      </c>
      <c r="S24" s="135">
        <v>4.6995110270669459E-2</v>
      </c>
      <c r="T24" s="129">
        <v>536226</v>
      </c>
      <c r="U24" s="135">
        <v>100</v>
      </c>
    </row>
    <row r="25" spans="1:21" x14ac:dyDescent="0.2">
      <c r="A25">
        <v>2011</v>
      </c>
      <c r="B25">
        <v>4</v>
      </c>
      <c r="C25" t="s">
        <v>35</v>
      </c>
      <c r="D25" s="129">
        <v>1635662</v>
      </c>
      <c r="E25" s="135">
        <v>70.601362162712789</v>
      </c>
      <c r="F25" s="129">
        <v>169325</v>
      </c>
      <c r="G25" s="135">
        <v>7.3087078187310972</v>
      </c>
      <c r="H25" s="129">
        <v>236184</v>
      </c>
      <c r="I25" s="135">
        <v>10.194595289881503</v>
      </c>
      <c r="J25" s="129">
        <v>0</v>
      </c>
      <c r="K25" s="135">
        <v>0</v>
      </c>
      <c r="L25" s="129">
        <v>1907</v>
      </c>
      <c r="M25" s="135">
        <v>8.2313337134623951E-2</v>
      </c>
      <c r="N25" s="129">
        <v>254235</v>
      </c>
      <c r="O25" s="135">
        <v>10.973744764772482</v>
      </c>
      <c r="P25" s="129">
        <v>7882</v>
      </c>
      <c r="Q25" s="135">
        <v>0.34021694981389938</v>
      </c>
      <c r="R25" s="129">
        <v>11562</v>
      </c>
      <c r="S25" s="135">
        <v>0.49905967695360365</v>
      </c>
      <c r="T25" s="129">
        <v>2316757</v>
      </c>
      <c r="U25" s="135">
        <v>100</v>
      </c>
    </row>
    <row r="26" spans="1:21" hidden="1" x14ac:dyDescent="0.2">
      <c r="D26" s="129">
        <v>9872889</v>
      </c>
      <c r="E26" s="135">
        <v>73.565797309307982</v>
      </c>
      <c r="F26" s="129">
        <v>1239639</v>
      </c>
      <c r="G26" s="135">
        <v>9.2369144847787954</v>
      </c>
      <c r="H26" s="129">
        <v>643047</v>
      </c>
      <c r="I26" s="135">
        <v>4.7915321708122685</v>
      </c>
      <c r="J26" s="129">
        <v>27640</v>
      </c>
      <c r="K26" s="135">
        <v>0.20595376263515902</v>
      </c>
      <c r="L26" s="129">
        <v>80781</v>
      </c>
      <c r="M26" s="135">
        <v>0.60192297031225694</v>
      </c>
      <c r="N26" s="129">
        <v>1182127</v>
      </c>
      <c r="O26" s="135">
        <v>8.8083756715851163</v>
      </c>
      <c r="P26" s="129">
        <v>111589</v>
      </c>
      <c r="Q26" s="135">
        <v>0.83148243193541094</v>
      </c>
      <c r="R26" s="129">
        <v>262776</v>
      </c>
      <c r="S26" s="135">
        <v>1.9580211986330154</v>
      </c>
      <c r="T26" s="129">
        <v>13420488</v>
      </c>
      <c r="U26" s="135">
        <v>100</v>
      </c>
    </row>
    <row r="27" spans="1:21" x14ac:dyDescent="0.2">
      <c r="A27">
        <v>2011</v>
      </c>
      <c r="B27">
        <v>5</v>
      </c>
      <c r="C27" t="s">
        <v>174</v>
      </c>
      <c r="D27" s="129">
        <v>9872889</v>
      </c>
      <c r="E27" s="135">
        <v>73.565797309307982</v>
      </c>
      <c r="F27" s="129">
        <v>1239639</v>
      </c>
      <c r="G27" s="135">
        <v>9.2369144847787954</v>
      </c>
      <c r="H27" s="129">
        <v>643047</v>
      </c>
      <c r="I27" s="135">
        <v>4.7915321708122685</v>
      </c>
      <c r="J27" s="129">
        <v>27640</v>
      </c>
      <c r="K27" s="135">
        <v>0.20595376263515902</v>
      </c>
      <c r="L27" s="129">
        <v>80781</v>
      </c>
      <c r="M27" s="135">
        <v>0.60192297031225694</v>
      </c>
      <c r="N27" s="129">
        <v>1182127</v>
      </c>
      <c r="O27" s="135">
        <v>8.8083756715851163</v>
      </c>
      <c r="P27" s="129">
        <v>111589</v>
      </c>
      <c r="Q27" s="135">
        <v>0.83148243193541094</v>
      </c>
      <c r="R27" s="129">
        <v>262776</v>
      </c>
      <c r="S27" s="135">
        <v>1.9580211986330154</v>
      </c>
      <c r="T27" s="129">
        <v>13420488</v>
      </c>
      <c r="U27" s="135">
        <v>100</v>
      </c>
    </row>
    <row r="28" spans="1:21" hidden="1" x14ac:dyDescent="0.2">
      <c r="D28" s="129">
        <v>751892</v>
      </c>
      <c r="E28" s="135">
        <v>66.583366467448727</v>
      </c>
      <c r="F28" s="129">
        <v>161908</v>
      </c>
      <c r="G28" s="135">
        <v>14.337670434067244</v>
      </c>
      <c r="H28" s="129">
        <v>124660</v>
      </c>
      <c r="I28" s="135">
        <v>11.039195075665331</v>
      </c>
      <c r="J28" s="129">
        <v>0</v>
      </c>
      <c r="K28" s="135">
        <v>0</v>
      </c>
      <c r="L28" s="129">
        <v>699</v>
      </c>
      <c r="M28" s="135">
        <v>6.1899545627226583E-2</v>
      </c>
      <c r="N28" s="129">
        <v>49198</v>
      </c>
      <c r="O28" s="135">
        <v>4.356700780784398</v>
      </c>
      <c r="P28" s="129">
        <v>11828</v>
      </c>
      <c r="Q28" s="135">
        <v>1.0474217820870331</v>
      </c>
      <c r="R28" s="129">
        <v>29064</v>
      </c>
      <c r="S28" s="135">
        <v>2.5737459143200478</v>
      </c>
      <c r="T28" s="129">
        <v>1129249</v>
      </c>
      <c r="U28" s="135">
        <v>100</v>
      </c>
    </row>
    <row r="29" spans="1:21" hidden="1" x14ac:dyDescent="0.2">
      <c r="D29" s="129">
        <v>285034</v>
      </c>
      <c r="E29" s="135">
        <v>66.713009123378598</v>
      </c>
      <c r="F29" s="129">
        <v>46364</v>
      </c>
      <c r="G29" s="135">
        <v>10.851624560565847</v>
      </c>
      <c r="H29" s="129">
        <v>28637</v>
      </c>
      <c r="I29" s="135">
        <v>6.702570367977831</v>
      </c>
      <c r="J29" s="129">
        <v>0</v>
      </c>
      <c r="K29" s="135">
        <v>0</v>
      </c>
      <c r="L29" s="129">
        <v>981</v>
      </c>
      <c r="M29" s="135">
        <v>0.22960580825457455</v>
      </c>
      <c r="N29" s="129">
        <v>61732</v>
      </c>
      <c r="O29" s="135">
        <v>14.44854817040917</v>
      </c>
      <c r="P29" s="129">
        <v>1324</v>
      </c>
      <c r="Q29" s="135">
        <v>0.30988592265958892</v>
      </c>
      <c r="R29" s="129">
        <v>3182</v>
      </c>
      <c r="S29" s="135">
        <v>0.74475604675438967</v>
      </c>
      <c r="T29" s="129">
        <v>427254</v>
      </c>
      <c r="U29" s="135">
        <v>100</v>
      </c>
    </row>
    <row r="30" spans="1:21" x14ac:dyDescent="0.2">
      <c r="A30">
        <v>2001</v>
      </c>
      <c r="B30">
        <v>6</v>
      </c>
      <c r="C30" t="s">
        <v>2</v>
      </c>
      <c r="D30" s="129">
        <v>1036926</v>
      </c>
      <c r="E30" s="135">
        <v>66.61895287063372</v>
      </c>
      <c r="F30" s="129">
        <v>208272</v>
      </c>
      <c r="G30" s="135">
        <v>13.380764444398757</v>
      </c>
      <c r="H30" s="129">
        <v>153297</v>
      </c>
      <c r="I30" s="135">
        <v>9.8488085149851941</v>
      </c>
      <c r="J30" s="129">
        <v>0</v>
      </c>
      <c r="K30" s="135">
        <v>0</v>
      </c>
      <c r="L30" s="129">
        <v>1680</v>
      </c>
      <c r="M30" s="135">
        <v>0.10793426032587151</v>
      </c>
      <c r="N30" s="129">
        <v>110930</v>
      </c>
      <c r="O30" s="135">
        <v>7.1268735106838861</v>
      </c>
      <c r="P30" s="129">
        <v>13152</v>
      </c>
      <c r="Q30" s="135">
        <v>0.84497106655110843</v>
      </c>
      <c r="R30" s="129">
        <v>32246</v>
      </c>
      <c r="S30" s="135">
        <v>2.0716953324214602</v>
      </c>
      <c r="T30" s="129">
        <v>1556503</v>
      </c>
      <c r="U30" s="135">
        <v>100</v>
      </c>
    </row>
    <row r="31" spans="1:21" hidden="1" x14ac:dyDescent="0.2">
      <c r="D31" s="129">
        <v>1733935</v>
      </c>
      <c r="E31" s="135">
        <v>82.731274548348551</v>
      </c>
      <c r="F31" s="129">
        <v>226193</v>
      </c>
      <c r="G31" s="135">
        <v>10.792351030410369</v>
      </c>
      <c r="H31" s="129">
        <v>66976</v>
      </c>
      <c r="I31" s="135">
        <v>3.19562719718455</v>
      </c>
      <c r="J31" s="129">
        <v>9916</v>
      </c>
      <c r="K31" s="135">
        <v>0.4731223018287446</v>
      </c>
      <c r="L31" s="129">
        <v>540</v>
      </c>
      <c r="M31" s="135">
        <v>2.5765030555417717E-2</v>
      </c>
      <c r="N31" s="129">
        <v>41468</v>
      </c>
      <c r="O31" s="135">
        <v>1.9785634945778923</v>
      </c>
      <c r="P31" s="129">
        <v>10723</v>
      </c>
      <c r="Q31" s="135">
        <v>0.51162670860323001</v>
      </c>
      <c r="R31" s="129">
        <v>6113</v>
      </c>
      <c r="S31" s="135">
        <v>0.29166968849123798</v>
      </c>
      <c r="T31" s="129">
        <v>2095864</v>
      </c>
      <c r="U31" s="135">
        <v>100</v>
      </c>
    </row>
    <row r="32" spans="1:21" x14ac:dyDescent="0.2">
      <c r="A32">
        <v>2011</v>
      </c>
      <c r="B32">
        <v>7</v>
      </c>
      <c r="C32" t="s">
        <v>23</v>
      </c>
      <c r="D32" s="129">
        <v>1733935</v>
      </c>
      <c r="E32" s="135">
        <v>82.731274548348551</v>
      </c>
      <c r="F32" s="129">
        <v>226193</v>
      </c>
      <c r="G32" s="135">
        <v>10.792351030410369</v>
      </c>
      <c r="H32" s="129">
        <v>66976</v>
      </c>
      <c r="I32" s="135">
        <v>3.19562719718455</v>
      </c>
      <c r="J32" s="129">
        <v>9916</v>
      </c>
      <c r="K32" s="135">
        <v>0.4731223018287446</v>
      </c>
      <c r="L32" s="129">
        <v>540</v>
      </c>
      <c r="M32" s="135">
        <v>2.5765030555417717E-2</v>
      </c>
      <c r="N32" s="129">
        <v>41468</v>
      </c>
      <c r="O32" s="135">
        <v>1.9785634945778923</v>
      </c>
      <c r="P32" s="129">
        <v>10723</v>
      </c>
      <c r="Q32" s="135">
        <v>0.51162670860323001</v>
      </c>
      <c r="R32" s="129">
        <v>6113</v>
      </c>
      <c r="S32" s="135">
        <v>0.29166968849123798</v>
      </c>
      <c r="T32" s="129">
        <v>2095864</v>
      </c>
      <c r="U32" s="135">
        <v>100</v>
      </c>
    </row>
    <row r="33" spans="1:21" hidden="1" x14ac:dyDescent="0.2">
      <c r="D33" s="129">
        <v>2257529</v>
      </c>
      <c r="E33" s="135">
        <v>80.501488411500489</v>
      </c>
      <c r="F33" s="129">
        <v>160496</v>
      </c>
      <c r="G33" s="135">
        <v>5.7231454763558665</v>
      </c>
      <c r="H33" s="129">
        <v>49105</v>
      </c>
      <c r="I33" s="135">
        <v>1.7510408895950977</v>
      </c>
      <c r="J33" s="129">
        <v>4920</v>
      </c>
      <c r="K33" s="135">
        <v>0.17544285056120318</v>
      </c>
      <c r="L33" s="129">
        <v>0</v>
      </c>
      <c r="M33" s="135">
        <v>0</v>
      </c>
      <c r="N33" s="129">
        <v>323694</v>
      </c>
      <c r="O33" s="135">
        <v>11.542641884056524</v>
      </c>
      <c r="P33" s="129">
        <v>8588</v>
      </c>
      <c r="Q33" s="135">
        <v>0.3062404879308156</v>
      </c>
      <c r="R33" s="129">
        <v>0</v>
      </c>
      <c r="S33" s="135">
        <v>0</v>
      </c>
      <c r="T33" s="129">
        <v>2804332</v>
      </c>
      <c r="U33" s="135">
        <v>100</v>
      </c>
    </row>
    <row r="34" spans="1:21" hidden="1" x14ac:dyDescent="0.2">
      <c r="D34" s="129">
        <v>1367357</v>
      </c>
      <c r="E34" s="135">
        <v>79.55096564900596</v>
      </c>
      <c r="F34" s="129">
        <v>55614</v>
      </c>
      <c r="G34" s="135">
        <v>3.2355466813742262</v>
      </c>
      <c r="H34" s="129">
        <v>87108</v>
      </c>
      <c r="I34" s="135">
        <v>5.0678246542443643</v>
      </c>
      <c r="J34" s="129">
        <v>15586</v>
      </c>
      <c r="K34" s="135">
        <v>0.90677222598444063</v>
      </c>
      <c r="L34" s="129">
        <v>0</v>
      </c>
      <c r="M34" s="135">
        <v>0</v>
      </c>
      <c r="N34" s="129">
        <v>186660</v>
      </c>
      <c r="O34" s="135">
        <v>10.859624259095066</v>
      </c>
      <c r="P34" s="129">
        <v>6519</v>
      </c>
      <c r="Q34" s="135">
        <v>0.37926653029594309</v>
      </c>
      <c r="R34" s="129">
        <v>0</v>
      </c>
      <c r="S34" s="135">
        <v>0</v>
      </c>
      <c r="T34" s="129">
        <v>1718844</v>
      </c>
      <c r="U34" s="135">
        <v>100</v>
      </c>
    </row>
    <row r="35" spans="1:21" hidden="1" x14ac:dyDescent="0.2">
      <c r="D35" s="129">
        <v>1367357</v>
      </c>
      <c r="E35" s="135">
        <v>79.55096564900596</v>
      </c>
      <c r="F35" s="129">
        <v>55614</v>
      </c>
      <c r="G35" s="135">
        <v>3.2355466813742262</v>
      </c>
      <c r="H35" s="129">
        <v>87108</v>
      </c>
      <c r="I35" s="135">
        <v>5.0678246542443643</v>
      </c>
      <c r="J35" s="129">
        <v>15586</v>
      </c>
      <c r="K35" s="135">
        <v>0.90677222598444063</v>
      </c>
      <c r="L35" s="129">
        <v>0</v>
      </c>
      <c r="M35" s="135">
        <v>0</v>
      </c>
      <c r="N35" s="129">
        <v>186660</v>
      </c>
      <c r="O35" s="135">
        <v>10.859624259095066</v>
      </c>
      <c r="P35" s="129">
        <v>6519</v>
      </c>
      <c r="Q35" s="135">
        <v>0.37926653029594309</v>
      </c>
      <c r="R35" s="129">
        <v>0</v>
      </c>
      <c r="S35" s="135">
        <v>0</v>
      </c>
      <c r="T35" s="129">
        <v>1718844</v>
      </c>
      <c r="U35" s="135">
        <v>100</v>
      </c>
    </row>
    <row r="36" spans="1:21" hidden="1" x14ac:dyDescent="0.2">
      <c r="D36" s="129">
        <v>25969488</v>
      </c>
      <c r="E36" s="135">
        <v>65.442607893728592</v>
      </c>
      <c r="F36" s="129">
        <v>3014275</v>
      </c>
      <c r="G36" s="135">
        <v>7.5959147484489771</v>
      </c>
      <c r="H36" s="129">
        <v>1393712</v>
      </c>
      <c r="I36" s="135">
        <v>3.5121273061981144</v>
      </c>
      <c r="J36" s="129">
        <v>392630</v>
      </c>
      <c r="K36" s="135">
        <v>0.98942001233580934</v>
      </c>
      <c r="L36" s="129">
        <v>44773</v>
      </c>
      <c r="M36" s="135">
        <v>0.11282709475157578</v>
      </c>
      <c r="N36" s="129">
        <v>7746363</v>
      </c>
      <c r="O36" s="135">
        <v>19.520685059770411</v>
      </c>
      <c r="P36" s="129">
        <v>221311</v>
      </c>
      <c r="Q36" s="135">
        <v>0.5576994431145107</v>
      </c>
      <c r="R36" s="129">
        <v>900292</v>
      </c>
      <c r="S36" s="135">
        <v>2.2687184416520148</v>
      </c>
      <c r="T36" s="129">
        <v>39682844</v>
      </c>
      <c r="U36" s="135">
        <v>100</v>
      </c>
    </row>
    <row r="37" spans="1:21" hidden="1" x14ac:dyDescent="0.2">
      <c r="D37" s="129">
        <v>1367357</v>
      </c>
      <c r="E37" s="135">
        <v>79.55096564900596</v>
      </c>
      <c r="F37" s="129">
        <v>55614</v>
      </c>
      <c r="G37" s="135">
        <v>3.2355466813742262</v>
      </c>
      <c r="H37" s="129">
        <v>87108</v>
      </c>
      <c r="I37" s="135">
        <v>5.0678246542443643</v>
      </c>
      <c r="J37" s="129">
        <v>15586</v>
      </c>
      <c r="K37" s="135">
        <v>0.90677222598444063</v>
      </c>
      <c r="L37" s="129">
        <v>0</v>
      </c>
      <c r="M37" s="135">
        <v>0</v>
      </c>
      <c r="N37" s="129">
        <v>186660</v>
      </c>
      <c r="O37" s="135">
        <v>10.859624259095066</v>
      </c>
      <c r="P37" s="129">
        <v>6519</v>
      </c>
      <c r="Q37" s="135">
        <v>0.37926653029594309</v>
      </c>
      <c r="R37" s="129">
        <v>0</v>
      </c>
      <c r="S37" s="135">
        <v>0</v>
      </c>
      <c r="T37" s="129">
        <v>1718844</v>
      </c>
      <c r="U37" s="135">
        <v>100</v>
      </c>
    </row>
    <row r="38" spans="1:21" hidden="1" x14ac:dyDescent="0.2">
      <c r="D38" s="129">
        <v>1938424</v>
      </c>
      <c r="E38" s="135">
        <v>84.119294819636565</v>
      </c>
      <c r="F38" s="129">
        <v>161513</v>
      </c>
      <c r="G38" s="135">
        <v>7.0089720640086801</v>
      </c>
      <c r="H38" s="129">
        <v>15766</v>
      </c>
      <c r="I38" s="135">
        <v>0.68417683753729319</v>
      </c>
      <c r="J38" s="129">
        <v>0</v>
      </c>
      <c r="K38" s="135">
        <v>0</v>
      </c>
      <c r="L38" s="129">
        <v>2669</v>
      </c>
      <c r="M38" s="135">
        <v>0.11582316246270682</v>
      </c>
      <c r="N38" s="129">
        <v>70366</v>
      </c>
      <c r="O38" s="135">
        <v>3.0535828586927041</v>
      </c>
      <c r="P38" s="129">
        <v>16079</v>
      </c>
      <c r="Q38" s="135">
        <v>0.69775969622999734</v>
      </c>
      <c r="R38" s="129">
        <v>99558</v>
      </c>
      <c r="S38" s="135">
        <v>4.3203905614320588</v>
      </c>
      <c r="T38" s="129">
        <v>2304375</v>
      </c>
      <c r="U38" s="135">
        <v>100</v>
      </c>
    </row>
    <row r="39" spans="1:21" x14ac:dyDescent="0.2">
      <c r="A39" s="131" t="s">
        <v>204</v>
      </c>
      <c r="B39">
        <v>8</v>
      </c>
      <c r="C39" t="s">
        <v>32</v>
      </c>
      <c r="D39" s="129">
        <v>34267512</v>
      </c>
      <c r="E39" s="135">
        <v>68.606260624657011</v>
      </c>
      <c r="F39" s="129">
        <v>39556</v>
      </c>
      <c r="G39" s="135">
        <v>7.0135344333435183</v>
      </c>
      <c r="H39" s="129">
        <v>233579</v>
      </c>
      <c r="I39" s="135">
        <v>3.4433894089588981</v>
      </c>
      <c r="J39" s="129">
        <v>12093</v>
      </c>
      <c r="K39" s="135">
        <v>0.88953964459456825</v>
      </c>
      <c r="L39" s="129">
        <v>0</v>
      </c>
      <c r="M39" s="135">
        <v>9.4982624258072121E-2</v>
      </c>
      <c r="N39" s="129">
        <v>205668</v>
      </c>
      <c r="O39" s="135">
        <v>17.418892733080465</v>
      </c>
      <c r="P39" s="129">
        <v>34964</v>
      </c>
      <c r="Q39" s="135">
        <v>0.53162200439204044</v>
      </c>
      <c r="R39" s="129">
        <v>101729</v>
      </c>
      <c r="S39" s="135">
        <v>2.0017785267154298</v>
      </c>
      <c r="T39" s="129">
        <v>2989007</v>
      </c>
      <c r="U39" s="135">
        <v>100</v>
      </c>
    </row>
    <row r="40" spans="1:21" hidden="1" x14ac:dyDescent="0.2">
      <c r="D40" s="129">
        <v>1900514</v>
      </c>
      <c r="E40" s="135">
        <v>73.245719174782536</v>
      </c>
      <c r="F40" s="129">
        <v>375777</v>
      </c>
      <c r="G40" s="135">
        <v>14.482427708684206</v>
      </c>
      <c r="H40" s="129">
        <v>35108</v>
      </c>
      <c r="I40" s="135">
        <v>1.3530606503231575</v>
      </c>
      <c r="J40" s="129">
        <v>16785</v>
      </c>
      <c r="K40" s="135">
        <v>0.64689310173391246</v>
      </c>
      <c r="L40" s="129">
        <v>372</v>
      </c>
      <c r="M40" s="135">
        <v>1.4336862308311911E-2</v>
      </c>
      <c r="N40" s="129">
        <v>260344</v>
      </c>
      <c r="O40" s="135">
        <v>10.033645378481602</v>
      </c>
      <c r="P40" s="129">
        <v>5623</v>
      </c>
      <c r="Q40" s="135">
        <v>0.21671015257967172</v>
      </c>
      <c r="R40" s="129">
        <v>187</v>
      </c>
      <c r="S40" s="135">
        <v>7.2069711065976547E-3</v>
      </c>
      <c r="T40" s="129">
        <v>2594710</v>
      </c>
      <c r="U40" s="135">
        <v>100</v>
      </c>
    </row>
    <row r="41" spans="1:21" hidden="1" x14ac:dyDescent="0.2">
      <c r="D41" s="129">
        <v>1121094</v>
      </c>
      <c r="E41" s="135">
        <v>68.88027633359097</v>
      </c>
      <c r="F41" s="129">
        <v>217008</v>
      </c>
      <c r="G41" s="135">
        <v>13.33302203615389</v>
      </c>
      <c r="H41" s="129">
        <v>66298</v>
      </c>
      <c r="I41" s="135">
        <v>4.0733645531636196</v>
      </c>
      <c r="J41" s="129">
        <v>10170</v>
      </c>
      <c r="K41" s="135">
        <v>0.62484716742094792</v>
      </c>
      <c r="L41" s="129">
        <v>5650</v>
      </c>
      <c r="M41" s="135">
        <v>0.34713731523385993</v>
      </c>
      <c r="N41" s="129">
        <v>199422</v>
      </c>
      <c r="O41" s="135">
        <v>12.252534102401206</v>
      </c>
      <c r="P41" s="129">
        <v>6444</v>
      </c>
      <c r="Q41" s="135">
        <v>0.39592086006495464</v>
      </c>
      <c r="R41" s="129">
        <v>1512</v>
      </c>
      <c r="S41" s="135">
        <v>9.2897631970548011E-2</v>
      </c>
      <c r="T41" s="129">
        <v>1627598</v>
      </c>
      <c r="U41" s="135">
        <v>100</v>
      </c>
    </row>
    <row r="42" spans="1:21" x14ac:dyDescent="0.2">
      <c r="A42">
        <v>2011</v>
      </c>
      <c r="B42">
        <v>9</v>
      </c>
      <c r="C42" t="s">
        <v>37</v>
      </c>
      <c r="D42" s="129">
        <v>3021608</v>
      </c>
      <c r="E42" s="135">
        <v>71.562946142252059</v>
      </c>
      <c r="F42" s="129">
        <v>592785</v>
      </c>
      <c r="G42" s="135">
        <v>14.03935951616983</v>
      </c>
      <c r="H42" s="129">
        <v>101406</v>
      </c>
      <c r="I42" s="135">
        <v>2.4016722607635446</v>
      </c>
      <c r="J42" s="129">
        <v>26955</v>
      </c>
      <c r="K42" s="135">
        <v>0.6383949252399399</v>
      </c>
      <c r="L42" s="129">
        <v>6022</v>
      </c>
      <c r="M42" s="135">
        <v>0.14262341828213385</v>
      </c>
      <c r="N42" s="129">
        <v>459766</v>
      </c>
      <c r="O42" s="135">
        <v>10.888973518748514</v>
      </c>
      <c r="P42" s="129">
        <v>12067</v>
      </c>
      <c r="Q42" s="135">
        <v>0.28579156233983882</v>
      </c>
      <c r="R42" s="129">
        <v>1699</v>
      </c>
      <c r="S42" s="135">
        <v>4.0238656204142381E-2</v>
      </c>
      <c r="T42" s="129">
        <v>4222308</v>
      </c>
      <c r="U42" s="135">
        <v>100</v>
      </c>
    </row>
    <row r="43" spans="1:21" hidden="1" x14ac:dyDescent="0.2">
      <c r="D43" s="129">
        <v>24971737</v>
      </c>
      <c r="E43" s="135">
        <v>67.103774667386475</v>
      </c>
      <c r="F43" s="129">
        <v>2646727</v>
      </c>
      <c r="G43" s="135">
        <v>7.1122554355785423</v>
      </c>
      <c r="H43" s="129">
        <v>1386026</v>
      </c>
      <c r="I43" s="135">
        <v>3.7245136927054374</v>
      </c>
      <c r="J43" s="129">
        <v>376285</v>
      </c>
      <c r="K43" s="135">
        <v>1.0111488780583233</v>
      </c>
      <c r="L43" s="129">
        <v>43183</v>
      </c>
      <c r="M43" s="135">
        <v>0.11604087859253644</v>
      </c>
      <c r="N43" s="129">
        <v>6744081</v>
      </c>
      <c r="O43" s="135">
        <v>18.122619654475876</v>
      </c>
      <c r="P43" s="129">
        <v>229827</v>
      </c>
      <c r="Q43" s="135">
        <v>0.61758856504381066</v>
      </c>
      <c r="R43" s="129">
        <v>815744</v>
      </c>
      <c r="S43" s="135">
        <v>2.1920582281589986</v>
      </c>
      <c r="T43" s="129">
        <v>37213610</v>
      </c>
      <c r="U43" s="135">
        <v>100</v>
      </c>
    </row>
    <row r="44" spans="1:21" x14ac:dyDescent="0.2">
      <c r="A44">
        <v>2011</v>
      </c>
      <c r="B44">
        <v>10</v>
      </c>
      <c r="C44" s="122" t="s">
        <v>180</v>
      </c>
      <c r="D44" s="129">
        <v>24971737</v>
      </c>
      <c r="E44" s="135">
        <v>67.103774667386475</v>
      </c>
      <c r="F44" s="129">
        <v>2646727</v>
      </c>
      <c r="G44" s="135">
        <v>7.1122554355785423</v>
      </c>
      <c r="H44" s="129">
        <v>1386026</v>
      </c>
      <c r="I44" s="135">
        <v>3.7245136927054374</v>
      </c>
      <c r="J44" s="129">
        <v>376285</v>
      </c>
      <c r="K44" s="135">
        <v>1.0111488780583233</v>
      </c>
      <c r="L44" s="129">
        <v>43183</v>
      </c>
      <c r="M44" s="135">
        <v>0.11604087859253644</v>
      </c>
      <c r="N44" s="129">
        <v>6744081</v>
      </c>
      <c r="O44" s="135">
        <v>18.122619654475876</v>
      </c>
      <c r="P44" s="129">
        <v>229827</v>
      </c>
      <c r="Q44" s="135">
        <v>0.61758856504381066</v>
      </c>
      <c r="R44" s="129">
        <v>815744</v>
      </c>
      <c r="S44" s="135">
        <v>2.1920582281589986</v>
      </c>
      <c r="T44" s="129">
        <v>37213610</v>
      </c>
      <c r="U44" s="135">
        <v>100</v>
      </c>
    </row>
    <row r="45" spans="1:21" hidden="1" x14ac:dyDescent="0.2">
      <c r="D45" s="129">
        <v>1876803</v>
      </c>
      <c r="E45" s="135">
        <v>84.547378530910549</v>
      </c>
      <c r="F45" s="129">
        <v>105011</v>
      </c>
      <c r="G45" s="135">
        <v>4.730600263804698</v>
      </c>
      <c r="H45" s="129">
        <v>59224</v>
      </c>
      <c r="I45" s="135">
        <v>2.6679592616351564</v>
      </c>
      <c r="J45" s="129">
        <v>0</v>
      </c>
      <c r="K45" s="135">
        <v>0</v>
      </c>
      <c r="L45" s="129">
        <v>2063</v>
      </c>
      <c r="M45" s="135">
        <v>9.2935295771196275E-2</v>
      </c>
      <c r="N45" s="129">
        <v>163738</v>
      </c>
      <c r="O45" s="135">
        <v>7.3761703630558104</v>
      </c>
      <c r="P45" s="129">
        <v>12985</v>
      </c>
      <c r="Q45" s="135">
        <v>0.58495628482258055</v>
      </c>
      <c r="R45" s="129">
        <v>0</v>
      </c>
      <c r="S45" s="135">
        <v>0</v>
      </c>
      <c r="T45" s="129">
        <v>2219824</v>
      </c>
      <c r="U45" s="135">
        <v>100</v>
      </c>
    </row>
    <row r="46" spans="1:21" x14ac:dyDescent="0.2">
      <c r="A46">
        <v>2011</v>
      </c>
      <c r="B46">
        <v>11</v>
      </c>
      <c r="C46" t="s">
        <v>8</v>
      </c>
      <c r="D46" s="129">
        <v>1876803</v>
      </c>
      <c r="E46" s="135">
        <v>84.547378530910549</v>
      </c>
      <c r="F46" s="129">
        <v>105011</v>
      </c>
      <c r="G46" s="135">
        <v>4.730600263804698</v>
      </c>
      <c r="H46" s="129">
        <v>59224</v>
      </c>
      <c r="I46" s="135">
        <v>2.6679592616351564</v>
      </c>
      <c r="J46" s="129">
        <v>0</v>
      </c>
      <c r="K46" s="135">
        <v>0</v>
      </c>
      <c r="L46" s="129">
        <v>2063</v>
      </c>
      <c r="M46" s="135">
        <v>9.2935295771196275E-2</v>
      </c>
      <c r="N46" s="129">
        <v>163738</v>
      </c>
      <c r="O46" s="135">
        <v>7.3761703630558104</v>
      </c>
      <c r="P46" s="129">
        <v>12985</v>
      </c>
      <c r="Q46" s="135">
        <v>0.58495628482258055</v>
      </c>
      <c r="R46" s="129">
        <v>0</v>
      </c>
      <c r="S46" s="135">
        <v>0</v>
      </c>
      <c r="T46" s="129">
        <v>2219824</v>
      </c>
      <c r="U46" s="135">
        <v>100</v>
      </c>
    </row>
    <row r="47" spans="1:21" hidden="1" x14ac:dyDescent="0.2">
      <c r="D47" s="129">
        <v>6280356</v>
      </c>
      <c r="E47" s="135">
        <v>75.294260384923689</v>
      </c>
      <c r="F47" s="129">
        <v>571582</v>
      </c>
      <c r="G47" s="135">
        <v>6.8526121671025413</v>
      </c>
      <c r="H47" s="129">
        <v>174524</v>
      </c>
      <c r="I47" s="135">
        <v>2.0923424562904427</v>
      </c>
      <c r="J47" s="129">
        <v>207885</v>
      </c>
      <c r="K47" s="135">
        <v>2.4923025573900368</v>
      </c>
      <c r="L47" s="129">
        <v>12969</v>
      </c>
      <c r="M47" s="135">
        <v>0.15548342529182665</v>
      </c>
      <c r="N47" s="129">
        <v>468753</v>
      </c>
      <c r="O47" s="135">
        <v>5.6198104754275287</v>
      </c>
      <c r="P47" s="129">
        <v>57182</v>
      </c>
      <c r="Q47" s="135">
        <v>0.68554655139465115</v>
      </c>
      <c r="R47" s="129">
        <v>567831</v>
      </c>
      <c r="S47" s="135">
        <v>6.8076419821792911</v>
      </c>
      <c r="T47" s="129">
        <v>8341082</v>
      </c>
      <c r="U47" s="135">
        <v>100</v>
      </c>
    </row>
    <row r="48" spans="1:21" hidden="1" x14ac:dyDescent="0.2">
      <c r="D48" s="129">
        <v>1228651</v>
      </c>
      <c r="E48" s="135">
        <v>75.193253818411492</v>
      </c>
      <c r="F48" s="129">
        <v>97379</v>
      </c>
      <c r="G48" s="135">
        <v>5.959579948726768</v>
      </c>
      <c r="H48" s="129">
        <v>93186</v>
      </c>
      <c r="I48" s="135">
        <v>5.7029689882012811</v>
      </c>
      <c r="J48" s="129">
        <v>11742</v>
      </c>
      <c r="K48" s="135">
        <v>0.71860860922734582</v>
      </c>
      <c r="L48" s="129">
        <v>34437</v>
      </c>
      <c r="M48" s="135">
        <v>2.1075391480124432</v>
      </c>
      <c r="N48" s="129">
        <v>66593</v>
      </c>
      <c r="O48" s="135">
        <v>4.0754814439002418</v>
      </c>
      <c r="P48" s="129">
        <v>49590</v>
      </c>
      <c r="Q48" s="135">
        <v>3.034900437028111</v>
      </c>
      <c r="R48" s="129">
        <v>52413</v>
      </c>
      <c r="S48" s="135">
        <v>3.2076676064923246</v>
      </c>
      <c r="T48" s="129">
        <v>1633991</v>
      </c>
      <c r="U48" s="135">
        <v>100</v>
      </c>
    </row>
    <row r="49" spans="1:21" x14ac:dyDescent="0.2">
      <c r="A49">
        <v>2011</v>
      </c>
      <c r="B49">
        <v>12</v>
      </c>
      <c r="C49" t="s">
        <v>205</v>
      </c>
      <c r="D49" s="129">
        <v>7509007</v>
      </c>
      <c r="E49" s="135">
        <v>75.277714759581201</v>
      </c>
      <c r="F49" s="129">
        <v>668961</v>
      </c>
      <c r="G49" s="135">
        <v>6.70632686096633</v>
      </c>
      <c r="H49" s="129">
        <v>267710</v>
      </c>
      <c r="I49" s="135">
        <v>2.6837898830414573</v>
      </c>
      <c r="J49" s="129">
        <v>219627</v>
      </c>
      <c r="K49" s="135">
        <v>2.2017583229716715</v>
      </c>
      <c r="L49" s="129">
        <v>47406</v>
      </c>
      <c r="M49" s="135">
        <v>0.47524464231991081</v>
      </c>
      <c r="N49" s="129">
        <v>535346</v>
      </c>
      <c r="O49" s="135">
        <v>5.3668379168753955</v>
      </c>
      <c r="P49" s="129">
        <v>106772</v>
      </c>
      <c r="Q49" s="135">
        <v>1.0703881565578519</v>
      </c>
      <c r="R49" s="129">
        <v>620244</v>
      </c>
      <c r="S49" s="135">
        <v>6.2179394576861746</v>
      </c>
      <c r="T49" s="129">
        <v>9975073</v>
      </c>
      <c r="U49" s="135">
        <v>100</v>
      </c>
    </row>
    <row r="50" spans="1:21" hidden="1" x14ac:dyDescent="0.2">
      <c r="D50" s="129">
        <v>6730145</v>
      </c>
      <c r="E50" s="135">
        <v>74.872613612015144</v>
      </c>
      <c r="F50" s="129">
        <v>126043</v>
      </c>
      <c r="G50" s="135">
        <v>1.4022237020895127</v>
      </c>
      <c r="H50" s="129">
        <v>222747</v>
      </c>
      <c r="I50" s="135">
        <v>2.4780521168913205</v>
      </c>
      <c r="J50" s="129">
        <v>144064</v>
      </c>
      <c r="K50" s="135">
        <v>1.6027066589800589</v>
      </c>
      <c r="L50" s="129">
        <v>203699</v>
      </c>
      <c r="M50" s="135">
        <v>2.2661438230757098</v>
      </c>
      <c r="N50" s="129">
        <v>659175</v>
      </c>
      <c r="O50" s="135">
        <v>7.3332974367862915</v>
      </c>
      <c r="P50" s="129">
        <v>24121</v>
      </c>
      <c r="Q50" s="135">
        <v>0.26834523073951855</v>
      </c>
      <c r="R50" s="129">
        <v>878800</v>
      </c>
      <c r="S50" s="135">
        <v>9.7766174194224487</v>
      </c>
      <c r="T50" s="129">
        <v>8988794</v>
      </c>
      <c r="U50" s="135">
        <v>100</v>
      </c>
    </row>
    <row r="51" spans="1:21" x14ac:dyDescent="0.2">
      <c r="A51">
        <v>2011</v>
      </c>
      <c r="B51">
        <v>13</v>
      </c>
      <c r="C51" t="s">
        <v>24</v>
      </c>
      <c r="D51" s="129">
        <v>6730145</v>
      </c>
      <c r="E51" s="135">
        <v>74.872613612015144</v>
      </c>
      <c r="F51" s="129">
        <v>126043</v>
      </c>
      <c r="G51" s="135">
        <v>1.4022237020895127</v>
      </c>
      <c r="H51" s="129">
        <v>222747</v>
      </c>
      <c r="I51" s="135">
        <v>2.4780521168913205</v>
      </c>
      <c r="J51" s="129">
        <v>144064</v>
      </c>
      <c r="K51" s="135">
        <v>1.6027066589800589</v>
      </c>
      <c r="L51" s="129">
        <v>203699</v>
      </c>
      <c r="M51" s="135">
        <v>2.2661438230757098</v>
      </c>
      <c r="N51" s="129">
        <v>659175</v>
      </c>
      <c r="O51" s="135">
        <v>7.3332974367862915</v>
      </c>
      <c r="P51" s="129">
        <v>24121</v>
      </c>
      <c r="Q51" s="135">
        <v>0.26834523073951855</v>
      </c>
      <c r="R51" s="129">
        <v>878800</v>
      </c>
      <c r="S51" s="135">
        <v>9.7766174194224487</v>
      </c>
      <c r="T51" s="129">
        <v>8988794</v>
      </c>
      <c r="U51" s="135">
        <v>100</v>
      </c>
    </row>
    <row r="52" spans="1:21" hidden="1" x14ac:dyDescent="0.2">
      <c r="D52" s="129">
        <v>6194392</v>
      </c>
      <c r="E52" s="135">
        <v>81.239835007274266</v>
      </c>
      <c r="F52" s="129">
        <v>476088</v>
      </c>
      <c r="G52" s="135">
        <v>6.2439236278464767</v>
      </c>
      <c r="H52" s="129">
        <v>262235</v>
      </c>
      <c r="I52" s="135">
        <v>3.4392282782769588</v>
      </c>
      <c r="J52" s="129">
        <v>87869</v>
      </c>
      <c r="K52" s="135">
        <v>1.152407381104422</v>
      </c>
      <c r="L52" s="129">
        <v>9438</v>
      </c>
      <c r="M52" s="135">
        <v>0.12377995496550018</v>
      </c>
      <c r="N52" s="129">
        <v>312497</v>
      </c>
      <c r="O52" s="135">
        <v>4.0984175235064537</v>
      </c>
      <c r="P52" s="129">
        <v>25722</v>
      </c>
      <c r="Q52" s="135">
        <v>0.33734562424481834</v>
      </c>
      <c r="R52" s="129">
        <v>256580</v>
      </c>
      <c r="S52" s="135">
        <v>3.3650626027811015</v>
      </c>
      <c r="T52" s="129">
        <v>7624821</v>
      </c>
      <c r="U52" s="135">
        <v>100</v>
      </c>
    </row>
    <row r="53" spans="1:21" x14ac:dyDescent="0.2">
      <c r="A53">
        <v>2011</v>
      </c>
      <c r="B53">
        <v>14</v>
      </c>
      <c r="C53" t="s">
        <v>36</v>
      </c>
      <c r="D53" s="129">
        <v>6194392</v>
      </c>
      <c r="E53" s="135">
        <v>81.239835007274266</v>
      </c>
      <c r="F53" s="129">
        <v>476088</v>
      </c>
      <c r="G53" s="135">
        <v>6.2439236278464767</v>
      </c>
      <c r="H53" s="129">
        <v>262235</v>
      </c>
      <c r="I53" s="135">
        <v>3.4392282782769588</v>
      </c>
      <c r="J53" s="129">
        <v>87869</v>
      </c>
      <c r="K53" s="135">
        <v>1.152407381104422</v>
      </c>
      <c r="L53" s="129">
        <v>9438</v>
      </c>
      <c r="M53" s="135">
        <v>0.12377995496550018</v>
      </c>
      <c r="N53" s="129">
        <v>312497</v>
      </c>
      <c r="O53" s="135">
        <v>4.0984175235064537</v>
      </c>
      <c r="P53" s="129">
        <v>25722</v>
      </c>
      <c r="Q53" s="135">
        <v>0.33734562424481834</v>
      </c>
      <c r="R53" s="129">
        <v>256580</v>
      </c>
      <c r="S53" s="135">
        <v>3.3650626027811015</v>
      </c>
      <c r="T53" s="129">
        <v>7624821</v>
      </c>
      <c r="U53" s="135">
        <v>100</v>
      </c>
    </row>
    <row r="54" spans="1:21" hidden="1" x14ac:dyDescent="0.2">
      <c r="D54" s="129">
        <v>2890474</v>
      </c>
      <c r="E54" s="135">
        <v>85.042355328133169</v>
      </c>
      <c r="F54" s="129">
        <v>141349</v>
      </c>
      <c r="G54" s="135">
        <v>4.1587130288237484</v>
      </c>
      <c r="H54" s="129">
        <v>54527</v>
      </c>
      <c r="I54" s="135">
        <v>1.604271309472812</v>
      </c>
      <c r="J54" s="129">
        <v>25119</v>
      </c>
      <c r="K54" s="135">
        <v>0.73904104430186091</v>
      </c>
      <c r="L54" s="129">
        <v>2602</v>
      </c>
      <c r="M54" s="135">
        <v>7.6554990137881362E-2</v>
      </c>
      <c r="N54" s="129">
        <v>198786</v>
      </c>
      <c r="O54" s="135">
        <v>5.8486011796882726</v>
      </c>
      <c r="P54" s="129">
        <v>25549</v>
      </c>
      <c r="Q54" s="135">
        <v>0.75169233014324788</v>
      </c>
      <c r="R54" s="129">
        <v>60458</v>
      </c>
      <c r="S54" s="135">
        <v>1.778770789299013</v>
      </c>
      <c r="T54" s="129">
        <v>3398864</v>
      </c>
      <c r="U54" s="135">
        <v>100</v>
      </c>
    </row>
    <row r="55" spans="1:21" x14ac:dyDescent="0.2">
      <c r="A55">
        <v>2011</v>
      </c>
      <c r="B55">
        <v>15</v>
      </c>
      <c r="C55" t="s">
        <v>27</v>
      </c>
      <c r="D55" s="129">
        <v>2890474</v>
      </c>
      <c r="E55" s="135">
        <v>85.042355328133169</v>
      </c>
      <c r="F55" s="129">
        <v>141349</v>
      </c>
      <c r="G55" s="135">
        <v>4.1587130288237484</v>
      </c>
      <c r="H55" s="129">
        <v>54527</v>
      </c>
      <c r="I55" s="135">
        <v>1.604271309472812</v>
      </c>
      <c r="J55" s="129">
        <v>25119</v>
      </c>
      <c r="K55" s="135">
        <v>0.73904104430186091</v>
      </c>
      <c r="L55" s="129">
        <v>2602</v>
      </c>
      <c r="M55" s="135">
        <v>7.6554990137881362E-2</v>
      </c>
      <c r="N55" s="129">
        <v>198786</v>
      </c>
      <c r="O55" s="135">
        <v>5.8486011796882726</v>
      </c>
      <c r="P55" s="129">
        <v>25549</v>
      </c>
      <c r="Q55" s="135">
        <v>0.75169233014324788</v>
      </c>
      <c r="R55" s="129">
        <v>60458</v>
      </c>
      <c r="S55" s="135">
        <v>1.778770789299013</v>
      </c>
      <c r="T55" s="129">
        <v>3398864</v>
      </c>
      <c r="U55" s="135">
        <v>100</v>
      </c>
    </row>
    <row r="56" spans="1:21" hidden="1" x14ac:dyDescent="0.2">
      <c r="D56" s="129">
        <v>1096413</v>
      </c>
      <c r="E56" s="135">
        <v>80.489523785752397</v>
      </c>
      <c r="F56" s="129">
        <v>6300</v>
      </c>
      <c r="G56" s="135">
        <v>0.46249360400710327</v>
      </c>
      <c r="H56" s="129">
        <v>181620</v>
      </c>
      <c r="I56" s="135">
        <v>13.333029898376205</v>
      </c>
      <c r="J56" s="129">
        <v>0</v>
      </c>
      <c r="K56" s="135">
        <v>0</v>
      </c>
      <c r="L56" s="129">
        <v>2874</v>
      </c>
      <c r="M56" s="135">
        <v>0.21098517744704998</v>
      </c>
      <c r="N56" s="129">
        <v>65704</v>
      </c>
      <c r="O56" s="135">
        <v>4.8234412313782089</v>
      </c>
      <c r="P56" s="129">
        <v>6483</v>
      </c>
      <c r="Q56" s="135">
        <v>0.47592794202826205</v>
      </c>
      <c r="R56" s="129">
        <v>2787</v>
      </c>
      <c r="S56" s="135">
        <v>0.2045983610107614</v>
      </c>
      <c r="T56" s="129">
        <v>1362181</v>
      </c>
      <c r="U56" s="135">
        <v>100</v>
      </c>
    </row>
    <row r="57" spans="1:21" hidden="1" x14ac:dyDescent="0.2">
      <c r="D57" s="129">
        <v>398473</v>
      </c>
      <c r="E57" s="135">
        <v>89.909385054851825</v>
      </c>
      <c r="F57" s="129">
        <v>1112</v>
      </c>
      <c r="G57" s="135">
        <v>0.25090592381665816</v>
      </c>
      <c r="H57" s="129">
        <v>24846</v>
      </c>
      <c r="I57" s="135">
        <v>5.6061228265725616</v>
      </c>
      <c r="J57" s="129">
        <v>0</v>
      </c>
      <c r="K57" s="135">
        <v>0</v>
      </c>
      <c r="L57" s="129">
        <v>0</v>
      </c>
      <c r="M57" s="135">
        <v>0</v>
      </c>
      <c r="N57" s="129">
        <v>6259</v>
      </c>
      <c r="O57" s="135">
        <v>1.4122483607630067</v>
      </c>
      <c r="P57" s="129">
        <v>11582</v>
      </c>
      <c r="Q57" s="135">
        <v>2.6133025266587544</v>
      </c>
      <c r="R57" s="129">
        <v>922</v>
      </c>
      <c r="S57" s="135">
        <v>0.20803530733719319</v>
      </c>
      <c r="T57" s="129">
        <v>443194</v>
      </c>
      <c r="U57" s="135">
        <v>100</v>
      </c>
    </row>
    <row r="58" spans="1:21" hidden="1" x14ac:dyDescent="0.2">
      <c r="D58" s="129">
        <v>407256</v>
      </c>
      <c r="E58" s="135">
        <v>88.799345870809489</v>
      </c>
      <c r="F58" s="129">
        <v>1885</v>
      </c>
      <c r="G58" s="135">
        <v>0.4110111747070046</v>
      </c>
      <c r="H58" s="129">
        <v>29972</v>
      </c>
      <c r="I58" s="135">
        <v>6.535186699373126</v>
      </c>
      <c r="J58" s="129">
        <v>0</v>
      </c>
      <c r="K58" s="135">
        <v>0</v>
      </c>
      <c r="L58" s="129">
        <v>0</v>
      </c>
      <c r="M58" s="135">
        <v>0</v>
      </c>
      <c r="N58" s="129">
        <v>8007</v>
      </c>
      <c r="O58" s="135">
        <v>1.7458708094848734</v>
      </c>
      <c r="P58" s="129">
        <v>10443</v>
      </c>
      <c r="Q58" s="135">
        <v>2.2770237121831562</v>
      </c>
      <c r="R58" s="129">
        <v>1062</v>
      </c>
      <c r="S58" s="135">
        <v>0.23156173344235487</v>
      </c>
      <c r="T58" s="129">
        <v>458625</v>
      </c>
      <c r="U58" s="135">
        <v>100</v>
      </c>
    </row>
    <row r="59" spans="1:21" hidden="1" x14ac:dyDescent="0.2">
      <c r="D59" s="129">
        <v>379343</v>
      </c>
      <c r="E59" s="135">
        <v>90.134342685523123</v>
      </c>
      <c r="F59" s="129">
        <v>0</v>
      </c>
      <c r="G59" s="135">
        <v>0</v>
      </c>
      <c r="H59" s="129">
        <v>10169</v>
      </c>
      <c r="I59" s="135">
        <v>2.4162199665450119</v>
      </c>
      <c r="J59" s="129">
        <v>0</v>
      </c>
      <c r="K59" s="135">
        <v>0</v>
      </c>
      <c r="L59" s="129">
        <v>0</v>
      </c>
      <c r="M59" s="135">
        <v>0</v>
      </c>
      <c r="N59" s="129">
        <v>29140</v>
      </c>
      <c r="O59" s="135">
        <v>6.9238518856447691</v>
      </c>
      <c r="P59" s="129">
        <v>1329</v>
      </c>
      <c r="Q59" s="135">
        <v>0.3157789689781022</v>
      </c>
      <c r="R59" s="129">
        <v>883</v>
      </c>
      <c r="S59" s="135">
        <v>0.20980649330900242</v>
      </c>
      <c r="T59" s="129">
        <v>420864</v>
      </c>
      <c r="U59" s="135">
        <v>100</v>
      </c>
    </row>
    <row r="60" spans="1:21" hidden="1" x14ac:dyDescent="0.2">
      <c r="D60" s="129">
        <v>1055672</v>
      </c>
      <c r="E60" s="135">
        <v>85.687870993192348</v>
      </c>
      <c r="F60" s="129">
        <v>10469</v>
      </c>
      <c r="G60" s="135">
        <v>0.84975856272377293</v>
      </c>
      <c r="H60" s="129">
        <v>96935</v>
      </c>
      <c r="I60" s="135">
        <v>7.8681198087333009</v>
      </c>
      <c r="J60" s="129">
        <v>0</v>
      </c>
      <c r="K60" s="135">
        <v>0</v>
      </c>
      <c r="L60" s="129">
        <v>0</v>
      </c>
      <c r="M60" s="135">
        <v>0</v>
      </c>
      <c r="N60" s="129">
        <v>51681</v>
      </c>
      <c r="O60" s="135">
        <v>4.1948965784819281</v>
      </c>
      <c r="P60" s="129">
        <v>9987</v>
      </c>
      <c r="Q60" s="135">
        <v>0.81063509083220164</v>
      </c>
      <c r="R60" s="129">
        <v>7253</v>
      </c>
      <c r="S60" s="135">
        <v>0.58871896603644325</v>
      </c>
      <c r="T60" s="129">
        <v>1231997</v>
      </c>
      <c r="U60" s="135">
        <v>100</v>
      </c>
    </row>
    <row r="61" spans="1:21" hidden="1" x14ac:dyDescent="0.2">
      <c r="D61" s="129">
        <v>592557</v>
      </c>
      <c r="E61" s="135">
        <v>88.442927336011991</v>
      </c>
      <c r="F61" s="129">
        <v>260</v>
      </c>
      <c r="G61" s="135">
        <v>3.880666519400347E-2</v>
      </c>
      <c r="H61" s="129">
        <v>32590</v>
      </c>
      <c r="I61" s="135">
        <v>4.8642662256637426</v>
      </c>
      <c r="J61" s="129">
        <v>0</v>
      </c>
      <c r="K61" s="135">
        <v>0</v>
      </c>
      <c r="L61" s="129">
        <v>3117</v>
      </c>
      <c r="M61" s="135">
        <v>0.46523221311426477</v>
      </c>
      <c r="N61" s="129">
        <v>33503</v>
      </c>
      <c r="O61" s="135">
        <v>5.0005373230565322</v>
      </c>
      <c r="P61" s="129">
        <v>4800</v>
      </c>
      <c r="Q61" s="135">
        <v>0.71643074204314106</v>
      </c>
      <c r="R61" s="129">
        <v>3161</v>
      </c>
      <c r="S61" s="135">
        <v>0.47179949491632683</v>
      </c>
      <c r="T61" s="129">
        <v>669988</v>
      </c>
      <c r="U61" s="135">
        <v>100</v>
      </c>
    </row>
    <row r="62" spans="1:21" hidden="1" x14ac:dyDescent="0.2">
      <c r="D62" s="129">
        <v>464815</v>
      </c>
      <c r="E62" s="135">
        <v>91.344557136652782</v>
      </c>
      <c r="F62" s="129">
        <v>0</v>
      </c>
      <c r="G62" s="135">
        <v>0</v>
      </c>
      <c r="H62" s="129">
        <v>15135</v>
      </c>
      <c r="I62" s="135">
        <v>2.9743013290518592</v>
      </c>
      <c r="J62" s="129">
        <v>0</v>
      </c>
      <c r="K62" s="135">
        <v>0</v>
      </c>
      <c r="L62" s="129">
        <v>2060</v>
      </c>
      <c r="M62" s="135">
        <v>0.40482727042265143</v>
      </c>
      <c r="N62" s="129">
        <v>14631</v>
      </c>
      <c r="O62" s="135">
        <v>2.8752562104630162</v>
      </c>
      <c r="P62" s="129">
        <v>7262</v>
      </c>
      <c r="Q62" s="135">
        <v>1.4271143872860654</v>
      </c>
      <c r="R62" s="129">
        <v>4956</v>
      </c>
      <c r="S62" s="135">
        <v>0.97394366612362171</v>
      </c>
      <c r="T62" s="129">
        <v>508859</v>
      </c>
      <c r="U62" s="135">
        <v>100</v>
      </c>
    </row>
    <row r="63" spans="1:21" x14ac:dyDescent="0.2">
      <c r="A63">
        <v>2011</v>
      </c>
      <c r="B63">
        <v>16</v>
      </c>
      <c r="C63" t="s">
        <v>29</v>
      </c>
      <c r="D63" s="129">
        <v>4394529</v>
      </c>
      <c r="E63" s="135">
        <v>86.239812014346199</v>
      </c>
      <c r="F63" s="129">
        <v>20026</v>
      </c>
      <c r="G63" s="135">
        <v>0.39299740094997598</v>
      </c>
      <c r="H63" s="129">
        <v>391267</v>
      </c>
      <c r="I63" s="135">
        <v>7.6783638308945497</v>
      </c>
      <c r="J63" s="129">
        <v>0</v>
      </c>
      <c r="K63" s="135">
        <v>0</v>
      </c>
      <c r="L63" s="129">
        <v>8051</v>
      </c>
      <c r="M63" s="135">
        <v>0.15799570933028345</v>
      </c>
      <c r="N63" s="129">
        <v>208925</v>
      </c>
      <c r="O63" s="135">
        <v>4.1000190748763465</v>
      </c>
      <c r="P63" s="129">
        <v>51886</v>
      </c>
      <c r="Q63" s="135">
        <v>1.0182294589878385</v>
      </c>
      <c r="R63" s="129">
        <v>21024</v>
      </c>
      <c r="S63" s="135">
        <v>0.41258251061481543</v>
      </c>
      <c r="T63" s="129">
        <v>5095708</v>
      </c>
      <c r="U63" s="135">
        <v>100</v>
      </c>
    </row>
    <row r="64" spans="1:21" hidden="1" x14ac:dyDescent="0.2">
      <c r="D64" s="129">
        <v>2877619</v>
      </c>
      <c r="E64" s="135">
        <v>78.132515955751273</v>
      </c>
      <c r="F64" s="129">
        <v>332411</v>
      </c>
      <c r="G64" s="135">
        <v>9.025554724710684</v>
      </c>
      <c r="H64" s="129">
        <v>33160</v>
      </c>
      <c r="I64" s="135">
        <v>0.90035346204369371</v>
      </c>
      <c r="J64" s="129">
        <v>33758</v>
      </c>
      <c r="K64" s="135">
        <v>0.91659023436884834</v>
      </c>
      <c r="L64" s="129">
        <v>0</v>
      </c>
      <c r="M64" s="135">
        <v>0</v>
      </c>
      <c r="N64" s="129">
        <v>234254</v>
      </c>
      <c r="O64" s="135">
        <v>6.3604161609645189</v>
      </c>
      <c r="P64" s="129">
        <v>69870</v>
      </c>
      <c r="Q64" s="135">
        <v>1.8970957898972522</v>
      </c>
      <c r="R64" s="129">
        <v>101926</v>
      </c>
      <c r="S64" s="135">
        <v>2.767473672263737</v>
      </c>
      <c r="T64" s="129">
        <v>3682998</v>
      </c>
      <c r="U64" s="135">
        <v>100</v>
      </c>
    </row>
    <row r="65" spans="1:21" x14ac:dyDescent="0.2">
      <c r="A65">
        <v>2011</v>
      </c>
      <c r="B65">
        <v>17</v>
      </c>
      <c r="C65" s="8" t="s">
        <v>178</v>
      </c>
      <c r="D65" s="129">
        <v>2877619</v>
      </c>
      <c r="E65" s="135">
        <v>78.132515955751273</v>
      </c>
      <c r="F65" s="129">
        <v>332411</v>
      </c>
      <c r="G65" s="135">
        <v>9.025554724710684</v>
      </c>
      <c r="H65" s="129">
        <v>33160</v>
      </c>
      <c r="I65" s="135">
        <v>0.90035346204369371</v>
      </c>
      <c r="J65" s="129">
        <v>33758</v>
      </c>
      <c r="K65" s="135">
        <v>0.91659023436884834</v>
      </c>
      <c r="L65" s="129">
        <v>0</v>
      </c>
      <c r="M65" s="135">
        <v>0</v>
      </c>
      <c r="N65" s="129">
        <v>234254</v>
      </c>
      <c r="O65" s="135">
        <v>6.3604161609645189</v>
      </c>
      <c r="P65" s="129">
        <v>69870</v>
      </c>
      <c r="Q65" s="135">
        <v>1.8970957898972522</v>
      </c>
      <c r="R65" s="129">
        <v>101926</v>
      </c>
      <c r="S65" s="135">
        <v>2.767473672263737</v>
      </c>
      <c r="T65" s="129">
        <v>3682998</v>
      </c>
      <c r="U65" s="135">
        <v>100</v>
      </c>
    </row>
    <row r="66" spans="1:21" hidden="1" x14ac:dyDescent="0.2">
      <c r="D66" s="129">
        <v>6557659</v>
      </c>
      <c r="E66" s="135">
        <v>73.17660213258732</v>
      </c>
      <c r="F66" s="129">
        <v>631514</v>
      </c>
      <c r="G66" s="135">
        <v>7.0470344248090289</v>
      </c>
      <c r="H66" s="129">
        <v>447721</v>
      </c>
      <c r="I66" s="135">
        <v>4.9960971565316408</v>
      </c>
      <c r="J66" s="129">
        <v>73121</v>
      </c>
      <c r="K66" s="135">
        <v>0.81595373052135178</v>
      </c>
      <c r="L66" s="129">
        <v>5456</v>
      </c>
      <c r="M66" s="135">
        <v>6.0883242211190979E-2</v>
      </c>
      <c r="N66" s="129">
        <v>841461</v>
      </c>
      <c r="O66" s="135">
        <v>9.3898229241698985</v>
      </c>
      <c r="P66" s="129">
        <v>82737</v>
      </c>
      <c r="Q66" s="135">
        <v>0.92325821312817224</v>
      </c>
      <c r="R66" s="129">
        <v>321746</v>
      </c>
      <c r="S66" s="135">
        <v>3.5903481760413953</v>
      </c>
      <c r="T66" s="129">
        <v>8961415</v>
      </c>
      <c r="U66" s="135">
        <v>100</v>
      </c>
    </row>
    <row r="67" spans="1:21" x14ac:dyDescent="0.2">
      <c r="A67">
        <v>2011</v>
      </c>
      <c r="B67">
        <v>18</v>
      </c>
      <c r="C67" t="s">
        <v>17</v>
      </c>
      <c r="D67" s="129">
        <v>6557659</v>
      </c>
      <c r="E67" s="135">
        <v>73.17660213258732</v>
      </c>
      <c r="F67" s="129">
        <v>631514</v>
      </c>
      <c r="G67" s="135">
        <v>7.0470344248090289</v>
      </c>
      <c r="H67" s="129">
        <v>447721</v>
      </c>
      <c r="I67" s="135">
        <v>4.9960971565316408</v>
      </c>
      <c r="J67" s="129">
        <v>73121</v>
      </c>
      <c r="K67" s="135">
        <v>0.81595373052135178</v>
      </c>
      <c r="L67" s="129">
        <v>5456</v>
      </c>
      <c r="M67" s="135">
        <v>6.0883242211190979E-2</v>
      </c>
      <c r="N67" s="129">
        <v>841461</v>
      </c>
      <c r="O67" s="135">
        <v>9.3898229241698985</v>
      </c>
      <c r="P67" s="129">
        <v>82737</v>
      </c>
      <c r="Q67" s="135">
        <v>0.92325821312817224</v>
      </c>
      <c r="R67" s="129">
        <v>321746</v>
      </c>
      <c r="S67" s="135">
        <v>3.5903481760413953</v>
      </c>
      <c r="T67" s="129">
        <v>8961415</v>
      </c>
      <c r="U67" s="135">
        <v>100</v>
      </c>
    </row>
    <row r="68" spans="1:21" hidden="1" x14ac:dyDescent="0.2">
      <c r="D68" s="129">
        <v>4101508</v>
      </c>
      <c r="E68" s="135">
        <v>69.503372554973893</v>
      </c>
      <c r="F68" s="129">
        <v>220466</v>
      </c>
      <c r="G68" s="135">
        <v>3.7359748009036862</v>
      </c>
      <c r="H68" s="129">
        <v>308498</v>
      </c>
      <c r="I68" s="135">
        <v>5.2277482883037987</v>
      </c>
      <c r="J68" s="129">
        <v>164422</v>
      </c>
      <c r="K68" s="135">
        <v>2.7862638625193266</v>
      </c>
      <c r="L68" s="129">
        <v>18014</v>
      </c>
      <c r="M68" s="135">
        <v>0.30526180936506764</v>
      </c>
      <c r="N68" s="129">
        <v>323121</v>
      </c>
      <c r="O68" s="135">
        <v>5.4755468582130575</v>
      </c>
      <c r="P68" s="129">
        <v>203549</v>
      </c>
      <c r="Q68" s="135">
        <v>3.4493025443793806</v>
      </c>
      <c r="R68" s="129">
        <v>561586</v>
      </c>
      <c r="S68" s="135">
        <v>9.5165292813417839</v>
      </c>
      <c r="T68" s="129">
        <v>5901164</v>
      </c>
      <c r="U68" s="135">
        <v>100</v>
      </c>
    </row>
    <row r="69" spans="1:21" x14ac:dyDescent="0.2">
      <c r="A69">
        <v>2011</v>
      </c>
      <c r="B69">
        <v>19</v>
      </c>
      <c r="C69" t="s">
        <v>9</v>
      </c>
      <c r="D69" s="129">
        <v>4101508</v>
      </c>
      <c r="E69" s="135">
        <v>69.503372554973893</v>
      </c>
      <c r="F69" s="129">
        <v>220466</v>
      </c>
      <c r="G69" s="135">
        <v>3.7359748009036862</v>
      </c>
      <c r="H69" s="129">
        <v>308498</v>
      </c>
      <c r="I69" s="135">
        <v>5.2277482883037987</v>
      </c>
      <c r="J69" s="129">
        <v>164422</v>
      </c>
      <c r="K69" s="135">
        <v>2.7862638625193266</v>
      </c>
      <c r="L69" s="129">
        <v>18014</v>
      </c>
      <c r="M69" s="135">
        <v>0.30526180936506764</v>
      </c>
      <c r="N69" s="129">
        <v>323121</v>
      </c>
      <c r="O69" s="135">
        <v>5.4755468582130575</v>
      </c>
      <c r="P69" s="129">
        <v>203549</v>
      </c>
      <c r="Q69" s="135">
        <v>3.4493025443793806</v>
      </c>
      <c r="R69" s="129">
        <v>561586</v>
      </c>
      <c r="S69" s="135">
        <v>9.5165292813417839</v>
      </c>
      <c r="T69" s="129">
        <v>5901164</v>
      </c>
      <c r="U69" s="135">
        <v>100</v>
      </c>
    </row>
    <row r="70" spans="1:21" hidden="1" x14ac:dyDescent="0.2">
      <c r="D70" s="129">
        <v>2011565</v>
      </c>
      <c r="E70" s="135">
        <v>80.410236853760836</v>
      </c>
      <c r="F70" s="129">
        <v>7164</v>
      </c>
      <c r="G70" s="135">
        <v>0.28637351356796453</v>
      </c>
      <c r="H70" s="129">
        <v>136285</v>
      </c>
      <c r="I70" s="135">
        <v>5.4478523585441163</v>
      </c>
      <c r="J70" s="129">
        <v>2396</v>
      </c>
      <c r="K70" s="135">
        <v>9.5777629607599529E-2</v>
      </c>
      <c r="L70" s="129">
        <v>0</v>
      </c>
      <c r="M70" s="135">
        <v>0</v>
      </c>
      <c r="N70" s="129">
        <v>139448</v>
      </c>
      <c r="O70" s="135">
        <v>5.5742900223374541</v>
      </c>
      <c r="P70" s="129">
        <v>160911</v>
      </c>
      <c r="Q70" s="135">
        <v>6.4322513179417564</v>
      </c>
      <c r="R70" s="129">
        <v>43859</v>
      </c>
      <c r="S70" s="135">
        <v>1.7532183042402787</v>
      </c>
      <c r="T70" s="129">
        <v>2501628</v>
      </c>
      <c r="U70" s="135">
        <v>100</v>
      </c>
    </row>
    <row r="71" spans="1:21" hidden="1" x14ac:dyDescent="0.2">
      <c r="D71" s="129">
        <v>941832</v>
      </c>
      <c r="E71" s="135">
        <v>88.399984607023882</v>
      </c>
      <c r="F71" s="129">
        <v>5984</v>
      </c>
      <c r="G71" s="135">
        <v>0.56165590879098493</v>
      </c>
      <c r="H71" s="129">
        <v>57647</v>
      </c>
      <c r="I71" s="135">
        <v>5.4107249622449718</v>
      </c>
      <c r="J71" s="129">
        <v>0</v>
      </c>
      <c r="K71" s="135">
        <v>0</v>
      </c>
      <c r="L71" s="129">
        <v>0</v>
      </c>
      <c r="M71" s="135">
        <v>0</v>
      </c>
      <c r="N71" s="129">
        <v>54862</v>
      </c>
      <c r="O71" s="135">
        <v>5.149325947207724</v>
      </c>
      <c r="P71" s="129">
        <v>5096</v>
      </c>
      <c r="Q71" s="135">
        <v>0.47830857473242971</v>
      </c>
      <c r="R71" s="129">
        <v>0</v>
      </c>
      <c r="S71" s="135">
        <v>0</v>
      </c>
      <c r="T71" s="129">
        <v>1065421</v>
      </c>
      <c r="U71" s="135">
        <v>100</v>
      </c>
    </row>
    <row r="72" spans="1:21" x14ac:dyDescent="0.2">
      <c r="A72" s="131" t="s">
        <v>204</v>
      </c>
      <c r="B72">
        <v>20</v>
      </c>
      <c r="C72" t="s">
        <v>30</v>
      </c>
      <c r="D72" s="129">
        <v>2953397</v>
      </c>
      <c r="E72" s="135">
        <v>82.796647873354132</v>
      </c>
      <c r="F72" s="129">
        <v>13148</v>
      </c>
      <c r="G72" s="135">
        <v>0.36859600190521635</v>
      </c>
      <c r="H72" s="129">
        <v>193932</v>
      </c>
      <c r="I72" s="135">
        <v>5.4367629937239439</v>
      </c>
      <c r="J72" s="129">
        <v>2396</v>
      </c>
      <c r="K72" s="135">
        <v>6.7170369680932332E-2</v>
      </c>
      <c r="L72" s="129">
        <v>0</v>
      </c>
      <c r="M72" s="135">
        <v>0</v>
      </c>
      <c r="N72" s="129">
        <v>194310</v>
      </c>
      <c r="O72" s="135">
        <v>5.4473599886068289</v>
      </c>
      <c r="P72" s="129">
        <v>166007</v>
      </c>
      <c r="Q72" s="135">
        <v>4.6539029881563163</v>
      </c>
      <c r="R72" s="129">
        <v>43859</v>
      </c>
      <c r="S72" s="135">
        <v>1.2295597845726256</v>
      </c>
      <c r="T72" s="129">
        <v>3567049</v>
      </c>
      <c r="U72" s="135">
        <v>100</v>
      </c>
    </row>
    <row r="73" spans="1:21" hidden="1" x14ac:dyDescent="0.2">
      <c r="D73" s="129">
        <v>10871842</v>
      </c>
      <c r="E73" s="135">
        <v>57.818594819672178</v>
      </c>
      <c r="F73" s="129">
        <v>647894</v>
      </c>
      <c r="G73" s="135">
        <v>3.4456277668583382</v>
      </c>
      <c r="H73" s="129">
        <v>1916827</v>
      </c>
      <c r="I73" s="135">
        <v>10.194063126782726</v>
      </c>
      <c r="J73" s="129">
        <v>72436</v>
      </c>
      <c r="K73" s="135">
        <v>0.38522889997461096</v>
      </c>
      <c r="L73" s="129">
        <v>6155</v>
      </c>
      <c r="M73" s="135">
        <v>3.2733501012531481E-2</v>
      </c>
      <c r="N73" s="129">
        <v>1843679</v>
      </c>
      <c r="O73" s="135">
        <v>9.8050476707202314</v>
      </c>
      <c r="P73" s="129">
        <v>88164</v>
      </c>
      <c r="Q73" s="135">
        <v>0.46887349850021537</v>
      </c>
      <c r="R73" s="129">
        <v>3356369</v>
      </c>
      <c r="S73" s="135">
        <v>17.849830716479168</v>
      </c>
      <c r="T73" s="129">
        <v>18803366</v>
      </c>
      <c r="U73" s="135">
        <v>100</v>
      </c>
    </row>
    <row r="74" spans="1:21" x14ac:dyDescent="0.2">
      <c r="A74">
        <v>2011</v>
      </c>
      <c r="B74">
        <v>21</v>
      </c>
      <c r="C74" t="s">
        <v>22</v>
      </c>
      <c r="D74" s="129">
        <v>10871842</v>
      </c>
      <c r="E74" s="135">
        <v>57.818594819672178</v>
      </c>
      <c r="F74" s="129">
        <v>647894</v>
      </c>
      <c r="G74" s="135">
        <v>3.4456277668583382</v>
      </c>
      <c r="H74" s="129">
        <v>1916827</v>
      </c>
      <c r="I74" s="135">
        <v>10.194063126782726</v>
      </c>
      <c r="J74" s="129">
        <v>72436</v>
      </c>
      <c r="K74" s="135">
        <v>0.38522889997461096</v>
      </c>
      <c r="L74" s="129">
        <v>6155</v>
      </c>
      <c r="M74" s="135">
        <v>3.2733501012531481E-2</v>
      </c>
      <c r="N74" s="129">
        <v>1843679</v>
      </c>
      <c r="O74" s="135">
        <v>9.8050476707202314</v>
      </c>
      <c r="P74" s="129">
        <v>88164</v>
      </c>
      <c r="Q74" s="135">
        <v>0.46887349850021537</v>
      </c>
      <c r="R74" s="129">
        <v>3356369</v>
      </c>
      <c r="S74" s="135">
        <v>17.849830716479168</v>
      </c>
      <c r="T74" s="129">
        <v>18803366</v>
      </c>
      <c r="U74" s="135">
        <v>100</v>
      </c>
    </row>
    <row r="75" spans="1:21" hidden="1" x14ac:dyDescent="0.2">
      <c r="D75" s="129">
        <v>3111345</v>
      </c>
      <c r="E75" s="135">
        <v>81.733949374178081</v>
      </c>
      <c r="F75" s="129">
        <v>137325</v>
      </c>
      <c r="G75" s="135">
        <v>3.6074799155378159</v>
      </c>
      <c r="H75" s="129">
        <v>41928</v>
      </c>
      <c r="I75" s="135">
        <v>1.1014339552060408</v>
      </c>
      <c r="J75" s="129">
        <v>0</v>
      </c>
      <c r="K75" s="135">
        <v>0</v>
      </c>
      <c r="L75" s="129">
        <v>0</v>
      </c>
      <c r="M75" s="135">
        <v>0</v>
      </c>
      <c r="N75" s="129">
        <v>341028</v>
      </c>
      <c r="O75" s="135">
        <v>8.9586867696051726</v>
      </c>
      <c r="P75" s="129">
        <v>13445</v>
      </c>
      <c r="Q75" s="135">
        <v>0.35319546669875068</v>
      </c>
      <c r="R75" s="129">
        <v>161603</v>
      </c>
      <c r="S75" s="135">
        <v>4.2452545187741313</v>
      </c>
      <c r="T75" s="129">
        <v>3806674</v>
      </c>
      <c r="U75" s="135">
        <v>100</v>
      </c>
    </row>
    <row r="76" spans="1:21" x14ac:dyDescent="0.2">
      <c r="A76">
        <v>2011</v>
      </c>
      <c r="B76">
        <v>22</v>
      </c>
      <c r="C76" t="s">
        <v>13</v>
      </c>
      <c r="D76" s="129">
        <v>3111345</v>
      </c>
      <c r="E76" s="135">
        <v>81.733949374178081</v>
      </c>
      <c r="F76" s="129">
        <v>137325</v>
      </c>
      <c r="G76" s="135">
        <v>3.6074799155378159</v>
      </c>
      <c r="H76" s="129">
        <v>41928</v>
      </c>
      <c r="I76" s="135">
        <v>1.1014339552060408</v>
      </c>
      <c r="J76" s="129">
        <v>0</v>
      </c>
      <c r="K76" s="135">
        <v>0</v>
      </c>
      <c r="L76" s="129">
        <v>0</v>
      </c>
      <c r="M76" s="135">
        <v>0</v>
      </c>
      <c r="N76" s="129">
        <v>341028</v>
      </c>
      <c r="O76" s="135">
        <v>8.9586867696051726</v>
      </c>
      <c r="P76" s="129">
        <v>13445</v>
      </c>
      <c r="Q76" s="135">
        <v>0.35319546669875068</v>
      </c>
      <c r="R76" s="129">
        <v>161603</v>
      </c>
      <c r="S76" s="135">
        <v>4.2452545187741313</v>
      </c>
      <c r="T76" s="129">
        <v>3806674</v>
      </c>
      <c r="U76" s="135">
        <v>100</v>
      </c>
    </row>
    <row r="77" spans="1:21" hidden="1" x14ac:dyDescent="0.2">
      <c r="D77" s="129">
        <v>3913695</v>
      </c>
      <c r="E77" s="135">
        <v>77.186298738988413</v>
      </c>
      <c r="F77" s="129">
        <v>502439</v>
      </c>
      <c r="G77" s="135">
        <v>9.9091540736103845</v>
      </c>
      <c r="H77" s="129">
        <v>287069</v>
      </c>
      <c r="I77" s="135">
        <v>5.6616045943035074</v>
      </c>
      <c r="J77" s="129">
        <v>0</v>
      </c>
      <c r="K77" s="135">
        <v>0</v>
      </c>
      <c r="L77" s="129">
        <v>5421</v>
      </c>
      <c r="M77" s="135">
        <v>0.10691352429457487</v>
      </c>
      <c r="N77" s="129">
        <v>163577</v>
      </c>
      <c r="O77" s="135">
        <v>3.2260825610650565</v>
      </c>
      <c r="P77" s="129">
        <v>175227</v>
      </c>
      <c r="Q77" s="135">
        <v>3.4558450694642078</v>
      </c>
      <c r="R77" s="129">
        <v>23025</v>
      </c>
      <c r="S77" s="135">
        <v>0.45410143827385835</v>
      </c>
      <c r="T77" s="129">
        <v>5070453</v>
      </c>
      <c r="U77" s="135">
        <v>100</v>
      </c>
    </row>
    <row r="78" spans="1:21" x14ac:dyDescent="0.2">
      <c r="A78">
        <v>2011</v>
      </c>
      <c r="B78">
        <v>23</v>
      </c>
      <c r="C78" t="s">
        <v>6</v>
      </c>
      <c r="D78" s="129">
        <v>3913695</v>
      </c>
      <c r="E78" s="135">
        <v>77.186298738988413</v>
      </c>
      <c r="F78" s="129">
        <v>502439</v>
      </c>
      <c r="G78" s="135">
        <v>9.9091540736103845</v>
      </c>
      <c r="H78" s="129">
        <v>287069</v>
      </c>
      <c r="I78" s="135">
        <v>5.6616045943035074</v>
      </c>
      <c r="J78" s="129">
        <v>0</v>
      </c>
      <c r="K78" s="135">
        <v>0</v>
      </c>
      <c r="L78" s="129">
        <v>5421</v>
      </c>
      <c r="M78" s="135">
        <v>0.10691352429457487</v>
      </c>
      <c r="N78" s="129">
        <v>163577</v>
      </c>
      <c r="O78" s="135">
        <v>3.2260825610650565</v>
      </c>
      <c r="P78" s="129">
        <v>175227</v>
      </c>
      <c r="Q78" s="135">
        <v>3.4558450694642078</v>
      </c>
      <c r="R78" s="129">
        <v>23025</v>
      </c>
      <c r="S78" s="135">
        <v>0.45410143827385835</v>
      </c>
      <c r="T78" s="129">
        <v>5070453</v>
      </c>
      <c r="U78" s="135">
        <v>100</v>
      </c>
    </row>
    <row r="79" spans="1:21" hidden="1" x14ac:dyDescent="0.2">
      <c r="D79" s="129">
        <v>9774438</v>
      </c>
      <c r="E79" s="135">
        <v>76.768060263132838</v>
      </c>
      <c r="F79" s="129">
        <v>627433</v>
      </c>
      <c r="G79" s="135">
        <v>4.9278346596580009</v>
      </c>
      <c r="H79" s="129">
        <v>519995</v>
      </c>
      <c r="I79" s="135">
        <v>4.0840207382284044</v>
      </c>
      <c r="J79" s="129">
        <v>191774</v>
      </c>
      <c r="K79" s="135">
        <v>1.506185623040633</v>
      </c>
      <c r="L79" s="129">
        <v>38695</v>
      </c>
      <c r="M79" s="135">
        <v>0.3039090423287687</v>
      </c>
      <c r="N79" s="129">
        <v>886899</v>
      </c>
      <c r="O79" s="135">
        <v>6.9656706482062969</v>
      </c>
      <c r="P79" s="129">
        <v>282579</v>
      </c>
      <c r="Q79" s="135">
        <v>2.2193646019439495</v>
      </c>
      <c r="R79" s="129">
        <v>410615</v>
      </c>
      <c r="S79" s="135">
        <v>3.2249544234611025</v>
      </c>
      <c r="T79" s="129">
        <v>12732428</v>
      </c>
      <c r="U79" s="135">
        <v>100</v>
      </c>
    </row>
    <row r="80" spans="1:21" x14ac:dyDescent="0.2">
      <c r="A80">
        <v>2011</v>
      </c>
      <c r="B80">
        <v>24</v>
      </c>
      <c r="C80" s="122" t="s">
        <v>173</v>
      </c>
      <c r="D80" s="129">
        <v>9774438</v>
      </c>
      <c r="E80" s="135">
        <v>76.768060263132838</v>
      </c>
      <c r="F80" s="129">
        <v>627433</v>
      </c>
      <c r="G80" s="135">
        <v>4.9278346596580009</v>
      </c>
      <c r="H80" s="129">
        <v>519995</v>
      </c>
      <c r="I80" s="135">
        <v>4.0840207382284044</v>
      </c>
      <c r="J80" s="129">
        <v>191774</v>
      </c>
      <c r="K80" s="135">
        <v>1.506185623040633</v>
      </c>
      <c r="L80" s="129">
        <v>38695</v>
      </c>
      <c r="M80" s="135">
        <v>0.3039090423287687</v>
      </c>
      <c r="N80" s="129">
        <v>886899</v>
      </c>
      <c r="O80" s="135">
        <v>6.9656706482062969</v>
      </c>
      <c r="P80" s="129">
        <v>282579</v>
      </c>
      <c r="Q80" s="135">
        <v>2.2193646019439495</v>
      </c>
      <c r="R80" s="129">
        <v>410615</v>
      </c>
      <c r="S80" s="135">
        <v>3.2249544234611025</v>
      </c>
      <c r="T80" s="129">
        <v>12732428</v>
      </c>
      <c r="U80" s="135">
        <v>100</v>
      </c>
    </row>
    <row r="81" spans="1:21" hidden="1" x14ac:dyDescent="0.2">
      <c r="D81" s="129">
        <v>2108301</v>
      </c>
      <c r="E81" s="135">
        <v>82.678762395631992</v>
      </c>
      <c r="F81" s="129">
        <v>6778</v>
      </c>
      <c r="G81" s="135">
        <v>0.26580485970342643</v>
      </c>
      <c r="H81" s="129">
        <v>139446</v>
      </c>
      <c r="I81" s="135">
        <v>5.4684898887878424</v>
      </c>
      <c r="J81" s="129">
        <v>4595</v>
      </c>
      <c r="K81" s="135">
        <v>0.18019671441977639</v>
      </c>
      <c r="L81" s="129">
        <v>0</v>
      </c>
      <c r="M81" s="135">
        <v>0</v>
      </c>
      <c r="N81" s="129">
        <v>144228</v>
      </c>
      <c r="O81" s="135">
        <v>5.6560199624233967</v>
      </c>
      <c r="P81" s="129">
        <v>146643</v>
      </c>
      <c r="Q81" s="135">
        <v>5.7507261790335731</v>
      </c>
      <c r="R81" s="129">
        <v>0</v>
      </c>
      <c r="S81" s="135">
        <v>0</v>
      </c>
      <c r="T81" s="129">
        <v>2549991</v>
      </c>
      <c r="U81" s="135">
        <v>100</v>
      </c>
    </row>
    <row r="82" spans="1:21" hidden="1" x14ac:dyDescent="0.2">
      <c r="D82" s="129">
        <v>904438</v>
      </c>
      <c r="E82" s="135">
        <v>90.129159105562479</v>
      </c>
      <c r="F82" s="129">
        <v>4729</v>
      </c>
      <c r="G82" s="135">
        <v>0.4712548493210203</v>
      </c>
      <c r="H82" s="129">
        <v>39970</v>
      </c>
      <c r="I82" s="135">
        <v>3.9830950153015818</v>
      </c>
      <c r="J82" s="129">
        <v>14</v>
      </c>
      <c r="K82" s="135">
        <v>1.395129602557472E-3</v>
      </c>
      <c r="L82" s="129">
        <v>0</v>
      </c>
      <c r="M82" s="135">
        <v>0</v>
      </c>
      <c r="N82" s="129">
        <v>47971</v>
      </c>
      <c r="O82" s="135">
        <v>4.7804115831631773</v>
      </c>
      <c r="P82" s="129">
        <v>6369</v>
      </c>
      <c r="Q82" s="135">
        <v>0.63468431704918127</v>
      </c>
      <c r="R82" s="129">
        <v>0</v>
      </c>
      <c r="S82" s="135">
        <v>0</v>
      </c>
      <c r="T82" s="129">
        <v>1003491</v>
      </c>
      <c r="U82" s="135">
        <v>100</v>
      </c>
    </row>
    <row r="83" spans="1:21" hidden="1" x14ac:dyDescent="0.2">
      <c r="D83" s="129">
        <v>335274</v>
      </c>
      <c r="E83" s="135">
        <v>82.553166342879507</v>
      </c>
      <c r="F83" s="129">
        <v>0</v>
      </c>
      <c r="G83" s="135">
        <v>0</v>
      </c>
      <c r="H83" s="129">
        <v>39400</v>
      </c>
      <c r="I83" s="135">
        <v>9.701303274066742</v>
      </c>
      <c r="J83" s="129">
        <v>650</v>
      </c>
      <c r="K83" s="135">
        <v>0.16004688142495896</v>
      </c>
      <c r="L83" s="129">
        <v>0</v>
      </c>
      <c r="M83" s="135">
        <v>0</v>
      </c>
      <c r="N83" s="129">
        <v>3016</v>
      </c>
      <c r="O83" s="135">
        <v>0.74261752981180951</v>
      </c>
      <c r="P83" s="129">
        <v>27791</v>
      </c>
      <c r="Q83" s="135">
        <v>6.8428659718169751</v>
      </c>
      <c r="R83" s="129">
        <v>0</v>
      </c>
      <c r="S83" s="135">
        <v>0</v>
      </c>
      <c r="T83" s="129">
        <v>406131</v>
      </c>
      <c r="U83" s="135">
        <v>100</v>
      </c>
    </row>
    <row r="84" spans="1:21" hidden="1" x14ac:dyDescent="0.2">
      <c r="D84" s="129">
        <v>18487</v>
      </c>
      <c r="E84" s="135">
        <v>100</v>
      </c>
      <c r="F84" s="129">
        <v>0</v>
      </c>
      <c r="G84" s="135">
        <v>0</v>
      </c>
      <c r="H84" s="129">
        <v>0</v>
      </c>
      <c r="I84" s="135">
        <v>0</v>
      </c>
      <c r="J84" s="129">
        <v>0</v>
      </c>
      <c r="K84" s="135">
        <v>0</v>
      </c>
      <c r="L84" s="129">
        <v>0</v>
      </c>
      <c r="M84" s="135">
        <v>0</v>
      </c>
      <c r="N84" s="129">
        <v>0</v>
      </c>
      <c r="O84" s="135">
        <v>0</v>
      </c>
      <c r="P84" s="129">
        <v>0</v>
      </c>
      <c r="Q84" s="135">
        <v>0</v>
      </c>
      <c r="R84" s="129">
        <v>0</v>
      </c>
      <c r="S84" s="135">
        <v>0</v>
      </c>
      <c r="T84" s="129">
        <v>18487</v>
      </c>
      <c r="U84" s="135">
        <v>100</v>
      </c>
    </row>
    <row r="85" spans="1:21" hidden="1" x14ac:dyDescent="0.2">
      <c r="D85" s="129">
        <v>119896</v>
      </c>
      <c r="E85" s="135">
        <v>100</v>
      </c>
      <c r="F85" s="129">
        <v>0</v>
      </c>
      <c r="G85" s="135">
        <v>0</v>
      </c>
      <c r="H85" s="129">
        <v>0</v>
      </c>
      <c r="I85" s="135">
        <v>0</v>
      </c>
      <c r="J85" s="129">
        <v>0</v>
      </c>
      <c r="K85" s="135">
        <v>0</v>
      </c>
      <c r="L85" s="129">
        <v>0</v>
      </c>
      <c r="M85" s="135">
        <v>0</v>
      </c>
      <c r="N85" s="129">
        <v>0</v>
      </c>
      <c r="O85" s="135">
        <v>0</v>
      </c>
      <c r="P85" s="129">
        <v>0</v>
      </c>
      <c r="Q85" s="135">
        <v>0</v>
      </c>
      <c r="R85" s="129">
        <v>0</v>
      </c>
      <c r="S85" s="135">
        <v>0</v>
      </c>
      <c r="T85" s="129">
        <v>119896</v>
      </c>
      <c r="U85" s="135">
        <v>100</v>
      </c>
    </row>
    <row r="86" spans="1:21" x14ac:dyDescent="0.2">
      <c r="A86">
        <v>2011</v>
      </c>
      <c r="B86">
        <v>25</v>
      </c>
      <c r="C86" t="s">
        <v>3</v>
      </c>
      <c r="D86" s="129">
        <v>3486396</v>
      </c>
      <c r="E86" s="135">
        <v>85.075632089440788</v>
      </c>
      <c r="F86" s="129">
        <v>11507</v>
      </c>
      <c r="G86" s="135">
        <v>0.28079578408568479</v>
      </c>
      <c r="H86" s="129">
        <v>218816</v>
      </c>
      <c r="I86" s="135">
        <v>5.3395854949589996</v>
      </c>
      <c r="J86" s="129">
        <v>5259</v>
      </c>
      <c r="K86" s="135">
        <v>0.12833101838069144</v>
      </c>
      <c r="L86" s="129">
        <v>0</v>
      </c>
      <c r="M86" s="135">
        <v>0</v>
      </c>
      <c r="N86" s="129">
        <v>195215</v>
      </c>
      <c r="O86" s="135">
        <v>4.7636698522887775</v>
      </c>
      <c r="P86" s="129">
        <v>180803</v>
      </c>
      <c r="Q86" s="135">
        <v>4.4119857608450568</v>
      </c>
      <c r="R86" s="129">
        <v>0</v>
      </c>
      <c r="S86" s="135">
        <v>0</v>
      </c>
      <c r="T86" s="129">
        <v>4097996</v>
      </c>
      <c r="U86" s="135">
        <v>100</v>
      </c>
    </row>
    <row r="87" spans="1:21" hidden="1" x14ac:dyDescent="0.2">
      <c r="D87" s="129">
        <v>2415960</v>
      </c>
      <c r="E87" s="135">
        <v>76.709318939514205</v>
      </c>
      <c r="F87" s="129">
        <v>204342</v>
      </c>
      <c r="G87" s="135">
        <v>6.4880774726147008</v>
      </c>
      <c r="H87" s="129">
        <v>226578</v>
      </c>
      <c r="I87" s="135">
        <v>7.1940943006826474</v>
      </c>
      <c r="J87" s="129">
        <v>23675</v>
      </c>
      <c r="K87" s="135">
        <v>0.75170662009842837</v>
      </c>
      <c r="L87" s="129">
        <v>12719</v>
      </c>
      <c r="M87" s="135">
        <v>0.40384187966343865</v>
      </c>
      <c r="N87" s="129">
        <v>242252</v>
      </c>
      <c r="O87" s="135">
        <v>7.6917605969201457</v>
      </c>
      <c r="P87" s="129">
        <v>23974</v>
      </c>
      <c r="Q87" s="135">
        <v>0.76120019050642962</v>
      </c>
      <c r="R87" s="129">
        <v>0</v>
      </c>
      <c r="S87" s="135">
        <v>0</v>
      </c>
      <c r="T87" s="129">
        <v>3149500</v>
      </c>
      <c r="U87" s="135">
        <v>100</v>
      </c>
    </row>
    <row r="88" spans="1:21" x14ac:dyDescent="0.2">
      <c r="A88">
        <v>2011</v>
      </c>
      <c r="B88">
        <v>26</v>
      </c>
      <c r="C88" t="s">
        <v>39</v>
      </c>
      <c r="D88" s="129">
        <v>2415960</v>
      </c>
      <c r="E88" s="135">
        <v>76.709318939514205</v>
      </c>
      <c r="F88" s="129">
        <v>204342</v>
      </c>
      <c r="G88" s="135">
        <v>6.4880774726147008</v>
      </c>
      <c r="H88" s="129">
        <v>226578</v>
      </c>
      <c r="I88" s="135">
        <v>7.1940943006826474</v>
      </c>
      <c r="J88" s="129">
        <v>23675</v>
      </c>
      <c r="K88" s="135">
        <v>0.75170662009842837</v>
      </c>
      <c r="L88" s="129">
        <v>12719</v>
      </c>
      <c r="M88" s="135">
        <v>0.40384187966343865</v>
      </c>
      <c r="N88" s="129">
        <v>242252</v>
      </c>
      <c r="O88" s="135">
        <v>7.6917605969201457</v>
      </c>
      <c r="P88" s="129">
        <v>23974</v>
      </c>
      <c r="Q88" s="135">
        <v>0.76120019050642962</v>
      </c>
      <c r="R88" s="129">
        <v>0</v>
      </c>
      <c r="S88" s="135">
        <v>0</v>
      </c>
      <c r="T88" s="129">
        <v>3149500</v>
      </c>
      <c r="U88" s="135">
        <v>100</v>
      </c>
    </row>
    <row r="89" spans="1:21" hidden="1" x14ac:dyDescent="0.2">
      <c r="D89" s="129">
        <v>2109939</v>
      </c>
      <c r="E89" s="135">
        <v>72.132027990770936</v>
      </c>
      <c r="F89" s="129">
        <v>202950</v>
      </c>
      <c r="G89" s="135">
        <v>6.9382077305206273</v>
      </c>
      <c r="H89" s="129">
        <v>97395</v>
      </c>
      <c r="I89" s="135">
        <v>3.3296217881944146</v>
      </c>
      <c r="J89" s="129">
        <v>66202</v>
      </c>
      <c r="K89" s="135">
        <v>2.2632334475285858</v>
      </c>
      <c r="L89" s="129">
        <v>2033</v>
      </c>
      <c r="M89" s="135">
        <v>6.9501731047787313E-2</v>
      </c>
      <c r="N89" s="129">
        <v>222885</v>
      </c>
      <c r="O89" s="135">
        <v>7.6197212614786398</v>
      </c>
      <c r="P89" s="129">
        <v>56539</v>
      </c>
      <c r="Q89" s="135">
        <v>1.9328865576541301</v>
      </c>
      <c r="R89" s="129">
        <v>167164</v>
      </c>
      <c r="S89" s="135">
        <v>5.7147994928048789</v>
      </c>
      <c r="T89" s="129">
        <v>2925107</v>
      </c>
      <c r="U89" s="135">
        <v>100</v>
      </c>
    </row>
    <row r="90" spans="1:21" x14ac:dyDescent="0.2">
      <c r="A90">
        <v>2011</v>
      </c>
      <c r="B90">
        <v>27</v>
      </c>
      <c r="C90" t="s">
        <v>7</v>
      </c>
      <c r="D90" s="129">
        <v>2109939</v>
      </c>
      <c r="E90" s="135">
        <v>72.132027990770936</v>
      </c>
      <c r="F90" s="129">
        <v>202950</v>
      </c>
      <c r="G90" s="135">
        <v>6.9382077305206273</v>
      </c>
      <c r="H90" s="129">
        <v>97395</v>
      </c>
      <c r="I90" s="135">
        <v>3.3296217881944146</v>
      </c>
      <c r="J90" s="129">
        <v>66202</v>
      </c>
      <c r="K90" s="135">
        <v>2.2632334475285858</v>
      </c>
      <c r="L90" s="129">
        <v>2033</v>
      </c>
      <c r="M90" s="135">
        <v>6.9501731047787313E-2</v>
      </c>
      <c r="N90" s="129">
        <v>222885</v>
      </c>
      <c r="O90" s="135">
        <v>7.6197212614786398</v>
      </c>
      <c r="P90" s="129">
        <v>56539</v>
      </c>
      <c r="Q90" s="135">
        <v>1.9328865576541301</v>
      </c>
      <c r="R90" s="129">
        <v>167164</v>
      </c>
      <c r="S90" s="135">
        <v>5.7147994928048789</v>
      </c>
      <c r="T90" s="129">
        <v>2925107</v>
      </c>
      <c r="U90" s="135">
        <v>100</v>
      </c>
    </row>
    <row r="91" spans="1:21" hidden="1" x14ac:dyDescent="0.2">
      <c r="D91" s="129">
        <v>2177090</v>
      </c>
      <c r="E91" s="135">
        <v>75.093742573287543</v>
      </c>
      <c r="F91" s="129">
        <v>214455</v>
      </c>
      <c r="G91" s="135">
        <v>7.3971349661954164</v>
      </c>
      <c r="H91" s="129">
        <v>156773</v>
      </c>
      <c r="I91" s="135">
        <v>5.4075262411944411</v>
      </c>
      <c r="J91" s="129">
        <v>4588</v>
      </c>
      <c r="K91" s="135">
        <v>0.15825257151805538</v>
      </c>
      <c r="L91" s="129">
        <v>17376</v>
      </c>
      <c r="M91" s="135">
        <v>0.59934539727500669</v>
      </c>
      <c r="N91" s="129">
        <v>214012</v>
      </c>
      <c r="O91" s="135">
        <v>7.381854693923728</v>
      </c>
      <c r="P91" s="129">
        <v>14482</v>
      </c>
      <c r="Q91" s="135">
        <v>0.49952348315703526</v>
      </c>
      <c r="R91" s="129">
        <v>100387</v>
      </c>
      <c r="S91" s="135">
        <v>3.4626200734487846</v>
      </c>
      <c r="T91" s="129">
        <v>2899163</v>
      </c>
      <c r="U91" s="135">
        <v>100</v>
      </c>
    </row>
    <row r="92" spans="1:21" x14ac:dyDescent="0.2">
      <c r="A92">
        <v>2011</v>
      </c>
      <c r="B92">
        <v>28</v>
      </c>
      <c r="C92" t="s">
        <v>41</v>
      </c>
      <c r="D92" s="129">
        <v>2177090</v>
      </c>
      <c r="E92" s="135">
        <v>75.093742573287543</v>
      </c>
      <c r="F92" s="129">
        <v>214455</v>
      </c>
      <c r="G92" s="135">
        <v>7.3971349661954164</v>
      </c>
      <c r="H92" s="129">
        <v>156773</v>
      </c>
      <c r="I92" s="135">
        <v>5.4075262411944411</v>
      </c>
      <c r="J92" s="129">
        <v>4588</v>
      </c>
      <c r="K92" s="135">
        <v>0.15825257151805538</v>
      </c>
      <c r="L92" s="129">
        <v>17376</v>
      </c>
      <c r="M92" s="135">
        <v>0.59934539727500669</v>
      </c>
      <c r="N92" s="129">
        <v>214012</v>
      </c>
      <c r="O92" s="135">
        <v>7.381854693923728</v>
      </c>
      <c r="P92" s="129">
        <v>14482</v>
      </c>
      <c r="Q92" s="135">
        <v>0.49952348315703526</v>
      </c>
      <c r="R92" s="129">
        <v>100387</v>
      </c>
      <c r="S92" s="135">
        <v>3.4626200734487846</v>
      </c>
      <c r="T92" s="129">
        <v>2899163</v>
      </c>
      <c r="U92" s="135">
        <v>100</v>
      </c>
    </row>
    <row r="93" spans="1:21" hidden="1" x14ac:dyDescent="0.2">
      <c r="D93" s="129">
        <v>654198</v>
      </c>
      <c r="E93" s="135">
        <v>71.966601762318078</v>
      </c>
      <c r="F93" s="129">
        <v>78624</v>
      </c>
      <c r="G93" s="135">
        <v>8.6492194977063459</v>
      </c>
      <c r="H93" s="129">
        <v>20006</v>
      </c>
      <c r="I93" s="135">
        <v>2.2008074540994245</v>
      </c>
      <c r="J93" s="129">
        <v>0</v>
      </c>
      <c r="K93" s="135">
        <v>0</v>
      </c>
      <c r="L93" s="129">
        <v>0</v>
      </c>
      <c r="M93" s="135">
        <v>0</v>
      </c>
      <c r="N93" s="129">
        <v>112478</v>
      </c>
      <c r="O93" s="135">
        <v>12.373409018404233</v>
      </c>
      <c r="P93" s="129">
        <v>3243</v>
      </c>
      <c r="Q93" s="135">
        <v>0.35675390251146827</v>
      </c>
      <c r="R93" s="129">
        <v>40481</v>
      </c>
      <c r="S93" s="135">
        <v>4.4532083649604521</v>
      </c>
      <c r="T93" s="129">
        <v>909030</v>
      </c>
      <c r="U93" s="135">
        <v>100</v>
      </c>
    </row>
    <row r="94" spans="1:21" x14ac:dyDescent="0.2">
      <c r="A94" s="131" t="s">
        <v>204</v>
      </c>
      <c r="B94">
        <v>29</v>
      </c>
      <c r="C94" t="s">
        <v>20</v>
      </c>
      <c r="D94" s="129">
        <v>654198</v>
      </c>
      <c r="E94" s="135">
        <v>71.966601762318078</v>
      </c>
      <c r="F94" s="129">
        <v>78624</v>
      </c>
      <c r="G94" s="135">
        <v>8.6492194977063459</v>
      </c>
      <c r="H94" s="129">
        <v>20006</v>
      </c>
      <c r="I94" s="135">
        <v>2.2008074540994245</v>
      </c>
      <c r="J94" s="129">
        <v>0</v>
      </c>
      <c r="K94" s="135">
        <v>0</v>
      </c>
      <c r="L94" s="129">
        <v>0</v>
      </c>
      <c r="M94" s="135">
        <v>0</v>
      </c>
      <c r="N94" s="129">
        <v>112478</v>
      </c>
      <c r="O94" s="135">
        <v>12.373409018404233</v>
      </c>
      <c r="P94" s="129">
        <v>3243</v>
      </c>
      <c r="Q94" s="135">
        <v>0.35675390251146827</v>
      </c>
      <c r="R94" s="129">
        <v>40481</v>
      </c>
      <c r="S94" s="135">
        <v>4.4532083649604521</v>
      </c>
      <c r="T94" s="129">
        <v>909030</v>
      </c>
      <c r="U94" s="135">
        <v>100</v>
      </c>
    </row>
    <row r="95" spans="1:21" hidden="1" x14ac:dyDescent="0.2">
      <c r="D95" s="129">
        <v>4262676</v>
      </c>
      <c r="E95" s="135">
        <v>73.234494470916573</v>
      </c>
      <c r="F95" s="129">
        <v>429396</v>
      </c>
      <c r="G95" s="135">
        <v>7.377196621989027</v>
      </c>
      <c r="H95" s="129">
        <v>102472</v>
      </c>
      <c r="I95" s="135">
        <v>1.7605103267111468</v>
      </c>
      <c r="J95" s="129">
        <v>41264</v>
      </c>
      <c r="K95" s="135">
        <v>0.70893217777938133</v>
      </c>
      <c r="L95" s="129">
        <v>8907</v>
      </c>
      <c r="M95" s="135">
        <v>0.15302585564853016</v>
      </c>
      <c r="N95" s="129">
        <v>539737</v>
      </c>
      <c r="O95" s="135">
        <v>9.272899545320616</v>
      </c>
      <c r="P95" s="129">
        <v>23545</v>
      </c>
      <c r="Q95" s="135">
        <v>0.4045126048326757</v>
      </c>
      <c r="R95" s="129">
        <v>412588</v>
      </c>
      <c r="S95" s="135">
        <v>7.0884283968020396</v>
      </c>
      <c r="T95" s="129">
        <v>5820585</v>
      </c>
      <c r="U95" s="135">
        <v>100</v>
      </c>
    </row>
    <row r="96" spans="1:21" x14ac:dyDescent="0.2">
      <c r="A96">
        <v>2011</v>
      </c>
      <c r="B96">
        <v>30</v>
      </c>
      <c r="C96" t="s">
        <v>40</v>
      </c>
      <c r="D96" s="129">
        <v>4262676</v>
      </c>
      <c r="E96" s="135">
        <v>73.234494470916573</v>
      </c>
      <c r="F96" s="129">
        <v>429396</v>
      </c>
      <c r="G96" s="135">
        <v>7.377196621989027</v>
      </c>
      <c r="H96" s="129">
        <v>102472</v>
      </c>
      <c r="I96" s="135">
        <v>1.7605103267111468</v>
      </c>
      <c r="J96" s="129">
        <v>41264</v>
      </c>
      <c r="K96" s="135">
        <v>0.70893217777938133</v>
      </c>
      <c r="L96" s="129">
        <v>8907</v>
      </c>
      <c r="M96" s="135">
        <v>0.15302585564853016</v>
      </c>
      <c r="N96" s="129">
        <v>539737</v>
      </c>
      <c r="O96" s="135">
        <v>9.272899545320616</v>
      </c>
      <c r="P96" s="129">
        <v>23545</v>
      </c>
      <c r="Q96" s="135">
        <v>0.4045126048326757</v>
      </c>
      <c r="R96" s="129">
        <v>412588</v>
      </c>
      <c r="S96" s="135">
        <v>7.0884283968020396</v>
      </c>
      <c r="T96" s="129">
        <v>5820585</v>
      </c>
      <c r="U96" s="135">
        <v>100</v>
      </c>
    </row>
    <row r="97" spans="1:21" hidden="1" x14ac:dyDescent="0.2">
      <c r="D97" s="129">
        <v>2067894</v>
      </c>
      <c r="E97" s="135">
        <v>68.799310640817907</v>
      </c>
      <c r="F97" s="129">
        <v>191183</v>
      </c>
      <c r="G97" s="135">
        <v>6.3607025341934795</v>
      </c>
      <c r="H97" s="129">
        <v>212393</v>
      </c>
      <c r="I97" s="135">
        <v>7.0663641293679653</v>
      </c>
      <c r="J97" s="129">
        <v>0</v>
      </c>
      <c r="K97" s="135">
        <v>0</v>
      </c>
      <c r="L97" s="129">
        <v>28835</v>
      </c>
      <c r="M97" s="135">
        <v>0.95934710499086739</v>
      </c>
      <c r="N97" s="129">
        <v>245397</v>
      </c>
      <c r="O97" s="135">
        <v>8.1644148265456522</v>
      </c>
      <c r="P97" s="129">
        <v>10361</v>
      </c>
      <c r="Q97" s="135">
        <v>0.34471286127311862</v>
      </c>
      <c r="R97" s="129">
        <v>249627</v>
      </c>
      <c r="S97" s="135">
        <v>8.3051479028110009</v>
      </c>
      <c r="T97" s="129">
        <v>3005690</v>
      </c>
      <c r="U97" s="135">
        <v>100</v>
      </c>
    </row>
    <row r="98" spans="1:21" hidden="1" x14ac:dyDescent="0.2">
      <c r="D98" s="129">
        <v>116103</v>
      </c>
      <c r="E98" s="135">
        <v>53.786499520520337</v>
      </c>
      <c r="F98" s="129">
        <v>10591</v>
      </c>
      <c r="G98" s="135">
        <v>4.9064435580633656</v>
      </c>
      <c r="H98" s="129">
        <v>1827</v>
      </c>
      <c r="I98" s="135">
        <v>0.84638583519797639</v>
      </c>
      <c r="J98" s="129">
        <v>0</v>
      </c>
      <c r="K98" s="135">
        <v>0</v>
      </c>
      <c r="L98" s="129">
        <v>91</v>
      </c>
      <c r="M98" s="135">
        <v>4.2157148879592696E-2</v>
      </c>
      <c r="N98" s="129">
        <v>28861</v>
      </c>
      <c r="O98" s="135">
        <v>13.37030191004313</v>
      </c>
      <c r="P98" s="129">
        <v>5135</v>
      </c>
      <c r="Q98" s="135">
        <v>2.3788676867770167</v>
      </c>
      <c r="R98" s="129">
        <v>53251</v>
      </c>
      <c r="S98" s="135">
        <v>24.669344340518577</v>
      </c>
      <c r="T98" s="129">
        <v>215859</v>
      </c>
      <c r="U98" s="135">
        <v>100</v>
      </c>
    </row>
    <row r="99" spans="1:21" hidden="1" x14ac:dyDescent="0.2">
      <c r="D99" s="129">
        <v>144035</v>
      </c>
      <c r="E99" s="135">
        <v>89.754854308432414</v>
      </c>
      <c r="F99" s="129">
        <v>5841</v>
      </c>
      <c r="G99" s="135">
        <v>3.6397966050998281</v>
      </c>
      <c r="H99" s="129">
        <v>5491</v>
      </c>
      <c r="I99" s="135">
        <v>3.4216954560183455</v>
      </c>
      <c r="J99" s="129">
        <v>0</v>
      </c>
      <c r="K99" s="135">
        <v>0</v>
      </c>
      <c r="L99" s="129">
        <v>0</v>
      </c>
      <c r="M99" s="135">
        <v>0</v>
      </c>
      <c r="N99" s="129">
        <v>1551</v>
      </c>
      <c r="O99" s="135">
        <v>0.96649966350108429</v>
      </c>
      <c r="P99" s="129">
        <v>0</v>
      </c>
      <c r="Q99" s="135">
        <v>0</v>
      </c>
      <c r="R99" s="129">
        <v>3558</v>
      </c>
      <c r="S99" s="135">
        <v>2.2171539669483287</v>
      </c>
      <c r="T99" s="129">
        <v>160476</v>
      </c>
      <c r="U99" s="135">
        <v>100</v>
      </c>
    </row>
    <row r="100" spans="1:21" x14ac:dyDescent="0.2">
      <c r="A100">
        <v>2011</v>
      </c>
      <c r="B100">
        <v>31</v>
      </c>
      <c r="C100" t="s">
        <v>19</v>
      </c>
      <c r="D100" s="129">
        <v>2328032</v>
      </c>
      <c r="E100" s="135">
        <v>68.835446219350843</v>
      </c>
      <c r="F100" s="129">
        <v>207615</v>
      </c>
      <c r="G100" s="135">
        <v>6.1387778032391838</v>
      </c>
      <c r="H100" s="129">
        <v>219711</v>
      </c>
      <c r="I100" s="135">
        <v>6.4964333498421807</v>
      </c>
      <c r="J100" s="129">
        <v>0</v>
      </c>
      <c r="K100" s="135">
        <v>0</v>
      </c>
      <c r="L100" s="129">
        <v>28926</v>
      </c>
      <c r="M100" s="135">
        <v>0.85528640385567811</v>
      </c>
      <c r="N100" s="129">
        <v>275809</v>
      </c>
      <c r="O100" s="135">
        <v>8.1551437378493663</v>
      </c>
      <c r="P100" s="129">
        <v>15496</v>
      </c>
      <c r="Q100" s="135">
        <v>0.45818703291666973</v>
      </c>
      <c r="R100" s="129">
        <v>306436</v>
      </c>
      <c r="S100" s="135">
        <v>9.060725452946091</v>
      </c>
      <c r="T100" s="129">
        <v>3382025</v>
      </c>
      <c r="U100" s="135">
        <v>100</v>
      </c>
    </row>
    <row r="101" spans="1:21" hidden="1" x14ac:dyDescent="0.2">
      <c r="D101" s="129">
        <v>9997422</v>
      </c>
      <c r="E101" s="135">
        <v>70.298027287308926</v>
      </c>
      <c r="F101" s="129">
        <v>1137816</v>
      </c>
      <c r="G101" s="135">
        <v>8.0006845980830548</v>
      </c>
      <c r="H101" s="129">
        <v>872142</v>
      </c>
      <c r="I101" s="135">
        <v>6.132567187261694</v>
      </c>
      <c r="J101" s="129">
        <v>441411</v>
      </c>
      <c r="K101" s="135">
        <v>3.1038324202897827</v>
      </c>
      <c r="L101" s="129">
        <v>3803</v>
      </c>
      <c r="M101" s="135">
        <v>2.6741233667403042E-2</v>
      </c>
      <c r="N101" s="129">
        <v>1689680</v>
      </c>
      <c r="O101" s="135">
        <v>11.881180042897073</v>
      </c>
      <c r="P101" s="129">
        <v>78979</v>
      </c>
      <c r="Q101" s="135">
        <v>0.5553499589318498</v>
      </c>
      <c r="R101" s="129">
        <v>230</v>
      </c>
      <c r="S101" s="135">
        <v>1.617271560216329E-3</v>
      </c>
      <c r="T101" s="129">
        <v>14221483</v>
      </c>
      <c r="U101" s="135">
        <v>100</v>
      </c>
    </row>
    <row r="102" spans="1:21" hidden="1" x14ac:dyDescent="0.2">
      <c r="D102" s="129">
        <v>1109207</v>
      </c>
      <c r="E102" s="135">
        <v>77.36221076535935</v>
      </c>
      <c r="F102" s="129">
        <v>86452</v>
      </c>
      <c r="G102" s="135">
        <v>6.0296390530233284</v>
      </c>
      <c r="H102" s="129">
        <v>98476</v>
      </c>
      <c r="I102" s="135">
        <v>6.8682590962097496</v>
      </c>
      <c r="J102" s="129">
        <v>8168</v>
      </c>
      <c r="K102" s="135">
        <v>0.5696813467021532</v>
      </c>
      <c r="L102" s="129">
        <v>5252</v>
      </c>
      <c r="M102" s="135">
        <v>0.36630343203718269</v>
      </c>
      <c r="N102" s="129">
        <v>114152</v>
      </c>
      <c r="O102" s="135">
        <v>7.961589751315401</v>
      </c>
      <c r="P102" s="129">
        <v>12077</v>
      </c>
      <c r="Q102" s="135">
        <v>0.84231655535282857</v>
      </c>
      <c r="R102" s="129">
        <v>0</v>
      </c>
      <c r="S102" s="135">
        <v>0</v>
      </c>
      <c r="T102" s="129">
        <v>1433784</v>
      </c>
      <c r="U102" s="135">
        <v>100</v>
      </c>
    </row>
    <row r="103" spans="1:21" x14ac:dyDescent="0.2">
      <c r="A103">
        <v>2011</v>
      </c>
      <c r="B103">
        <v>32</v>
      </c>
      <c r="C103" t="s">
        <v>10</v>
      </c>
      <c r="D103" s="129">
        <v>11106629</v>
      </c>
      <c r="E103" s="135">
        <v>70.944998893982458</v>
      </c>
      <c r="F103" s="129">
        <v>1224268</v>
      </c>
      <c r="G103" s="135">
        <v>7.8201668486395022</v>
      </c>
      <c r="H103" s="129">
        <v>970618</v>
      </c>
      <c r="I103" s="135">
        <v>6.1999453602420189</v>
      </c>
      <c r="J103" s="129">
        <v>449579</v>
      </c>
      <c r="K103" s="135">
        <v>2.8717427815188334</v>
      </c>
      <c r="L103" s="129">
        <v>9055</v>
      </c>
      <c r="M103" s="135">
        <v>5.7839958909675568E-2</v>
      </c>
      <c r="N103" s="129">
        <v>1803832</v>
      </c>
      <c r="O103" s="135">
        <v>11.522205274429366</v>
      </c>
      <c r="P103" s="129">
        <v>91056</v>
      </c>
      <c r="Q103" s="135">
        <v>0.58163172815896402</v>
      </c>
      <c r="R103" s="129">
        <v>230</v>
      </c>
      <c r="S103" s="135">
        <v>1.4691541191855751E-3</v>
      </c>
      <c r="T103" s="129">
        <v>15655267</v>
      </c>
      <c r="U103" s="135">
        <v>100</v>
      </c>
    </row>
    <row r="104" spans="1:21" hidden="1" x14ac:dyDescent="0.2">
      <c r="D104" s="129">
        <v>3282261</v>
      </c>
      <c r="E104" s="135">
        <v>78.919058374781386</v>
      </c>
      <c r="F104" s="129">
        <v>185287</v>
      </c>
      <c r="G104" s="135">
        <v>4.4550617909691264</v>
      </c>
      <c r="H104" s="129">
        <v>328906</v>
      </c>
      <c r="I104" s="135">
        <v>7.9082534307344368</v>
      </c>
      <c r="J104" s="129">
        <v>10369</v>
      </c>
      <c r="K104" s="135">
        <v>0.24931342031852682</v>
      </c>
      <c r="L104" s="129">
        <v>91134</v>
      </c>
      <c r="M104" s="135">
        <v>2.1912363050736445</v>
      </c>
      <c r="N104" s="129">
        <v>181210</v>
      </c>
      <c r="O104" s="135">
        <v>4.3570339373054532</v>
      </c>
      <c r="P104" s="129">
        <v>74881</v>
      </c>
      <c r="Q104" s="135">
        <v>1.8004473167008976</v>
      </c>
      <c r="R104" s="129">
        <v>4974</v>
      </c>
      <c r="S104" s="135">
        <v>0.11959542411653509</v>
      </c>
      <c r="T104" s="129">
        <v>4159022</v>
      </c>
      <c r="U104" s="135">
        <v>100</v>
      </c>
    </row>
    <row r="105" spans="1:21" x14ac:dyDescent="0.2">
      <c r="A105">
        <v>2011</v>
      </c>
      <c r="B105">
        <v>33</v>
      </c>
      <c r="C105" t="s">
        <v>33</v>
      </c>
      <c r="D105" s="129">
        <v>3282261</v>
      </c>
      <c r="E105" s="135">
        <v>78.919058374781386</v>
      </c>
      <c r="F105" s="129">
        <v>185287</v>
      </c>
      <c r="G105" s="135">
        <v>4.4550617909691264</v>
      </c>
      <c r="H105" s="129">
        <v>328906</v>
      </c>
      <c r="I105" s="135">
        <v>7.9082534307344368</v>
      </c>
      <c r="J105" s="129">
        <v>10369</v>
      </c>
      <c r="K105" s="135">
        <v>0.24931342031852682</v>
      </c>
      <c r="L105" s="129">
        <v>91134</v>
      </c>
      <c r="M105" s="135">
        <v>2.1912363050736445</v>
      </c>
      <c r="N105" s="129">
        <v>181210</v>
      </c>
      <c r="O105" s="135">
        <v>4.3570339373054532</v>
      </c>
      <c r="P105" s="129">
        <v>74881</v>
      </c>
      <c r="Q105" s="135">
        <v>1.8004473167008976</v>
      </c>
      <c r="R105" s="129">
        <v>4974</v>
      </c>
      <c r="S105" s="135">
        <v>0.11959542411653509</v>
      </c>
      <c r="T105" s="129">
        <v>4159022</v>
      </c>
      <c r="U105" s="135">
        <v>100</v>
      </c>
    </row>
    <row r="106" spans="1:21" hidden="1" x14ac:dyDescent="0.2">
      <c r="D106" s="129">
        <v>658076</v>
      </c>
      <c r="E106" s="135">
        <v>74.860903346168939</v>
      </c>
      <c r="F106" s="129">
        <v>66708</v>
      </c>
      <c r="G106" s="135">
        <v>7.5885173451337495</v>
      </c>
      <c r="H106" s="129">
        <v>17177</v>
      </c>
      <c r="I106" s="135">
        <v>1.9540079516304254</v>
      </c>
      <c r="J106" s="129">
        <v>0</v>
      </c>
      <c r="K106" s="135">
        <v>0</v>
      </c>
      <c r="L106" s="129">
        <v>0</v>
      </c>
      <c r="M106" s="135">
        <v>0</v>
      </c>
      <c r="N106" s="129">
        <v>87452</v>
      </c>
      <c r="O106" s="135">
        <v>9.9482973386495885</v>
      </c>
      <c r="P106" s="129">
        <v>8153</v>
      </c>
      <c r="Q106" s="135">
        <v>0.92746270184798618</v>
      </c>
      <c r="R106" s="129">
        <v>41499</v>
      </c>
      <c r="S106" s="135">
        <v>4.7208113165693097</v>
      </c>
      <c r="T106" s="129">
        <v>879065</v>
      </c>
      <c r="U106" s="135">
        <v>100</v>
      </c>
    </row>
    <row r="107" spans="1:21" hidden="1" x14ac:dyDescent="0.2">
      <c r="D107" s="129">
        <v>9554486</v>
      </c>
      <c r="E107" s="135">
        <v>77.895379450802736</v>
      </c>
      <c r="F107" s="129">
        <v>1360896</v>
      </c>
      <c r="G107" s="135">
        <v>11.09505109045946</v>
      </c>
      <c r="H107" s="129">
        <v>57538</v>
      </c>
      <c r="I107" s="135">
        <v>0.46909319275158157</v>
      </c>
      <c r="J107" s="129">
        <v>150480</v>
      </c>
      <c r="K107" s="135">
        <v>1.2268265084858354</v>
      </c>
      <c r="L107" s="129">
        <v>9329</v>
      </c>
      <c r="M107" s="135">
        <v>7.6057047432644589E-2</v>
      </c>
      <c r="N107" s="129">
        <v>789873</v>
      </c>
      <c r="O107" s="135">
        <v>6.4396407146280712</v>
      </c>
      <c r="P107" s="129">
        <v>55500</v>
      </c>
      <c r="Q107" s="135">
        <v>0.45247787892719205</v>
      </c>
      <c r="R107" s="129">
        <v>287691</v>
      </c>
      <c r="S107" s="135">
        <v>2.3454741165124831</v>
      </c>
      <c r="T107" s="129">
        <v>12265793</v>
      </c>
      <c r="U107" s="135">
        <v>100</v>
      </c>
    </row>
    <row r="108" spans="1:21" x14ac:dyDescent="0.2">
      <c r="A108">
        <v>2011</v>
      </c>
      <c r="B108">
        <v>34</v>
      </c>
      <c r="C108" t="s">
        <v>14</v>
      </c>
      <c r="D108" s="129">
        <v>10212562</v>
      </c>
      <c r="E108" s="135">
        <v>77.692448256192648</v>
      </c>
      <c r="F108" s="129">
        <v>1427604</v>
      </c>
      <c r="G108" s="135">
        <v>10.860550946993875</v>
      </c>
      <c r="H108" s="129">
        <v>74715</v>
      </c>
      <c r="I108" s="135">
        <v>0.56839716336228208</v>
      </c>
      <c r="J108" s="129">
        <v>150480</v>
      </c>
      <c r="K108" s="135">
        <v>1.1447822410862103</v>
      </c>
      <c r="L108" s="129">
        <v>9329</v>
      </c>
      <c r="M108" s="135">
        <v>7.0970717218854701E-2</v>
      </c>
      <c r="N108" s="129">
        <v>877325</v>
      </c>
      <c r="O108" s="135">
        <v>6.674282826029768</v>
      </c>
      <c r="P108" s="129">
        <v>63653</v>
      </c>
      <c r="Q108" s="135">
        <v>0.48424258367796741</v>
      </c>
      <c r="R108" s="129">
        <v>329190</v>
      </c>
      <c r="S108" s="135">
        <v>2.5043252654383941</v>
      </c>
      <c r="T108" s="129">
        <v>13144858</v>
      </c>
      <c r="U108" s="135">
        <v>100</v>
      </c>
    </row>
    <row r="109" spans="1:21" hidden="1" x14ac:dyDescent="0.2">
      <c r="D109" s="129">
        <v>10772051</v>
      </c>
      <c r="E109" s="135">
        <v>73.115013335349659</v>
      </c>
      <c r="F109" s="129">
        <v>519790</v>
      </c>
      <c r="G109" s="135">
        <v>3.5280609775781233</v>
      </c>
      <c r="H109" s="129">
        <v>413752</v>
      </c>
      <c r="I109" s="135">
        <v>2.8083308366742412</v>
      </c>
      <c r="J109" s="129">
        <v>521211</v>
      </c>
      <c r="K109" s="135">
        <v>3.5377059777688515</v>
      </c>
      <c r="L109" s="129">
        <v>51926</v>
      </c>
      <c r="M109" s="135">
        <v>0.35244636164936155</v>
      </c>
      <c r="N109" s="129">
        <v>1893192</v>
      </c>
      <c r="O109" s="135">
        <v>12.849990993022342</v>
      </c>
      <c r="P109" s="129">
        <v>215653</v>
      </c>
      <c r="Q109" s="135">
        <v>1.4637390753913218</v>
      </c>
      <c r="R109" s="129">
        <v>345447</v>
      </c>
      <c r="S109" s="135">
        <v>2.3447124425660939</v>
      </c>
      <c r="T109" s="129">
        <v>14733022</v>
      </c>
      <c r="U109" s="135">
        <v>100</v>
      </c>
    </row>
    <row r="110" spans="1:21" hidden="1" x14ac:dyDescent="0.2">
      <c r="D110" s="129">
        <v>1440448</v>
      </c>
      <c r="E110" s="135">
        <v>86.48955032816778</v>
      </c>
      <c r="F110" s="129">
        <v>56832</v>
      </c>
      <c r="G110" s="135">
        <v>3.4123926196922292</v>
      </c>
      <c r="H110" s="129">
        <v>2353</v>
      </c>
      <c r="I110" s="135">
        <v>0.14128237320762624</v>
      </c>
      <c r="J110" s="129">
        <v>0</v>
      </c>
      <c r="K110" s="135">
        <v>0</v>
      </c>
      <c r="L110" s="129">
        <v>32771</v>
      </c>
      <c r="M110" s="135">
        <v>1.9676857851198979</v>
      </c>
      <c r="N110" s="129">
        <v>14361</v>
      </c>
      <c r="O110" s="135">
        <v>0.86228481157446679</v>
      </c>
      <c r="P110" s="129">
        <v>9311</v>
      </c>
      <c r="Q110" s="135">
        <v>0.55906509857042408</v>
      </c>
      <c r="R110" s="129">
        <v>109383</v>
      </c>
      <c r="S110" s="135">
        <v>6.5677389836675664</v>
      </c>
      <c r="T110" s="129">
        <v>1665459</v>
      </c>
      <c r="U110" s="135">
        <v>100</v>
      </c>
    </row>
    <row r="111" spans="1:21" hidden="1" x14ac:dyDescent="0.2">
      <c r="D111" s="129">
        <v>114092</v>
      </c>
      <c r="E111" s="135">
        <v>95.362754931461041</v>
      </c>
      <c r="F111" s="129">
        <v>562</v>
      </c>
      <c r="G111" s="135">
        <v>0.46974256101638245</v>
      </c>
      <c r="H111" s="129">
        <v>1208</v>
      </c>
      <c r="I111" s="135">
        <v>1.0096957539284519</v>
      </c>
      <c r="J111" s="129">
        <v>0</v>
      </c>
      <c r="K111" s="135">
        <v>0</v>
      </c>
      <c r="L111" s="129">
        <v>0</v>
      </c>
      <c r="M111" s="135">
        <v>0</v>
      </c>
      <c r="N111" s="129">
        <v>466</v>
      </c>
      <c r="O111" s="135">
        <v>0.38950183884988299</v>
      </c>
      <c r="P111" s="129">
        <v>2083</v>
      </c>
      <c r="Q111" s="135">
        <v>1.741056502841859</v>
      </c>
      <c r="R111" s="129">
        <v>1229</v>
      </c>
      <c r="S111" s="135">
        <v>1.0272484119023737</v>
      </c>
      <c r="T111" s="129">
        <v>119640</v>
      </c>
      <c r="U111" s="135">
        <v>100</v>
      </c>
    </row>
    <row r="112" spans="1:21" x14ac:dyDescent="0.2">
      <c r="A112">
        <v>2011</v>
      </c>
      <c r="B112">
        <v>35</v>
      </c>
      <c r="C112" s="8" t="s">
        <v>177</v>
      </c>
      <c r="D112" s="129">
        <v>12326591</v>
      </c>
      <c r="E112" s="135">
        <v>74.624656157924989</v>
      </c>
      <c r="F112" s="129">
        <v>577184</v>
      </c>
      <c r="G112" s="135">
        <v>3.4942473178396014</v>
      </c>
      <c r="H112" s="129">
        <v>417313</v>
      </c>
      <c r="I112" s="135">
        <v>2.5263951026875273</v>
      </c>
      <c r="J112" s="129">
        <v>521211</v>
      </c>
      <c r="K112" s="135">
        <v>3.1553891632105127</v>
      </c>
      <c r="L112" s="129">
        <v>84697</v>
      </c>
      <c r="M112" s="135">
        <v>0.51275202548764476</v>
      </c>
      <c r="N112" s="129">
        <v>1908019</v>
      </c>
      <c r="O112" s="135">
        <v>11.55106564481517</v>
      </c>
      <c r="P112" s="129">
        <v>227047</v>
      </c>
      <c r="Q112" s="135">
        <v>1.3745328539487027</v>
      </c>
      <c r="R112" s="129">
        <v>456059</v>
      </c>
      <c r="S112" s="135">
        <v>2.7609617340858561</v>
      </c>
      <c r="T112" s="129">
        <v>16518121</v>
      </c>
      <c r="U112" s="135">
        <v>100</v>
      </c>
    </row>
    <row r="113" spans="1:21" hidden="1" x14ac:dyDescent="0.2">
      <c r="D113" s="129">
        <v>11974173</v>
      </c>
      <c r="E113" s="135">
        <v>72.110305855532403</v>
      </c>
      <c r="F113" s="129">
        <v>1023209</v>
      </c>
      <c r="G113" s="135">
        <v>6.1619214908731861</v>
      </c>
      <c r="H113" s="129">
        <v>719842</v>
      </c>
      <c r="I113" s="135">
        <v>4.3349989003548011</v>
      </c>
      <c r="J113" s="129">
        <v>98031</v>
      </c>
      <c r="K113" s="135">
        <v>0.59035771349918664</v>
      </c>
      <c r="L113" s="129">
        <v>18668</v>
      </c>
      <c r="M113" s="135">
        <v>0.11242155844174614</v>
      </c>
      <c r="N113" s="129">
        <v>1494872</v>
      </c>
      <c r="O113" s="135">
        <v>9.0023483989141813</v>
      </c>
      <c r="P113" s="129">
        <v>134430</v>
      </c>
      <c r="Q113" s="135">
        <v>0.80955807270858882</v>
      </c>
      <c r="R113" s="129">
        <v>1142131</v>
      </c>
      <c r="S113" s="135">
        <v>6.8780880096759143</v>
      </c>
      <c r="T113" s="129">
        <v>16605356</v>
      </c>
      <c r="U113" s="135">
        <v>100</v>
      </c>
    </row>
    <row r="114" spans="1:21" x14ac:dyDescent="0.2">
      <c r="A114">
        <v>2011</v>
      </c>
      <c r="B114">
        <v>36</v>
      </c>
      <c r="C114" t="s">
        <v>12</v>
      </c>
      <c r="D114" s="129">
        <v>11974173</v>
      </c>
      <c r="E114" s="135">
        <v>72.110305855532403</v>
      </c>
      <c r="F114" s="129">
        <v>1023209</v>
      </c>
      <c r="G114" s="135">
        <v>6.1619214908731861</v>
      </c>
      <c r="H114" s="129">
        <v>719842</v>
      </c>
      <c r="I114" s="135">
        <v>4.3349989003548011</v>
      </c>
      <c r="J114" s="129">
        <v>98031</v>
      </c>
      <c r="K114" s="135">
        <v>0.59035771349918664</v>
      </c>
      <c r="L114" s="129">
        <v>18668</v>
      </c>
      <c r="M114" s="135">
        <v>0.11242155844174614</v>
      </c>
      <c r="N114" s="129">
        <v>1494872</v>
      </c>
      <c r="O114" s="135">
        <v>9.0023483989141813</v>
      </c>
      <c r="P114" s="129">
        <v>134430</v>
      </c>
      <c r="Q114" s="135">
        <v>0.80955807270858882</v>
      </c>
      <c r="R114" s="129">
        <v>1142131</v>
      </c>
      <c r="S114" s="135">
        <v>6.8780880096759143</v>
      </c>
      <c r="T114" s="129">
        <v>16605356</v>
      </c>
      <c r="U114" s="135">
        <v>100</v>
      </c>
    </row>
    <row r="115" spans="1:21" hidden="1" x14ac:dyDescent="0.2">
      <c r="D115" s="129">
        <v>2527181</v>
      </c>
      <c r="E115" s="135">
        <v>81.851618534646803</v>
      </c>
      <c r="F115" s="129">
        <v>239779</v>
      </c>
      <c r="G115" s="135">
        <v>7.7660837275284482</v>
      </c>
      <c r="H115" s="129">
        <v>30199</v>
      </c>
      <c r="I115" s="135">
        <v>0.97810051125257691</v>
      </c>
      <c r="J115" s="129">
        <v>0</v>
      </c>
      <c r="K115" s="135">
        <v>0</v>
      </c>
      <c r="L115" s="129">
        <v>5244</v>
      </c>
      <c r="M115" s="135">
        <v>0.16984532868666224</v>
      </c>
      <c r="N115" s="129">
        <v>134573</v>
      </c>
      <c r="O115" s="135">
        <v>4.3586185006388636</v>
      </c>
      <c r="P115" s="129">
        <v>23406</v>
      </c>
      <c r="Q115" s="135">
        <v>0.75808538581998797</v>
      </c>
      <c r="R115" s="129">
        <v>127133</v>
      </c>
      <c r="S115" s="135">
        <v>4.1176480114266649</v>
      </c>
      <c r="T115" s="129">
        <v>3087515</v>
      </c>
      <c r="U115" s="135">
        <v>100</v>
      </c>
    </row>
    <row r="116" spans="1:21" x14ac:dyDescent="0.2">
      <c r="A116">
        <v>2011</v>
      </c>
      <c r="B116">
        <v>37</v>
      </c>
      <c r="C116" t="s">
        <v>11</v>
      </c>
      <c r="D116" s="129">
        <v>2527181</v>
      </c>
      <c r="E116" s="135">
        <v>81.851618534646803</v>
      </c>
      <c r="F116" s="129">
        <v>239779</v>
      </c>
      <c r="G116" s="135">
        <v>7.7660837275284482</v>
      </c>
      <c r="H116" s="129">
        <v>30199</v>
      </c>
      <c r="I116" s="135">
        <v>0.97810051125257691</v>
      </c>
      <c r="J116" s="129">
        <v>0</v>
      </c>
      <c r="K116" s="135">
        <v>0</v>
      </c>
      <c r="L116" s="129">
        <v>5244</v>
      </c>
      <c r="M116" s="135">
        <v>0.16984532868666224</v>
      </c>
      <c r="N116" s="129">
        <v>134573</v>
      </c>
      <c r="O116" s="135">
        <v>4.3586185006388636</v>
      </c>
      <c r="P116" s="129">
        <v>23406</v>
      </c>
      <c r="Q116" s="135">
        <v>0.75808538581998797</v>
      </c>
      <c r="R116" s="129">
        <v>127133</v>
      </c>
      <c r="S116" s="135">
        <v>4.1176480114266649</v>
      </c>
      <c r="T116" s="129">
        <v>3087515</v>
      </c>
      <c r="U116" s="135">
        <v>100</v>
      </c>
    </row>
    <row r="117" spans="1:21" hidden="1" x14ac:dyDescent="0.2">
      <c r="D117" s="129">
        <v>1095191</v>
      </c>
      <c r="E117" s="135">
        <v>69.349112201225523</v>
      </c>
      <c r="F117" s="129">
        <v>235164</v>
      </c>
      <c r="G117" s="135">
        <v>14.890931921179959</v>
      </c>
      <c r="H117" s="129">
        <v>30101</v>
      </c>
      <c r="I117" s="135">
        <v>1.906039792482854</v>
      </c>
      <c r="J117" s="129">
        <v>0</v>
      </c>
      <c r="K117" s="135">
        <v>0</v>
      </c>
      <c r="L117" s="129">
        <v>11901</v>
      </c>
      <c r="M117" s="135">
        <v>0.7535889030377213</v>
      </c>
      <c r="N117" s="129">
        <v>79852</v>
      </c>
      <c r="O117" s="135">
        <v>5.0563466167017994</v>
      </c>
      <c r="P117" s="129">
        <v>4617</v>
      </c>
      <c r="Q117" s="135">
        <v>0.29235526134989992</v>
      </c>
      <c r="R117" s="129">
        <v>122417</v>
      </c>
      <c r="S117" s="135">
        <v>7.7516253040222427</v>
      </c>
      <c r="T117" s="129">
        <v>1579243</v>
      </c>
      <c r="U117" s="135">
        <v>100</v>
      </c>
    </row>
    <row r="118" spans="1:21" hidden="1" x14ac:dyDescent="0.2">
      <c r="D118" s="129">
        <v>1630861</v>
      </c>
      <c r="E118" s="135">
        <v>70.046764817807045</v>
      </c>
      <c r="F118" s="129">
        <v>331439</v>
      </c>
      <c r="G118" s="135">
        <v>14.23556617299031</v>
      </c>
      <c r="H118" s="129">
        <v>112156</v>
      </c>
      <c r="I118" s="135">
        <v>4.8171885616897869</v>
      </c>
      <c r="J118" s="129">
        <v>6307</v>
      </c>
      <c r="K118" s="135">
        <v>0.27089061894662336</v>
      </c>
      <c r="L118" s="129">
        <v>1444</v>
      </c>
      <c r="M118" s="135">
        <v>6.202093765005931E-2</v>
      </c>
      <c r="N118" s="129">
        <v>79719</v>
      </c>
      <c r="O118" s="135">
        <v>3.4239938563193064</v>
      </c>
      <c r="P118" s="129">
        <v>10092</v>
      </c>
      <c r="Q118" s="135">
        <v>0.43345935094487437</v>
      </c>
      <c r="R118" s="129">
        <v>156228</v>
      </c>
      <c r="S118" s="135">
        <v>6.7101156836519849</v>
      </c>
      <c r="T118" s="129">
        <v>2328246</v>
      </c>
      <c r="U118" s="135">
        <v>100</v>
      </c>
    </row>
    <row r="119" spans="1:21" hidden="1" x14ac:dyDescent="0.2">
      <c r="D119" s="129">
        <v>372288</v>
      </c>
      <c r="E119" s="135">
        <v>58.058056809214733</v>
      </c>
      <c r="F119" s="129">
        <v>189429</v>
      </c>
      <c r="G119" s="135">
        <v>29.541321888733286</v>
      </c>
      <c r="H119" s="129">
        <v>30744</v>
      </c>
      <c r="I119" s="135">
        <v>4.794505593901758</v>
      </c>
      <c r="J119" s="129">
        <v>0</v>
      </c>
      <c r="K119" s="135">
        <v>0</v>
      </c>
      <c r="L119" s="129">
        <v>0</v>
      </c>
      <c r="M119" s="135">
        <v>0</v>
      </c>
      <c r="N119" s="129">
        <v>19683</v>
      </c>
      <c r="O119" s="135">
        <v>3.0695502733791411</v>
      </c>
      <c r="P119" s="129">
        <v>4272</v>
      </c>
      <c r="Q119" s="135">
        <v>0.66621545332904997</v>
      </c>
      <c r="R119" s="129">
        <v>24818</v>
      </c>
      <c r="S119" s="135">
        <v>3.8703499814420317</v>
      </c>
      <c r="T119" s="129">
        <v>641234</v>
      </c>
      <c r="U119" s="135">
        <v>100</v>
      </c>
    </row>
    <row r="120" spans="1:21" hidden="1" x14ac:dyDescent="0.2">
      <c r="D120" s="129">
        <v>164743</v>
      </c>
      <c r="E120" s="135">
        <v>37.990203991273994</v>
      </c>
      <c r="F120" s="129">
        <v>89354</v>
      </c>
      <c r="G120" s="135">
        <v>20.605286339548847</v>
      </c>
      <c r="H120" s="129">
        <v>35842</v>
      </c>
      <c r="I120" s="135">
        <v>8.2652670611512615</v>
      </c>
      <c r="J120" s="129">
        <v>0</v>
      </c>
      <c r="K120" s="135">
        <v>0</v>
      </c>
      <c r="L120" s="129">
        <v>741</v>
      </c>
      <c r="M120" s="135">
        <v>0.17087670588452333</v>
      </c>
      <c r="N120" s="129">
        <v>107810</v>
      </c>
      <c r="O120" s="135">
        <v>24.861292390567421</v>
      </c>
      <c r="P120" s="129">
        <v>575</v>
      </c>
      <c r="Q120" s="135">
        <v>0.1325966341209189</v>
      </c>
      <c r="R120" s="129">
        <v>34581</v>
      </c>
      <c r="S120" s="135">
        <v>7.9744768774530375</v>
      </c>
      <c r="T120" s="129">
        <v>433646</v>
      </c>
      <c r="U120" s="135">
        <v>100</v>
      </c>
    </row>
    <row r="121" spans="1:21" x14ac:dyDescent="0.2">
      <c r="A121">
        <v>2011</v>
      </c>
      <c r="B121">
        <v>38</v>
      </c>
      <c r="C121" t="s">
        <v>34</v>
      </c>
      <c r="D121" s="129">
        <v>3263083</v>
      </c>
      <c r="E121" s="135">
        <v>65.492600006141657</v>
      </c>
      <c r="F121" s="129">
        <v>845386</v>
      </c>
      <c r="G121" s="135">
        <v>16.967550978259538</v>
      </c>
      <c r="H121" s="129">
        <v>208843</v>
      </c>
      <c r="I121" s="135">
        <v>4.1916405629530855</v>
      </c>
      <c r="J121" s="129">
        <v>6307</v>
      </c>
      <c r="K121" s="135">
        <v>0.12658636885385244</v>
      </c>
      <c r="L121" s="129">
        <v>14086</v>
      </c>
      <c r="M121" s="135">
        <v>0.28271691639057644</v>
      </c>
      <c r="N121" s="129">
        <v>287064</v>
      </c>
      <c r="O121" s="135">
        <v>5.7615965417254316</v>
      </c>
      <c r="P121" s="129">
        <v>19556</v>
      </c>
      <c r="Q121" s="135">
        <v>0.39250404777325804</v>
      </c>
      <c r="R121" s="129">
        <v>338044</v>
      </c>
      <c r="S121" s="135">
        <v>6.7848045779026007</v>
      </c>
      <c r="T121" s="129">
        <v>4982369</v>
      </c>
      <c r="U121" s="135">
        <v>100</v>
      </c>
    </row>
    <row r="122" spans="1:21" hidden="1" x14ac:dyDescent="0.2">
      <c r="D122" s="129">
        <v>887967</v>
      </c>
      <c r="E122" s="135">
        <v>77.197269827525503</v>
      </c>
      <c r="F122" s="129">
        <v>103402</v>
      </c>
      <c r="G122" s="135">
        <v>8.9894693099020486</v>
      </c>
      <c r="H122" s="129">
        <v>4845</v>
      </c>
      <c r="I122" s="135">
        <v>0.42121021649944318</v>
      </c>
      <c r="J122" s="129">
        <v>1349</v>
      </c>
      <c r="K122" s="135">
        <v>0.11727813871160966</v>
      </c>
      <c r="L122" s="129">
        <v>1098</v>
      </c>
      <c r="M122" s="135">
        <v>9.5456928321236034E-2</v>
      </c>
      <c r="N122" s="129">
        <v>128569</v>
      </c>
      <c r="O122" s="135">
        <v>11.177415134183057</v>
      </c>
      <c r="P122" s="129">
        <v>21576</v>
      </c>
      <c r="Q122" s="135">
        <v>1.8757547226402449</v>
      </c>
      <c r="R122" s="129">
        <v>1451</v>
      </c>
      <c r="S122" s="135">
        <v>0.1261457222168611</v>
      </c>
      <c r="T122" s="129">
        <v>1150257</v>
      </c>
      <c r="U122" s="135">
        <v>100</v>
      </c>
    </row>
    <row r="123" spans="1:21" hidden="1" x14ac:dyDescent="0.2">
      <c r="D123" s="129">
        <v>1077851</v>
      </c>
      <c r="E123" s="135">
        <v>84.205925229176458</v>
      </c>
      <c r="F123" s="129">
        <v>82043</v>
      </c>
      <c r="G123" s="135">
        <v>6.4095192411356718</v>
      </c>
      <c r="H123" s="129">
        <v>12596</v>
      </c>
      <c r="I123" s="135">
        <v>0.98404866181569328</v>
      </c>
      <c r="J123" s="129">
        <v>71778</v>
      </c>
      <c r="K123" s="135">
        <v>5.607577393442905</v>
      </c>
      <c r="L123" s="129">
        <v>480</v>
      </c>
      <c r="M123" s="135">
        <v>3.749947266366567E-2</v>
      </c>
      <c r="N123" s="129">
        <v>24518</v>
      </c>
      <c r="O123" s="135">
        <v>1.9154418140994893</v>
      </c>
      <c r="P123" s="129">
        <v>10180</v>
      </c>
      <c r="Q123" s="135">
        <v>0.79530131607524268</v>
      </c>
      <c r="R123" s="129">
        <v>572</v>
      </c>
      <c r="S123" s="135">
        <v>4.4686871590868253E-2</v>
      </c>
      <c r="T123" s="129">
        <v>1280018</v>
      </c>
      <c r="U123" s="135">
        <v>100</v>
      </c>
    </row>
    <row r="124" spans="1:21" hidden="1" x14ac:dyDescent="0.2">
      <c r="D124" s="129">
        <v>381822</v>
      </c>
      <c r="E124" s="135">
        <v>89.22471508390332</v>
      </c>
      <c r="F124" s="129">
        <v>3346</v>
      </c>
      <c r="G124" s="135">
        <v>0.7818981008709307</v>
      </c>
      <c r="H124" s="129">
        <v>1440</v>
      </c>
      <c r="I124" s="135">
        <v>0.33650127473225949</v>
      </c>
      <c r="J124" s="129">
        <v>181</v>
      </c>
      <c r="K124" s="135">
        <v>4.2296340782318725E-2</v>
      </c>
      <c r="L124" s="129">
        <v>492</v>
      </c>
      <c r="M124" s="135">
        <v>0.11497126886685531</v>
      </c>
      <c r="N124" s="129">
        <v>38910</v>
      </c>
      <c r="O124" s="135">
        <v>9.0925448609945949</v>
      </c>
      <c r="P124" s="129">
        <v>1716</v>
      </c>
      <c r="Q124" s="135">
        <v>0.40099735238927592</v>
      </c>
      <c r="R124" s="129">
        <v>26</v>
      </c>
      <c r="S124" s="135">
        <v>6.0757174604435743E-3</v>
      </c>
      <c r="T124" s="129">
        <v>427933</v>
      </c>
      <c r="U124" s="135">
        <v>100</v>
      </c>
    </row>
    <row r="125" spans="1:21" x14ac:dyDescent="0.2">
      <c r="A125">
        <v>2011</v>
      </c>
      <c r="B125">
        <v>39</v>
      </c>
      <c r="C125" t="s">
        <v>206</v>
      </c>
      <c r="D125" s="129">
        <v>2347640</v>
      </c>
      <c r="E125" s="135">
        <v>82.136779408636457</v>
      </c>
      <c r="F125" s="129">
        <v>188791</v>
      </c>
      <c r="G125" s="135">
        <v>6.6052225730247756</v>
      </c>
      <c r="H125" s="129">
        <v>18881</v>
      </c>
      <c r="I125" s="135">
        <v>0.66058873252051631</v>
      </c>
      <c r="J125" s="129">
        <v>73308</v>
      </c>
      <c r="K125" s="135">
        <v>2.5648238336748062</v>
      </c>
      <c r="L125" s="129">
        <v>2070</v>
      </c>
      <c r="M125" s="135">
        <v>7.2423000705337054E-2</v>
      </c>
      <c r="N125" s="129">
        <v>191997</v>
      </c>
      <c r="O125" s="135">
        <v>6.7173907567258926</v>
      </c>
      <c r="P125" s="129">
        <v>33472</v>
      </c>
      <c r="Q125" s="135">
        <v>1.1710834201009863</v>
      </c>
      <c r="R125" s="129">
        <v>2049</v>
      </c>
      <c r="S125" s="135">
        <v>7.1688274611224928E-2</v>
      </c>
      <c r="T125" s="129">
        <v>2858208</v>
      </c>
      <c r="U125" s="135">
        <v>100</v>
      </c>
    </row>
    <row r="126" spans="1:21" hidden="1" x14ac:dyDescent="0.2">
      <c r="D126" s="129">
        <v>1749888</v>
      </c>
      <c r="E126" s="135">
        <v>89.337659254569914</v>
      </c>
      <c r="F126" s="129">
        <v>3953</v>
      </c>
      <c r="G126" s="135">
        <v>0.20181392582457555</v>
      </c>
      <c r="H126" s="129">
        <v>78849</v>
      </c>
      <c r="I126" s="135">
        <v>4.0255062578654073</v>
      </c>
      <c r="J126" s="129">
        <v>0</v>
      </c>
      <c r="K126" s="135">
        <v>0</v>
      </c>
      <c r="L126" s="129">
        <v>0</v>
      </c>
      <c r="M126" s="135">
        <v>0</v>
      </c>
      <c r="N126" s="129">
        <v>65992</v>
      </c>
      <c r="O126" s="135">
        <v>3.3691132286909662</v>
      </c>
      <c r="P126" s="129">
        <v>55245</v>
      </c>
      <c r="Q126" s="135">
        <v>2.8204427857775554</v>
      </c>
      <c r="R126" s="129">
        <v>4808</v>
      </c>
      <c r="S126" s="135">
        <v>0.24546454727158087</v>
      </c>
      <c r="T126" s="129">
        <v>1958735</v>
      </c>
      <c r="U126" s="135">
        <v>100</v>
      </c>
    </row>
    <row r="127" spans="1:21" hidden="1" x14ac:dyDescent="0.2">
      <c r="D127" s="129">
        <v>1332619</v>
      </c>
      <c r="E127" s="135">
        <v>90.78385969645133</v>
      </c>
      <c r="F127" s="129">
        <v>6919</v>
      </c>
      <c r="G127" s="135">
        <v>0.47135267112336443</v>
      </c>
      <c r="H127" s="129">
        <v>95528</v>
      </c>
      <c r="I127" s="135">
        <v>6.5077869586750614</v>
      </c>
      <c r="J127" s="129">
        <v>0</v>
      </c>
      <c r="K127" s="135">
        <v>0</v>
      </c>
      <c r="L127" s="129">
        <v>0</v>
      </c>
      <c r="M127" s="135">
        <v>0</v>
      </c>
      <c r="N127" s="129">
        <v>29020</v>
      </c>
      <c r="O127" s="135">
        <v>1.9769698678999907</v>
      </c>
      <c r="P127" s="129">
        <v>802</v>
      </c>
      <c r="Q127" s="135">
        <v>5.4635762717291272E-2</v>
      </c>
      <c r="R127" s="129">
        <v>3015</v>
      </c>
      <c r="S127" s="135">
        <v>0.20539504313295906</v>
      </c>
      <c r="T127" s="129">
        <v>1467903</v>
      </c>
      <c r="U127" s="135">
        <v>100</v>
      </c>
    </row>
    <row r="128" spans="1:21" hidden="1" x14ac:dyDescent="0.2">
      <c r="D128" s="129">
        <v>364899</v>
      </c>
      <c r="E128" s="135">
        <v>91.102672418958591</v>
      </c>
      <c r="F128" s="129">
        <v>250</v>
      </c>
      <c r="G128" s="135">
        <v>6.2416362074819737E-2</v>
      </c>
      <c r="H128" s="129">
        <v>21290</v>
      </c>
      <c r="I128" s="135">
        <v>5.3153773942916489</v>
      </c>
      <c r="J128" s="129">
        <v>0</v>
      </c>
      <c r="K128" s="135">
        <v>0</v>
      </c>
      <c r="L128" s="129">
        <v>0</v>
      </c>
      <c r="M128" s="135">
        <v>0</v>
      </c>
      <c r="N128" s="129">
        <v>7934</v>
      </c>
      <c r="O128" s="135">
        <v>1.9808456668064793</v>
      </c>
      <c r="P128" s="129">
        <v>5677</v>
      </c>
      <c r="Q128" s="135">
        <v>1.4173507499950067</v>
      </c>
      <c r="R128" s="129">
        <v>486</v>
      </c>
      <c r="S128" s="135">
        <v>0.12133740787344958</v>
      </c>
      <c r="T128" s="129">
        <v>400536</v>
      </c>
      <c r="U128" s="135">
        <v>100</v>
      </c>
    </row>
    <row r="129" spans="1:21" hidden="1" x14ac:dyDescent="0.2">
      <c r="D129" s="129">
        <v>645572</v>
      </c>
      <c r="E129" s="135">
        <v>78.696813957343892</v>
      </c>
      <c r="F129" s="129">
        <v>1166</v>
      </c>
      <c r="G129" s="135">
        <v>0.14213826664456169</v>
      </c>
      <c r="H129" s="129">
        <v>16618</v>
      </c>
      <c r="I129" s="135">
        <v>2.0257750558313261</v>
      </c>
      <c r="J129" s="129">
        <v>0</v>
      </c>
      <c r="K129" s="135">
        <v>0</v>
      </c>
      <c r="L129" s="129">
        <v>0</v>
      </c>
      <c r="M129" s="135">
        <v>0</v>
      </c>
      <c r="N129" s="129">
        <v>144552</v>
      </c>
      <c r="O129" s="135">
        <v>17.621244185252728</v>
      </c>
      <c r="P129" s="129">
        <v>11446</v>
      </c>
      <c r="Q129" s="135">
        <v>1.3952955403204572</v>
      </c>
      <c r="R129" s="129">
        <v>974</v>
      </c>
      <c r="S129" s="135">
        <v>0.11873299460703522</v>
      </c>
      <c r="T129" s="129">
        <v>820328</v>
      </c>
      <c r="U129" s="135">
        <v>100</v>
      </c>
    </row>
    <row r="130" spans="1:21" hidden="1" x14ac:dyDescent="0.2">
      <c r="D130" s="129">
        <v>364899</v>
      </c>
      <c r="E130" s="135">
        <v>91.102672418958591</v>
      </c>
      <c r="F130" s="129">
        <v>250</v>
      </c>
      <c r="G130" s="135">
        <v>6.2416362074819737E-2</v>
      </c>
      <c r="H130" s="129">
        <v>21290</v>
      </c>
      <c r="I130" s="135">
        <v>5.3153773942916489</v>
      </c>
      <c r="J130" s="129">
        <v>0</v>
      </c>
      <c r="K130" s="135">
        <v>0</v>
      </c>
      <c r="L130" s="129">
        <v>0</v>
      </c>
      <c r="M130" s="135">
        <v>0</v>
      </c>
      <c r="N130" s="129">
        <v>7934</v>
      </c>
      <c r="O130" s="135">
        <v>1.9808456668064793</v>
      </c>
      <c r="P130" s="129">
        <v>5677</v>
      </c>
      <c r="Q130" s="135">
        <v>1.4173507499950067</v>
      </c>
      <c r="R130" s="129">
        <v>486</v>
      </c>
      <c r="S130" s="135">
        <v>0.12133740787344958</v>
      </c>
      <c r="T130" s="129">
        <v>400536</v>
      </c>
      <c r="U130" s="135">
        <v>100</v>
      </c>
    </row>
    <row r="131" spans="1:21" x14ac:dyDescent="0.2">
      <c r="A131" s="131" t="s">
        <v>204</v>
      </c>
      <c r="B131">
        <v>40</v>
      </c>
      <c r="C131" t="s">
        <v>18</v>
      </c>
      <c r="D131" s="129">
        <v>4457877</v>
      </c>
      <c r="E131" s="135">
        <v>88.309101476652913</v>
      </c>
      <c r="F131" s="129">
        <v>12538</v>
      </c>
      <c r="G131" s="135">
        <v>0.24837372460349944</v>
      </c>
      <c r="H131" s="129">
        <v>233575</v>
      </c>
      <c r="I131" s="135">
        <v>4.6270452005313745</v>
      </c>
      <c r="J131" s="129">
        <v>0</v>
      </c>
      <c r="K131" s="135">
        <v>0</v>
      </c>
      <c r="L131" s="129">
        <v>0</v>
      </c>
      <c r="M131" s="135">
        <v>0</v>
      </c>
      <c r="N131" s="129">
        <v>255432</v>
      </c>
      <c r="O131" s="135">
        <v>5.060025300918892</v>
      </c>
      <c r="P131" s="129">
        <v>78847</v>
      </c>
      <c r="Q131" s="135">
        <v>1.5619335670611036</v>
      </c>
      <c r="R131" s="129">
        <v>9769</v>
      </c>
      <c r="S131" s="135">
        <v>0.19352073023222091</v>
      </c>
      <c r="T131" s="129">
        <v>5048038</v>
      </c>
      <c r="U131" s="135">
        <v>100</v>
      </c>
    </row>
    <row r="132" spans="1:21" hidden="1" x14ac:dyDescent="0.2">
      <c r="D132" s="129">
        <v>855420</v>
      </c>
      <c r="E132" s="135">
        <v>74.851617182393397</v>
      </c>
      <c r="F132" s="129">
        <v>97737</v>
      </c>
      <c r="G132" s="135">
        <v>8.5522579651581481</v>
      </c>
      <c r="H132" s="129">
        <v>38347</v>
      </c>
      <c r="I132" s="135">
        <v>3.3554686166950032</v>
      </c>
      <c r="J132" s="129">
        <v>0</v>
      </c>
      <c r="K132" s="135">
        <v>0</v>
      </c>
      <c r="L132" s="129">
        <v>0</v>
      </c>
      <c r="M132" s="135">
        <v>0</v>
      </c>
      <c r="N132" s="129">
        <v>28481</v>
      </c>
      <c r="O132" s="135">
        <v>2.4921663147597042</v>
      </c>
      <c r="P132" s="129">
        <v>0</v>
      </c>
      <c r="Q132" s="135">
        <v>0</v>
      </c>
      <c r="R132" s="129">
        <v>122836</v>
      </c>
      <c r="S132" s="135">
        <v>10.748489920993752</v>
      </c>
      <c r="T132" s="129">
        <v>1142821</v>
      </c>
      <c r="U132" s="135">
        <v>100</v>
      </c>
    </row>
    <row r="133" spans="1:21" hidden="1" x14ac:dyDescent="0.2">
      <c r="D133" s="129">
        <v>202469</v>
      </c>
      <c r="E133" s="135">
        <v>87.506104755442422</v>
      </c>
      <c r="F133" s="129">
        <v>3966</v>
      </c>
      <c r="G133" s="135">
        <v>1.7140856697078792</v>
      </c>
      <c r="H133" s="129">
        <v>8863</v>
      </c>
      <c r="I133" s="135">
        <v>3.8305449547707857</v>
      </c>
      <c r="J133" s="129">
        <v>0</v>
      </c>
      <c r="K133" s="135">
        <v>0</v>
      </c>
      <c r="L133" s="129">
        <v>0</v>
      </c>
      <c r="M133" s="135">
        <v>0</v>
      </c>
      <c r="N133" s="129">
        <v>43</v>
      </c>
      <c r="O133" s="135">
        <v>1.8584388249480287E-2</v>
      </c>
      <c r="P133" s="129">
        <v>0</v>
      </c>
      <c r="Q133" s="135">
        <v>0</v>
      </c>
      <c r="R133" s="129">
        <v>16036</v>
      </c>
      <c r="S133" s="135">
        <v>6.9306802318294389</v>
      </c>
      <c r="T133" s="129">
        <v>231377</v>
      </c>
      <c r="U133" s="135">
        <v>100</v>
      </c>
    </row>
    <row r="134" spans="1:21" hidden="1" x14ac:dyDescent="0.2">
      <c r="D134" s="129">
        <v>329864</v>
      </c>
      <c r="E134" s="135">
        <v>80.685275959572238</v>
      </c>
      <c r="F134" s="129">
        <v>43249</v>
      </c>
      <c r="G134" s="135">
        <v>10.578776404747229</v>
      </c>
      <c r="H134" s="129">
        <v>7769</v>
      </c>
      <c r="I134" s="135">
        <v>1.9003101548817596</v>
      </c>
      <c r="J134" s="129">
        <v>0</v>
      </c>
      <c r="K134" s="135">
        <v>0</v>
      </c>
      <c r="L134" s="129">
        <v>0</v>
      </c>
      <c r="M134" s="135">
        <v>0</v>
      </c>
      <c r="N134" s="129">
        <v>5608</v>
      </c>
      <c r="O134" s="135">
        <v>1.3717260070249591</v>
      </c>
      <c r="P134" s="129">
        <v>0</v>
      </c>
      <c r="Q134" s="135">
        <v>0</v>
      </c>
      <c r="R134" s="129">
        <v>22338</v>
      </c>
      <c r="S134" s="135">
        <v>5.4639114737738126</v>
      </c>
      <c r="T134" s="129">
        <v>408828</v>
      </c>
      <c r="U134" s="135">
        <v>100</v>
      </c>
    </row>
    <row r="135" spans="1:21" hidden="1" x14ac:dyDescent="0.2">
      <c r="D135" s="129">
        <v>267150</v>
      </c>
      <c r="E135" s="135">
        <v>75.868806461415247</v>
      </c>
      <c r="F135" s="129">
        <v>32858</v>
      </c>
      <c r="G135" s="135">
        <v>9.3314514044887975</v>
      </c>
      <c r="H135" s="129">
        <v>4556</v>
      </c>
      <c r="I135" s="135">
        <v>1.2938734128325207</v>
      </c>
      <c r="J135" s="129">
        <v>0</v>
      </c>
      <c r="K135" s="135">
        <v>0</v>
      </c>
      <c r="L135" s="129">
        <v>0</v>
      </c>
      <c r="M135" s="135">
        <v>0</v>
      </c>
      <c r="N135" s="129">
        <v>6490</v>
      </c>
      <c r="O135" s="135">
        <v>1.8431164287276247</v>
      </c>
      <c r="P135" s="129">
        <v>0</v>
      </c>
      <c r="Q135" s="135">
        <v>0</v>
      </c>
      <c r="R135" s="129">
        <v>41067</v>
      </c>
      <c r="S135" s="135">
        <v>11.662752292535805</v>
      </c>
      <c r="T135" s="129">
        <v>352121</v>
      </c>
      <c r="U135" s="135">
        <v>100</v>
      </c>
    </row>
    <row r="136" spans="1:21" x14ac:dyDescent="0.2">
      <c r="A136">
        <v>2011</v>
      </c>
      <c r="B136">
        <v>41</v>
      </c>
      <c r="C136" s="122" t="s">
        <v>172</v>
      </c>
      <c r="D136" s="129">
        <v>1654903</v>
      </c>
      <c r="E136" s="135">
        <v>77.507684482614081</v>
      </c>
      <c r="F136" s="129">
        <v>177810</v>
      </c>
      <c r="G136" s="135">
        <v>8.3277638495148096</v>
      </c>
      <c r="H136" s="129">
        <v>59535</v>
      </c>
      <c r="I136" s="135">
        <v>2.7883326066074141</v>
      </c>
      <c r="J136" s="129">
        <v>0</v>
      </c>
      <c r="K136" s="135">
        <v>0</v>
      </c>
      <c r="L136" s="129">
        <v>0</v>
      </c>
      <c r="M136" s="135">
        <v>0</v>
      </c>
      <c r="N136" s="129">
        <v>40622</v>
      </c>
      <c r="O136" s="135">
        <v>1.9025387947527734</v>
      </c>
      <c r="P136" s="129">
        <v>0</v>
      </c>
      <c r="Q136" s="135">
        <v>0</v>
      </c>
      <c r="R136" s="129">
        <v>202277</v>
      </c>
      <c r="S136" s="135">
        <v>9.4736802665109234</v>
      </c>
      <c r="T136" s="129">
        <v>2135147</v>
      </c>
      <c r="U136" s="135">
        <v>100</v>
      </c>
    </row>
    <row r="137" spans="1:21" hidden="1" x14ac:dyDescent="0.2">
      <c r="D137" s="129">
        <v>575125</v>
      </c>
      <c r="E137" s="135">
        <v>94.192454776976177</v>
      </c>
      <c r="F137" s="129">
        <v>6327</v>
      </c>
      <c r="G137" s="135">
        <v>1.0362193633973975</v>
      </c>
      <c r="H137" s="129">
        <v>11375</v>
      </c>
      <c r="I137" s="135">
        <v>1.8629674820049624</v>
      </c>
      <c r="J137" s="129">
        <v>884</v>
      </c>
      <c r="K137" s="135">
        <v>0.14477918717295707</v>
      </c>
      <c r="L137" s="129">
        <v>0</v>
      </c>
      <c r="M137" s="135">
        <v>0</v>
      </c>
      <c r="N137" s="129">
        <v>9367</v>
      </c>
      <c r="O137" s="135">
        <v>1.5341025410057567</v>
      </c>
      <c r="P137" s="129">
        <v>3821</v>
      </c>
      <c r="Q137" s="135">
        <v>0.62579329659261207</v>
      </c>
      <c r="R137" s="129">
        <v>3686</v>
      </c>
      <c r="S137" s="135">
        <v>0.60368335285013552</v>
      </c>
      <c r="T137" s="129">
        <v>610585</v>
      </c>
      <c r="U137" s="135">
        <v>100</v>
      </c>
    </row>
    <row r="138" spans="1:21" hidden="1" x14ac:dyDescent="0.2">
      <c r="D138" s="129">
        <v>498935</v>
      </c>
      <c r="E138" s="135">
        <v>89.413432399835841</v>
      </c>
      <c r="F138" s="129">
        <v>4274</v>
      </c>
      <c r="G138" s="135">
        <v>0.76593746695841824</v>
      </c>
      <c r="H138" s="129">
        <v>16134</v>
      </c>
      <c r="I138" s="135">
        <v>2.8913512147653533</v>
      </c>
      <c r="J138" s="129">
        <v>3087</v>
      </c>
      <c r="K138" s="135">
        <v>0.55321688359865162</v>
      </c>
      <c r="L138" s="129">
        <v>0</v>
      </c>
      <c r="M138" s="135">
        <v>0</v>
      </c>
      <c r="N138" s="129">
        <v>8062</v>
      </c>
      <c r="O138" s="135">
        <v>1.4447795644873112</v>
      </c>
      <c r="P138" s="129">
        <v>26268</v>
      </c>
      <c r="Q138" s="135">
        <v>4.7074509550921215</v>
      </c>
      <c r="R138" s="129">
        <v>1249</v>
      </c>
      <c r="S138" s="135">
        <v>0.22383151526229866</v>
      </c>
      <c r="T138" s="129">
        <v>558009</v>
      </c>
      <c r="U138" s="135">
        <v>100</v>
      </c>
    </row>
    <row r="139" spans="1:21" hidden="1" x14ac:dyDescent="0.2">
      <c r="D139" s="129">
        <v>452861</v>
      </c>
      <c r="E139" s="135">
        <v>97.871241444443726</v>
      </c>
      <c r="F139" s="129">
        <v>0</v>
      </c>
      <c r="G139" s="135">
        <v>0</v>
      </c>
      <c r="H139" s="129">
        <v>530</v>
      </c>
      <c r="I139" s="135">
        <v>0.11454233852231739</v>
      </c>
      <c r="J139" s="129">
        <v>4223</v>
      </c>
      <c r="K139" s="135">
        <v>0.91266470864103078</v>
      </c>
      <c r="L139" s="129">
        <v>0</v>
      </c>
      <c r="M139" s="135">
        <v>0</v>
      </c>
      <c r="N139" s="129">
        <v>977</v>
      </c>
      <c r="O139" s="135">
        <v>0.21114691459680016</v>
      </c>
      <c r="P139" s="129">
        <v>1908</v>
      </c>
      <c r="Q139" s="135">
        <v>0.41235241868034261</v>
      </c>
      <c r="R139" s="129">
        <v>2212</v>
      </c>
      <c r="S139" s="135">
        <v>0.47805217511578507</v>
      </c>
      <c r="T139" s="129">
        <v>462711</v>
      </c>
      <c r="U139" s="135">
        <v>100</v>
      </c>
    </row>
    <row r="140" spans="1:21" hidden="1" x14ac:dyDescent="0.2">
      <c r="D140" s="129">
        <v>439650</v>
      </c>
      <c r="E140" s="135">
        <v>92.459790033312018</v>
      </c>
      <c r="F140" s="129">
        <v>10839</v>
      </c>
      <c r="G140" s="135">
        <v>2.2794760927352873</v>
      </c>
      <c r="H140" s="129">
        <v>5449</v>
      </c>
      <c r="I140" s="135">
        <v>1.1459419899727448</v>
      </c>
      <c r="J140" s="129">
        <v>1608</v>
      </c>
      <c r="K140" s="135">
        <v>0.33816750227127423</v>
      </c>
      <c r="L140" s="129">
        <v>0</v>
      </c>
      <c r="M140" s="135">
        <v>0</v>
      </c>
      <c r="N140" s="129">
        <v>3530</v>
      </c>
      <c r="O140" s="135">
        <v>0.74237020088159089</v>
      </c>
      <c r="P140" s="129">
        <v>10466</v>
      </c>
      <c r="Q140" s="135">
        <v>2.2010330091860428</v>
      </c>
      <c r="R140" s="129">
        <v>3962</v>
      </c>
      <c r="S140" s="135">
        <v>0.83322117164103782</v>
      </c>
      <c r="T140" s="129">
        <v>475504</v>
      </c>
      <c r="U140" s="135">
        <v>100</v>
      </c>
    </row>
    <row r="141" spans="1:21" hidden="1" x14ac:dyDescent="0.2">
      <c r="D141" s="129">
        <v>528348</v>
      </c>
      <c r="E141" s="135">
        <v>95.922528217687869</v>
      </c>
      <c r="F141" s="129">
        <v>3379</v>
      </c>
      <c r="G141" s="135">
        <v>0.61346351807438904</v>
      </c>
      <c r="H141" s="129">
        <v>12826</v>
      </c>
      <c r="I141" s="135">
        <v>2.3285833331820402</v>
      </c>
      <c r="J141" s="129">
        <v>2294</v>
      </c>
      <c r="K141" s="135">
        <v>0.41647981961013564</v>
      </c>
      <c r="L141" s="129">
        <v>0</v>
      </c>
      <c r="M141" s="135">
        <v>0</v>
      </c>
      <c r="N141" s="129">
        <v>2311</v>
      </c>
      <c r="O141" s="135">
        <v>0.41956620013906865</v>
      </c>
      <c r="P141" s="129">
        <v>179</v>
      </c>
      <c r="Q141" s="135">
        <v>3.2497771451706313E-2</v>
      </c>
      <c r="R141" s="129">
        <v>1470</v>
      </c>
      <c r="S141" s="135">
        <v>0.26688113985479489</v>
      </c>
      <c r="T141" s="129">
        <v>550807</v>
      </c>
      <c r="U141" s="135">
        <v>100</v>
      </c>
    </row>
    <row r="142" spans="1:21" x14ac:dyDescent="0.2">
      <c r="A142">
        <v>2011</v>
      </c>
      <c r="B142">
        <v>42</v>
      </c>
      <c r="C142" s="122" t="s">
        <v>176</v>
      </c>
      <c r="D142" s="129">
        <v>2494919</v>
      </c>
      <c r="E142" s="135">
        <v>93.878084719538109</v>
      </c>
      <c r="F142" s="129">
        <v>24819</v>
      </c>
      <c r="G142" s="135">
        <v>0.9338820958332581</v>
      </c>
      <c r="H142" s="129">
        <v>46314</v>
      </c>
      <c r="I142" s="135">
        <v>1.7426896888038002</v>
      </c>
      <c r="J142" s="129">
        <v>12096</v>
      </c>
      <c r="K142" s="135">
        <v>0.45514476131991982</v>
      </c>
      <c r="L142" s="129">
        <v>0</v>
      </c>
      <c r="M142" s="135">
        <v>0</v>
      </c>
      <c r="N142" s="129">
        <v>24247</v>
      </c>
      <c r="O142" s="135">
        <v>0.91235904660417455</v>
      </c>
      <c r="P142" s="129">
        <v>42642</v>
      </c>
      <c r="Q142" s="135">
        <v>1.6045207434031101</v>
      </c>
      <c r="R142" s="129">
        <v>12579</v>
      </c>
      <c r="S142" s="135">
        <v>0.4733189444976249</v>
      </c>
      <c r="T142" s="129">
        <v>2657616</v>
      </c>
      <c r="U142" s="135">
        <v>100</v>
      </c>
    </row>
    <row r="143" spans="1:21" hidden="1" x14ac:dyDescent="0.2">
      <c r="D143" s="129">
        <v>260722</v>
      </c>
      <c r="E143" s="135">
        <v>86.708481881551648</v>
      </c>
      <c r="F143" s="129">
        <v>6374</v>
      </c>
      <c r="G143" s="135">
        <v>2.1198052466343853</v>
      </c>
      <c r="H143" s="129">
        <v>15228</v>
      </c>
      <c r="I143" s="135">
        <v>5.0643856755174799</v>
      </c>
      <c r="J143" s="129">
        <v>0</v>
      </c>
      <c r="K143" s="135">
        <v>0</v>
      </c>
      <c r="L143" s="129">
        <v>0</v>
      </c>
      <c r="M143" s="135">
        <v>0</v>
      </c>
      <c r="N143" s="129">
        <v>17721</v>
      </c>
      <c r="O143" s="135">
        <v>5.8934842760602351</v>
      </c>
      <c r="P143" s="129">
        <v>293</v>
      </c>
      <c r="Q143" s="135">
        <v>9.7443196935029008E-2</v>
      </c>
      <c r="R143" s="129">
        <v>350</v>
      </c>
      <c r="S143" s="135">
        <v>0.11639972330122919</v>
      </c>
      <c r="T143" s="129">
        <v>300688</v>
      </c>
      <c r="U143" s="135">
        <v>100</v>
      </c>
    </row>
    <row r="144" spans="1:21" hidden="1" x14ac:dyDescent="0.2">
      <c r="D144" s="129">
        <v>764111</v>
      </c>
      <c r="E144" s="135">
        <v>90.983141986907</v>
      </c>
      <c r="F144" s="129">
        <v>457</v>
      </c>
      <c r="G144" s="135">
        <v>5.4415256275615061E-2</v>
      </c>
      <c r="H144" s="129">
        <v>38156</v>
      </c>
      <c r="I144" s="135">
        <v>4.5432571519745473</v>
      </c>
      <c r="J144" s="129">
        <v>0</v>
      </c>
      <c r="K144" s="135">
        <v>0</v>
      </c>
      <c r="L144" s="129">
        <v>0</v>
      </c>
      <c r="M144" s="135">
        <v>0</v>
      </c>
      <c r="N144" s="129">
        <v>35187</v>
      </c>
      <c r="O144" s="135">
        <v>4.1897365920570397</v>
      </c>
      <c r="P144" s="129">
        <v>1239</v>
      </c>
      <c r="Q144" s="135">
        <v>0.14752845191572661</v>
      </c>
      <c r="R144" s="129">
        <v>688</v>
      </c>
      <c r="S144" s="135">
        <v>8.1920560870072559E-2</v>
      </c>
      <c r="T144" s="129">
        <v>839838</v>
      </c>
      <c r="U144" s="135">
        <v>100</v>
      </c>
    </row>
    <row r="145" spans="1:21" hidden="1" x14ac:dyDescent="0.2">
      <c r="D145" s="129">
        <v>453074</v>
      </c>
      <c r="E145" s="135">
        <v>89.670568909384187</v>
      </c>
      <c r="F145" s="129">
        <v>968</v>
      </c>
      <c r="G145" s="135">
        <v>0.19158263485497709</v>
      </c>
      <c r="H145" s="129">
        <v>28633</v>
      </c>
      <c r="I145" s="135">
        <v>5.6669272559943789</v>
      </c>
      <c r="J145" s="129">
        <v>0</v>
      </c>
      <c r="K145" s="135">
        <v>0</v>
      </c>
      <c r="L145" s="129">
        <v>0</v>
      </c>
      <c r="M145" s="135">
        <v>0</v>
      </c>
      <c r="N145" s="129">
        <v>11312</v>
      </c>
      <c r="O145" s="135">
        <v>2.2388251709498976</v>
      </c>
      <c r="P145" s="129">
        <v>11253</v>
      </c>
      <c r="Q145" s="135">
        <v>2.227148130189109</v>
      </c>
      <c r="R145" s="129">
        <v>25</v>
      </c>
      <c r="S145" s="135">
        <v>4.9478986274529204E-3</v>
      </c>
      <c r="T145" s="129">
        <v>505265</v>
      </c>
      <c r="U145" s="135">
        <v>100</v>
      </c>
    </row>
    <row r="146" spans="1:21" hidden="1" x14ac:dyDescent="0.2">
      <c r="D146" s="129">
        <v>316369</v>
      </c>
      <c r="E146" s="135">
        <v>87.58686179077867</v>
      </c>
      <c r="F146" s="129">
        <v>92</v>
      </c>
      <c r="G146" s="135">
        <v>2.547023028410381E-2</v>
      </c>
      <c r="H146" s="129">
        <v>40149</v>
      </c>
      <c r="I146" s="135">
        <v>11.115263866048737</v>
      </c>
      <c r="J146" s="129">
        <v>0</v>
      </c>
      <c r="K146" s="135">
        <v>0</v>
      </c>
      <c r="L146" s="129">
        <v>0</v>
      </c>
      <c r="M146" s="135">
        <v>0</v>
      </c>
      <c r="N146" s="129">
        <v>3214</v>
      </c>
      <c r="O146" s="135">
        <v>0.88979695796858305</v>
      </c>
      <c r="P146" s="129">
        <v>1382</v>
      </c>
      <c r="Q146" s="135">
        <v>0.38260715491990721</v>
      </c>
      <c r="R146" s="129">
        <v>0</v>
      </c>
      <c r="S146" s="135">
        <v>0</v>
      </c>
      <c r="T146" s="129">
        <v>361206</v>
      </c>
      <c r="U146" s="135">
        <v>100</v>
      </c>
    </row>
    <row r="147" spans="1:21" hidden="1" x14ac:dyDescent="0.2">
      <c r="D147" s="129">
        <v>1748560</v>
      </c>
      <c r="E147" s="135">
        <v>86.261017820416498</v>
      </c>
      <c r="F147" s="129">
        <v>26839</v>
      </c>
      <c r="G147" s="135">
        <v>1.3240377552283926</v>
      </c>
      <c r="H147" s="129">
        <v>78093</v>
      </c>
      <c r="I147" s="135">
        <v>3.8525310339077787</v>
      </c>
      <c r="J147" s="129">
        <v>0</v>
      </c>
      <c r="K147" s="135">
        <v>0</v>
      </c>
      <c r="L147" s="129">
        <v>0</v>
      </c>
      <c r="M147" s="135">
        <v>0</v>
      </c>
      <c r="N147" s="129">
        <v>123068</v>
      </c>
      <c r="O147" s="135">
        <v>6.0712648928964503</v>
      </c>
      <c r="P147" s="129">
        <v>49550</v>
      </c>
      <c r="Q147" s="135">
        <v>2.4444305216873525</v>
      </c>
      <c r="R147" s="129">
        <v>947</v>
      </c>
      <c r="S147" s="135">
        <v>4.6717975863530235E-2</v>
      </c>
      <c r="T147" s="129">
        <v>2027057</v>
      </c>
      <c r="U147" s="135">
        <v>100</v>
      </c>
    </row>
    <row r="148" spans="1:21" hidden="1" x14ac:dyDescent="0.2">
      <c r="D148" s="129">
        <v>1393157</v>
      </c>
      <c r="E148" s="135">
        <v>92.263702728459378</v>
      </c>
      <c r="F148" s="129">
        <v>4334</v>
      </c>
      <c r="G148" s="135">
        <v>0.28702499978476437</v>
      </c>
      <c r="H148" s="129">
        <v>75145</v>
      </c>
      <c r="I148" s="135">
        <v>4.976579051413502</v>
      </c>
      <c r="J148" s="129">
        <v>0</v>
      </c>
      <c r="K148" s="135">
        <v>0</v>
      </c>
      <c r="L148" s="129">
        <v>0</v>
      </c>
      <c r="M148" s="135">
        <v>0</v>
      </c>
      <c r="N148" s="129">
        <v>34640</v>
      </c>
      <c r="O148" s="135">
        <v>2.2940807550863491</v>
      </c>
      <c r="P148" s="129">
        <v>2631</v>
      </c>
      <c r="Q148" s="135">
        <v>0.17424152617298455</v>
      </c>
      <c r="R148" s="129">
        <v>66</v>
      </c>
      <c r="S148" s="135">
        <v>4.3709390830167167E-3</v>
      </c>
      <c r="T148" s="129">
        <v>1509973</v>
      </c>
      <c r="U148" s="135">
        <v>100</v>
      </c>
    </row>
    <row r="149" spans="1:21" hidden="1" x14ac:dyDescent="0.2">
      <c r="D149" s="129">
        <v>407778</v>
      </c>
      <c r="E149" s="135">
        <v>90.807625757977277</v>
      </c>
      <c r="F149" s="129">
        <v>434</v>
      </c>
      <c r="G149" s="135">
        <v>9.6646973546788043E-2</v>
      </c>
      <c r="H149" s="129">
        <v>22883</v>
      </c>
      <c r="I149" s="135">
        <v>5.0957896213620986</v>
      </c>
      <c r="J149" s="129">
        <v>0</v>
      </c>
      <c r="K149" s="135">
        <v>0</v>
      </c>
      <c r="L149" s="129">
        <v>0</v>
      </c>
      <c r="M149" s="135">
        <v>0</v>
      </c>
      <c r="N149" s="129">
        <v>7527</v>
      </c>
      <c r="O149" s="135">
        <v>1.6761791932872663</v>
      </c>
      <c r="P149" s="129">
        <v>5174</v>
      </c>
      <c r="Q149" s="135">
        <v>1.1521922606706945</v>
      </c>
      <c r="R149" s="129">
        <v>5261</v>
      </c>
      <c r="S149" s="135">
        <v>1.1715661931558798</v>
      </c>
      <c r="T149" s="129">
        <v>449057</v>
      </c>
      <c r="U149" s="135">
        <v>100</v>
      </c>
    </row>
    <row r="150" spans="1:21" hidden="1" x14ac:dyDescent="0.2">
      <c r="D150" s="129">
        <v>564992</v>
      </c>
      <c r="E150" s="135">
        <v>82.355667826464668</v>
      </c>
      <c r="F150" s="129">
        <v>8207</v>
      </c>
      <c r="G150" s="135">
        <v>1.1962876746074202</v>
      </c>
      <c r="H150" s="129">
        <v>11443</v>
      </c>
      <c r="I150" s="135">
        <v>1.667980974842538</v>
      </c>
      <c r="J150" s="129">
        <v>0</v>
      </c>
      <c r="K150" s="135">
        <v>0</v>
      </c>
      <c r="L150" s="129">
        <v>0</v>
      </c>
      <c r="M150" s="135">
        <v>0</v>
      </c>
      <c r="N150" s="129">
        <v>91044</v>
      </c>
      <c r="O150" s="135">
        <v>13.270965644810282</v>
      </c>
      <c r="P150" s="129">
        <v>10124</v>
      </c>
      <c r="Q150" s="135">
        <v>1.4757178527751338</v>
      </c>
      <c r="R150" s="129">
        <v>229</v>
      </c>
      <c r="S150" s="135">
        <v>3.3380026499951171E-2</v>
      </c>
      <c r="T150" s="129">
        <v>686039</v>
      </c>
      <c r="U150" s="135">
        <v>100</v>
      </c>
    </row>
    <row r="151" spans="1:21" hidden="1" x14ac:dyDescent="0.2">
      <c r="D151" s="129">
        <v>356672</v>
      </c>
      <c r="E151" s="135">
        <v>98.094879248842815</v>
      </c>
      <c r="F151" s="129">
        <v>630</v>
      </c>
      <c r="G151" s="135">
        <v>0.17326780326678565</v>
      </c>
      <c r="H151" s="129">
        <v>5162</v>
      </c>
      <c r="I151" s="135">
        <v>1.4196958737510279</v>
      </c>
      <c r="J151" s="129">
        <v>0</v>
      </c>
      <c r="K151" s="135">
        <v>0</v>
      </c>
      <c r="L151" s="129">
        <v>0</v>
      </c>
      <c r="M151" s="135">
        <v>0</v>
      </c>
      <c r="N151" s="129">
        <v>303</v>
      </c>
      <c r="O151" s="135">
        <v>8.3333562523549301E-2</v>
      </c>
      <c r="P151" s="129">
        <v>728</v>
      </c>
      <c r="Q151" s="135">
        <v>0.20022057266384122</v>
      </c>
      <c r="R151" s="129">
        <v>104</v>
      </c>
      <c r="S151" s="135">
        <v>2.8602938951977314E-2</v>
      </c>
      <c r="T151" s="129">
        <v>363599</v>
      </c>
      <c r="U151" s="135">
        <v>100</v>
      </c>
    </row>
    <row r="152" spans="1:21" hidden="1" x14ac:dyDescent="0.2">
      <c r="D152" s="129">
        <v>157472</v>
      </c>
      <c r="E152" s="135">
        <v>88.707624015592785</v>
      </c>
      <c r="F152" s="129">
        <v>12016</v>
      </c>
      <c r="G152" s="135">
        <v>6.7688910420351744</v>
      </c>
      <c r="H152" s="129">
        <v>2864</v>
      </c>
      <c r="I152" s="135">
        <v>1.6133575186741627</v>
      </c>
      <c r="J152" s="129">
        <v>0</v>
      </c>
      <c r="K152" s="135">
        <v>0</v>
      </c>
      <c r="L152" s="129">
        <v>0</v>
      </c>
      <c r="M152" s="135">
        <v>0</v>
      </c>
      <c r="N152" s="129">
        <v>940</v>
      </c>
      <c r="O152" s="135">
        <v>0.52952376660394995</v>
      </c>
      <c r="P152" s="129">
        <v>319</v>
      </c>
      <c r="Q152" s="135">
        <v>0.17970008675176602</v>
      </c>
      <c r="R152" s="129">
        <v>3907</v>
      </c>
      <c r="S152" s="135">
        <v>2.2009035703421627</v>
      </c>
      <c r="T152" s="129">
        <v>177518</v>
      </c>
      <c r="U152" s="135">
        <v>100</v>
      </c>
    </row>
    <row r="153" spans="1:21" x14ac:dyDescent="0.2">
      <c r="A153">
        <v>2011</v>
      </c>
      <c r="B153">
        <v>43</v>
      </c>
      <c r="C153" t="s">
        <v>26</v>
      </c>
      <c r="D153" s="129">
        <v>6422907</v>
      </c>
      <c r="E153" s="135">
        <v>88.956973729405121</v>
      </c>
      <c r="F153" s="129">
        <v>60351</v>
      </c>
      <c r="G153" s="135">
        <v>0.83585864181800051</v>
      </c>
      <c r="H153" s="129">
        <v>317756</v>
      </c>
      <c r="I153" s="135">
        <v>4.4009063410634548</v>
      </c>
      <c r="J153" s="129">
        <v>0</v>
      </c>
      <c r="K153" s="135">
        <v>0</v>
      </c>
      <c r="L153" s="129">
        <v>0</v>
      </c>
      <c r="M153" s="135">
        <v>0</v>
      </c>
      <c r="N153" s="129">
        <v>324956</v>
      </c>
      <c r="O153" s="135">
        <v>4.5006260179717019</v>
      </c>
      <c r="P153" s="129">
        <v>82693</v>
      </c>
      <c r="Q153" s="135">
        <v>1.1452943392463408</v>
      </c>
      <c r="R153" s="129">
        <v>11577</v>
      </c>
      <c r="S153" s="135">
        <v>0.1603409304953852</v>
      </c>
      <c r="T153" s="129">
        <v>7220240</v>
      </c>
      <c r="U153" s="135">
        <v>100</v>
      </c>
    </row>
    <row r="154" spans="1:21" hidden="1" x14ac:dyDescent="0.2">
      <c r="D154" s="129">
        <v>2137835</v>
      </c>
      <c r="E154" s="135">
        <v>77.503589983791144</v>
      </c>
      <c r="F154" s="129">
        <v>234313</v>
      </c>
      <c r="G154" s="135">
        <v>8.4946212780088537</v>
      </c>
      <c r="H154" s="129">
        <v>74490</v>
      </c>
      <c r="I154" s="135">
        <v>2.7005088876796397</v>
      </c>
      <c r="J154" s="129">
        <v>0</v>
      </c>
      <c r="K154" s="135">
        <v>0</v>
      </c>
      <c r="L154" s="129">
        <v>3727</v>
      </c>
      <c r="M154" s="135">
        <v>0.13511607765313488</v>
      </c>
      <c r="N154" s="129">
        <v>276649</v>
      </c>
      <c r="O154" s="135">
        <v>10.029441311151627</v>
      </c>
      <c r="P154" s="129">
        <v>10525</v>
      </c>
      <c r="Q154" s="135">
        <v>0.38156606313368513</v>
      </c>
      <c r="R154" s="129">
        <v>20830</v>
      </c>
      <c r="S154" s="135">
        <v>0.75515639858191563</v>
      </c>
      <c r="T154" s="129">
        <v>2758369</v>
      </c>
      <c r="U154" s="135">
        <v>100</v>
      </c>
    </row>
    <row r="155" spans="1:21" hidden="1" x14ac:dyDescent="0.2">
      <c r="D155" s="129">
        <v>401976</v>
      </c>
      <c r="E155" s="135">
        <v>83.909147269345652</v>
      </c>
      <c r="F155" s="129">
        <v>38911</v>
      </c>
      <c r="G155" s="135">
        <v>8.1223476759744582</v>
      </c>
      <c r="H155" s="129">
        <v>16723</v>
      </c>
      <c r="I155" s="135">
        <v>3.4907871857654871</v>
      </c>
      <c r="J155" s="129">
        <v>0</v>
      </c>
      <c r="K155" s="135">
        <v>0</v>
      </c>
      <c r="L155" s="129">
        <v>239</v>
      </c>
      <c r="M155" s="135">
        <v>4.9889262536503699E-2</v>
      </c>
      <c r="N155" s="129">
        <v>11062</v>
      </c>
      <c r="O155" s="135">
        <v>2.3091005112083849</v>
      </c>
      <c r="P155" s="129">
        <v>9413</v>
      </c>
      <c r="Q155" s="135">
        <v>1.9648854738749346</v>
      </c>
      <c r="R155" s="129">
        <v>737</v>
      </c>
      <c r="S155" s="135">
        <v>0.15384262129457418</v>
      </c>
      <c r="T155" s="129">
        <v>479061</v>
      </c>
      <c r="U155" s="135">
        <v>100</v>
      </c>
    </row>
    <row r="156" spans="1:21" x14ac:dyDescent="0.2">
      <c r="A156">
        <v>2011</v>
      </c>
      <c r="B156">
        <v>44</v>
      </c>
      <c r="C156" t="s">
        <v>25</v>
      </c>
      <c r="D156" s="129">
        <v>2539811</v>
      </c>
      <c r="E156" s="135">
        <v>78.451456865476629</v>
      </c>
      <c r="F156" s="129">
        <v>273224</v>
      </c>
      <c r="G156" s="135">
        <v>8.4395338277584386</v>
      </c>
      <c r="H156" s="129">
        <v>91213</v>
      </c>
      <c r="I156" s="135">
        <v>2.81745087924681</v>
      </c>
      <c r="J156" s="129">
        <v>0</v>
      </c>
      <c r="K156" s="135">
        <v>0</v>
      </c>
      <c r="L156" s="129">
        <v>3966</v>
      </c>
      <c r="M156" s="135">
        <v>0.12250457924958995</v>
      </c>
      <c r="N156" s="129">
        <v>287711</v>
      </c>
      <c r="O156" s="135">
        <v>8.8870184065755868</v>
      </c>
      <c r="P156" s="129">
        <v>19938</v>
      </c>
      <c r="Q156" s="135">
        <v>0.61585887571314279</v>
      </c>
      <c r="R156" s="129">
        <v>21567</v>
      </c>
      <c r="S156" s="135">
        <v>0.6661765659798049</v>
      </c>
      <c r="T156" s="129">
        <v>3237430</v>
      </c>
      <c r="U156" s="135">
        <v>100</v>
      </c>
    </row>
    <row r="157" spans="1:21" hidden="1" x14ac:dyDescent="0.2">
      <c r="D157" s="129">
        <v>1963163</v>
      </c>
      <c r="E157" s="135">
        <v>66.457831047956034</v>
      </c>
      <c r="F157" s="129">
        <v>338306</v>
      </c>
      <c r="G157" s="135">
        <v>11.452478979335803</v>
      </c>
      <c r="H157" s="129">
        <v>123706</v>
      </c>
      <c r="I157" s="135">
        <v>4.1877482652324067</v>
      </c>
      <c r="J157" s="129">
        <v>6275</v>
      </c>
      <c r="K157" s="135">
        <v>0.21242397591332154</v>
      </c>
      <c r="L157" s="129">
        <v>822</v>
      </c>
      <c r="M157" s="135">
        <v>2.7826694533984113E-2</v>
      </c>
      <c r="N157" s="129">
        <v>375155</v>
      </c>
      <c r="O157" s="135">
        <v>12.699907041236994</v>
      </c>
      <c r="P157" s="129">
        <v>17305</v>
      </c>
      <c r="Q157" s="135">
        <v>0.58581623955060225</v>
      </c>
      <c r="R157" s="129">
        <v>129266</v>
      </c>
      <c r="S157" s="135">
        <v>4.3759677562408639</v>
      </c>
      <c r="T157" s="129">
        <v>2953998</v>
      </c>
      <c r="U157" s="135">
        <v>100</v>
      </c>
    </row>
    <row r="158" spans="1:21" x14ac:dyDescent="0.2">
      <c r="A158">
        <v>2011</v>
      </c>
      <c r="B158">
        <v>45</v>
      </c>
      <c r="C158" s="122" t="s">
        <v>171</v>
      </c>
      <c r="D158" s="129">
        <v>1963163</v>
      </c>
      <c r="E158" s="135">
        <v>66.457831047956034</v>
      </c>
      <c r="F158" s="129">
        <v>338306</v>
      </c>
      <c r="G158" s="135">
        <v>11.452478979335803</v>
      </c>
      <c r="H158" s="129">
        <v>123706</v>
      </c>
      <c r="I158" s="135">
        <v>4.1877482652324067</v>
      </c>
      <c r="J158" s="129">
        <v>6275</v>
      </c>
      <c r="K158" s="135">
        <v>0.21242397591332154</v>
      </c>
      <c r="L158" s="129">
        <v>822</v>
      </c>
      <c r="M158" s="135">
        <v>2.7826694533984113E-2</v>
      </c>
      <c r="N158" s="129">
        <v>375155</v>
      </c>
      <c r="O158" s="135">
        <v>12.699907041236994</v>
      </c>
      <c r="P158" s="129">
        <v>17305</v>
      </c>
      <c r="Q158" s="135">
        <v>0.58581623955060225</v>
      </c>
      <c r="R158" s="129">
        <v>129266</v>
      </c>
      <c r="S158" s="135">
        <v>4.3759677562408639</v>
      </c>
      <c r="T158" s="129">
        <v>2953998</v>
      </c>
      <c r="U158" s="135">
        <v>100</v>
      </c>
    </row>
    <row r="159" spans="1:21" hidden="1" x14ac:dyDescent="0.2">
      <c r="D159" s="129">
        <v>3589672</v>
      </c>
      <c r="E159" s="135">
        <v>59.367354100905942</v>
      </c>
      <c r="F159" s="129">
        <v>1029626</v>
      </c>
      <c r="G159" s="135">
        <v>17.028344465315879</v>
      </c>
      <c r="H159" s="129">
        <v>309326</v>
      </c>
      <c r="I159" s="135">
        <v>5.1157504570380885</v>
      </c>
      <c r="J159" s="129">
        <v>18880</v>
      </c>
      <c r="K159" s="135">
        <v>0.31224458541758249</v>
      </c>
      <c r="L159" s="129">
        <v>4532</v>
      </c>
      <c r="M159" s="135">
        <v>7.495193120299172E-2</v>
      </c>
      <c r="N159" s="129">
        <v>665937</v>
      </c>
      <c r="O159" s="135">
        <v>11.013518139789651</v>
      </c>
      <c r="P159" s="129">
        <v>48378</v>
      </c>
      <c r="Q159" s="135">
        <v>0.8000936733756252</v>
      </c>
      <c r="R159" s="129">
        <v>380191</v>
      </c>
      <c r="S159" s="135">
        <v>6.2877426469542437</v>
      </c>
      <c r="T159" s="129">
        <v>6046542</v>
      </c>
      <c r="U159" s="135">
        <v>100</v>
      </c>
    </row>
    <row r="160" spans="1:21" x14ac:dyDescent="0.2">
      <c r="A160">
        <v>2011</v>
      </c>
      <c r="B160">
        <v>46</v>
      </c>
      <c r="C160" t="s">
        <v>15</v>
      </c>
      <c r="D160" s="129">
        <v>3589672</v>
      </c>
      <c r="E160" s="135">
        <v>59.367354100905942</v>
      </c>
      <c r="F160" s="129">
        <v>1029626</v>
      </c>
      <c r="G160" s="135">
        <v>17.028344465315879</v>
      </c>
      <c r="H160" s="129">
        <v>309326</v>
      </c>
      <c r="I160" s="135">
        <v>5.1157504570380885</v>
      </c>
      <c r="J160" s="129">
        <v>18880</v>
      </c>
      <c r="K160" s="135">
        <v>0.31224458541758249</v>
      </c>
      <c r="L160" s="129">
        <v>4532</v>
      </c>
      <c r="M160" s="135">
        <v>7.495193120299172E-2</v>
      </c>
      <c r="N160" s="129">
        <v>665937</v>
      </c>
      <c r="O160" s="135">
        <v>11.013518139789651</v>
      </c>
      <c r="P160" s="129">
        <v>48378</v>
      </c>
      <c r="Q160" s="135">
        <v>0.8000936733756252</v>
      </c>
      <c r="R160" s="129">
        <v>380191</v>
      </c>
      <c r="S160" s="135">
        <v>6.2877426469542437</v>
      </c>
      <c r="T160" s="129">
        <v>6046542</v>
      </c>
      <c r="U160" s="135">
        <v>100</v>
      </c>
    </row>
    <row r="161" spans="1:21" hidden="1" x14ac:dyDescent="0.2">
      <c r="D161" s="129">
        <v>445500</v>
      </c>
      <c r="E161" s="135">
        <v>72.316145736106947</v>
      </c>
      <c r="F161" s="129">
        <v>41017</v>
      </c>
      <c r="G161" s="135">
        <v>6.658117507649604</v>
      </c>
      <c r="H161" s="129">
        <v>3959</v>
      </c>
      <c r="I161" s="135">
        <v>0.64264785851682915</v>
      </c>
      <c r="J161" s="129">
        <v>622</v>
      </c>
      <c r="K161" s="135">
        <v>0.10096665016354324</v>
      </c>
      <c r="L161" s="129">
        <v>5673</v>
      </c>
      <c r="M161" s="135">
        <v>0.92087428678099803</v>
      </c>
      <c r="N161" s="129">
        <v>48365</v>
      </c>
      <c r="O161" s="135">
        <v>7.8508875163340344</v>
      </c>
      <c r="P161" s="129">
        <v>3464</v>
      </c>
      <c r="Q161" s="135">
        <v>0.56229658547671035</v>
      </c>
      <c r="R161" s="129">
        <v>67445</v>
      </c>
      <c r="S161" s="135">
        <v>10.948063858971341</v>
      </c>
      <c r="T161" s="129">
        <v>616045</v>
      </c>
      <c r="U161" s="135">
        <v>100</v>
      </c>
    </row>
    <row r="162" spans="1:21" hidden="1" x14ac:dyDescent="0.2">
      <c r="D162" s="129">
        <v>135773</v>
      </c>
      <c r="E162" s="135">
        <v>90.397816172309334</v>
      </c>
      <c r="F162" s="129">
        <v>0</v>
      </c>
      <c r="G162" s="135">
        <v>0</v>
      </c>
      <c r="H162" s="129">
        <v>622</v>
      </c>
      <c r="I162" s="135">
        <v>0.41412829987682681</v>
      </c>
      <c r="J162" s="129">
        <v>88</v>
      </c>
      <c r="K162" s="135">
        <v>5.8590499017943339E-2</v>
      </c>
      <c r="L162" s="129">
        <v>0</v>
      </c>
      <c r="M162" s="135">
        <v>0</v>
      </c>
      <c r="N162" s="129">
        <v>5838</v>
      </c>
      <c r="O162" s="135">
        <v>3.8869469689403773</v>
      </c>
      <c r="P162" s="129">
        <v>363</v>
      </c>
      <c r="Q162" s="135">
        <v>0.24168580844901627</v>
      </c>
      <c r="R162" s="129">
        <v>7511</v>
      </c>
      <c r="S162" s="135">
        <v>5.0008322514065044</v>
      </c>
      <c r="T162" s="129">
        <v>150195</v>
      </c>
      <c r="U162" s="135">
        <v>100</v>
      </c>
    </row>
    <row r="163" spans="1:21" hidden="1" x14ac:dyDescent="0.2">
      <c r="D163" s="129">
        <v>339056</v>
      </c>
      <c r="E163" s="135">
        <v>89.67718899189336</v>
      </c>
      <c r="F163" s="129">
        <v>947</v>
      </c>
      <c r="G163" s="135">
        <v>0.25047277728553102</v>
      </c>
      <c r="H163" s="129">
        <v>0</v>
      </c>
      <c r="I163" s="135">
        <v>0</v>
      </c>
      <c r="J163" s="129">
        <v>434</v>
      </c>
      <c r="K163" s="135">
        <v>0.11478900247298889</v>
      </c>
      <c r="L163" s="129">
        <v>0</v>
      </c>
      <c r="M163" s="135">
        <v>0</v>
      </c>
      <c r="N163" s="129">
        <v>11334</v>
      </c>
      <c r="O163" s="135">
        <v>2.9977386037531244</v>
      </c>
      <c r="P163" s="129">
        <v>1191</v>
      </c>
      <c r="Q163" s="135">
        <v>0.31500852982794875</v>
      </c>
      <c r="R163" s="129">
        <v>25123</v>
      </c>
      <c r="S163" s="135">
        <v>6.6448020947670496</v>
      </c>
      <c r="T163" s="129">
        <v>378085</v>
      </c>
      <c r="U163" s="135">
        <v>100</v>
      </c>
    </row>
    <row r="164" spans="1:21" hidden="1" x14ac:dyDescent="0.2">
      <c r="D164" s="129">
        <v>78764</v>
      </c>
      <c r="E164" s="135">
        <v>68.932803556738023</v>
      </c>
      <c r="F164" s="129">
        <v>5105</v>
      </c>
      <c r="G164" s="135">
        <v>4.467802068929303</v>
      </c>
      <c r="H164" s="129">
        <v>0</v>
      </c>
      <c r="I164" s="135">
        <v>0</v>
      </c>
      <c r="J164" s="129">
        <v>362</v>
      </c>
      <c r="K164" s="135">
        <v>0.31681573926589768</v>
      </c>
      <c r="L164" s="129">
        <v>0</v>
      </c>
      <c r="M164" s="135">
        <v>0</v>
      </c>
      <c r="N164" s="129">
        <v>15064</v>
      </c>
      <c r="O164" s="135">
        <v>13.183735625142218</v>
      </c>
      <c r="P164" s="129">
        <v>422</v>
      </c>
      <c r="Q164" s="135">
        <v>0.36932663527681991</v>
      </c>
      <c r="R164" s="129">
        <v>14545</v>
      </c>
      <c r="S164" s="135">
        <v>12.729516374647739</v>
      </c>
      <c r="T164" s="129">
        <v>114262</v>
      </c>
      <c r="U164" s="135">
        <v>100</v>
      </c>
    </row>
    <row r="165" spans="1:21" hidden="1" x14ac:dyDescent="0.2">
      <c r="D165" s="129">
        <v>1374813</v>
      </c>
      <c r="E165" s="135">
        <v>68.028291743013042</v>
      </c>
      <c r="F165" s="129">
        <v>72824</v>
      </c>
      <c r="G165" s="135">
        <v>3.6034663026121967</v>
      </c>
      <c r="H165" s="129">
        <v>22261</v>
      </c>
      <c r="I165" s="135">
        <v>1.1015154806444318</v>
      </c>
      <c r="J165" s="129">
        <v>85535</v>
      </c>
      <c r="K165" s="135">
        <v>4.2324301081227924</v>
      </c>
      <c r="L165" s="129">
        <v>49960</v>
      </c>
      <c r="M165" s="135">
        <v>2.4721132659357536</v>
      </c>
      <c r="N165" s="129">
        <v>136332</v>
      </c>
      <c r="O165" s="135">
        <v>6.7459596831776061</v>
      </c>
      <c r="P165" s="129">
        <v>10353</v>
      </c>
      <c r="Q165" s="135">
        <v>0.51228560132571777</v>
      </c>
      <c r="R165" s="129">
        <v>268865</v>
      </c>
      <c r="S165" s="135">
        <v>13.303937815168462</v>
      </c>
      <c r="T165" s="129">
        <v>2020943</v>
      </c>
      <c r="U165" s="135">
        <v>100</v>
      </c>
    </row>
    <row r="166" spans="1:21" hidden="1" x14ac:dyDescent="0.2">
      <c r="D166" s="129">
        <v>443781</v>
      </c>
      <c r="E166" s="135">
        <v>84.178569396232859</v>
      </c>
      <c r="F166" s="129">
        <v>6299</v>
      </c>
      <c r="G166" s="135">
        <v>1.1948253950188736</v>
      </c>
      <c r="H166" s="129">
        <v>6164</v>
      </c>
      <c r="I166" s="135">
        <v>1.1692179290198981</v>
      </c>
      <c r="J166" s="129">
        <v>516</v>
      </c>
      <c r="K166" s="135">
        <v>9.7877425596084908E-2</v>
      </c>
      <c r="L166" s="129">
        <v>1888</v>
      </c>
      <c r="M166" s="135">
        <v>0.35812515411900836</v>
      </c>
      <c r="N166" s="129">
        <v>6377</v>
      </c>
      <c r="O166" s="135">
        <v>1.2096208198182818</v>
      </c>
      <c r="P166" s="129">
        <v>5960</v>
      </c>
      <c r="Q166" s="135">
        <v>1.1305222026214459</v>
      </c>
      <c r="R166" s="129">
        <v>56205</v>
      </c>
      <c r="S166" s="135">
        <v>10.66124167757355</v>
      </c>
      <c r="T166" s="129">
        <v>527190</v>
      </c>
      <c r="U166" s="135">
        <v>100</v>
      </c>
    </row>
    <row r="167" spans="1:21" hidden="1" x14ac:dyDescent="0.2">
      <c r="D167" s="129">
        <v>218850</v>
      </c>
      <c r="E167" s="135">
        <v>87.81856047382297</v>
      </c>
      <c r="F167" s="129">
        <v>502</v>
      </c>
      <c r="G167" s="135">
        <v>0.20143896439506112</v>
      </c>
      <c r="H167" s="129">
        <v>2792</v>
      </c>
      <c r="I167" s="135">
        <v>1.1203537621334874</v>
      </c>
      <c r="J167" s="129">
        <v>237</v>
      </c>
      <c r="K167" s="135">
        <v>9.5101662473365517E-2</v>
      </c>
      <c r="L167" s="129">
        <v>23</v>
      </c>
      <c r="M167" s="135">
        <v>9.2292752611282999E-3</v>
      </c>
      <c r="N167" s="129">
        <v>7568</v>
      </c>
      <c r="O167" s="135">
        <v>3.0368328337486505</v>
      </c>
      <c r="P167" s="129">
        <v>2654</v>
      </c>
      <c r="Q167" s="135">
        <v>1.0649781105667178</v>
      </c>
      <c r="R167" s="129">
        <v>16581</v>
      </c>
      <c r="S167" s="135">
        <v>6.6535049175986227</v>
      </c>
      <c r="T167" s="129">
        <v>249207</v>
      </c>
      <c r="U167" s="135">
        <v>100</v>
      </c>
    </row>
    <row r="168" spans="1:21" hidden="1" x14ac:dyDescent="0.2">
      <c r="D168" s="129">
        <v>750836</v>
      </c>
      <c r="E168" s="135">
        <v>93.405918078428357</v>
      </c>
      <c r="F168" s="129">
        <v>2026</v>
      </c>
      <c r="G168" s="135">
        <v>0.25203957991744647</v>
      </c>
      <c r="H168" s="129">
        <v>3219</v>
      </c>
      <c r="I168" s="135">
        <v>0.40045183008601193</v>
      </c>
      <c r="J168" s="129">
        <v>864</v>
      </c>
      <c r="K168" s="135">
        <v>0.10748380900724272</v>
      </c>
      <c r="L168" s="129">
        <v>0</v>
      </c>
      <c r="M168" s="135">
        <v>0</v>
      </c>
      <c r="N168" s="129">
        <v>14573</v>
      </c>
      <c r="O168" s="135">
        <v>1.8129184591001717</v>
      </c>
      <c r="P168" s="129">
        <v>6873</v>
      </c>
      <c r="Q168" s="135">
        <v>0.85501877234580925</v>
      </c>
      <c r="R168" s="129">
        <v>25451</v>
      </c>
      <c r="S168" s="135">
        <v>3.1661694711149706</v>
      </c>
      <c r="T168" s="129">
        <v>803842</v>
      </c>
      <c r="U168" s="135">
        <v>100</v>
      </c>
    </row>
    <row r="169" spans="1:21" hidden="1" x14ac:dyDescent="0.2">
      <c r="D169" s="129">
        <v>176656</v>
      </c>
      <c r="E169" s="135">
        <v>90.126933594547168</v>
      </c>
      <c r="F169" s="129">
        <v>289</v>
      </c>
      <c r="G169" s="135">
        <v>0.14744296151177502</v>
      </c>
      <c r="H169" s="129">
        <v>0</v>
      </c>
      <c r="I169" s="135">
        <v>0</v>
      </c>
      <c r="J169" s="129">
        <v>116</v>
      </c>
      <c r="K169" s="135">
        <v>5.9181257907840498E-2</v>
      </c>
      <c r="L169" s="129">
        <v>0</v>
      </c>
      <c r="M169" s="135">
        <v>0</v>
      </c>
      <c r="N169" s="129">
        <v>119</v>
      </c>
      <c r="O169" s="135">
        <v>6.0711807681319126E-2</v>
      </c>
      <c r="P169" s="129">
        <v>2184</v>
      </c>
      <c r="Q169" s="135">
        <v>1.1142402350924452</v>
      </c>
      <c r="R169" s="129">
        <v>16644</v>
      </c>
      <c r="S169" s="135">
        <v>8.4914901432594583</v>
      </c>
      <c r="T169" s="129">
        <v>196008</v>
      </c>
      <c r="U169" s="135">
        <v>100</v>
      </c>
    </row>
    <row r="170" spans="1:21" hidden="1" x14ac:dyDescent="0.2">
      <c r="D170" s="129">
        <v>221017</v>
      </c>
      <c r="E170" s="135">
        <v>83.576733422071641</v>
      </c>
      <c r="F170" s="129">
        <v>109</v>
      </c>
      <c r="G170" s="135">
        <v>4.1217933204259434E-2</v>
      </c>
      <c r="H170" s="129">
        <v>2016</v>
      </c>
      <c r="I170" s="135">
        <v>0.76234269119070674</v>
      </c>
      <c r="J170" s="129">
        <v>1070</v>
      </c>
      <c r="K170" s="135">
        <v>0.40461640851887704</v>
      </c>
      <c r="L170" s="129">
        <v>0</v>
      </c>
      <c r="M170" s="135">
        <v>0</v>
      </c>
      <c r="N170" s="129">
        <v>18359</v>
      </c>
      <c r="O170" s="135">
        <v>6.9423856485963222</v>
      </c>
      <c r="P170" s="129">
        <v>7901</v>
      </c>
      <c r="Q170" s="135">
        <v>2.9877329380445303</v>
      </c>
      <c r="R170" s="129">
        <v>13976</v>
      </c>
      <c r="S170" s="135">
        <v>5.2849709583736697</v>
      </c>
      <c r="T170" s="129">
        <v>264448</v>
      </c>
      <c r="U170" s="135">
        <v>100</v>
      </c>
    </row>
    <row r="171" spans="1:21" hidden="1" x14ac:dyDescent="0.2">
      <c r="D171" s="129">
        <v>145256</v>
      </c>
      <c r="E171" s="135">
        <v>92.354448407627103</v>
      </c>
      <c r="F171" s="129">
        <v>0</v>
      </c>
      <c r="G171" s="135">
        <v>0</v>
      </c>
      <c r="H171" s="129">
        <v>0</v>
      </c>
      <c r="I171" s="135">
        <v>0</v>
      </c>
      <c r="J171" s="129">
        <v>281</v>
      </c>
      <c r="K171" s="135">
        <v>0.17866112244962837</v>
      </c>
      <c r="L171" s="129">
        <v>0</v>
      </c>
      <c r="M171" s="135">
        <v>0</v>
      </c>
      <c r="N171" s="129">
        <v>1048</v>
      </c>
      <c r="O171" s="135">
        <v>0.66632333212530448</v>
      </c>
      <c r="P171" s="129">
        <v>91</v>
      </c>
      <c r="Q171" s="135">
        <v>5.7858228266605624E-2</v>
      </c>
      <c r="R171" s="129">
        <v>10605</v>
      </c>
      <c r="S171" s="135">
        <v>6.7427089095313493</v>
      </c>
      <c r="T171" s="129">
        <v>157281</v>
      </c>
      <c r="U171" s="135">
        <v>100</v>
      </c>
    </row>
    <row r="172" spans="1:21" hidden="1" x14ac:dyDescent="0.2">
      <c r="D172" s="129">
        <v>198341</v>
      </c>
      <c r="E172" s="135">
        <v>89.635116325313177</v>
      </c>
      <c r="F172" s="129">
        <v>635</v>
      </c>
      <c r="G172" s="135">
        <v>0.28697192646287895</v>
      </c>
      <c r="H172" s="129">
        <v>435</v>
      </c>
      <c r="I172" s="135">
        <v>0.19658706773441315</v>
      </c>
      <c r="J172" s="129">
        <v>3680</v>
      </c>
      <c r="K172" s="135">
        <v>1.6630814006037709</v>
      </c>
      <c r="L172" s="129">
        <v>0</v>
      </c>
      <c r="M172" s="135">
        <v>0</v>
      </c>
      <c r="N172" s="129">
        <v>2890</v>
      </c>
      <c r="O172" s="135">
        <v>1.306061208626331</v>
      </c>
      <c r="P172" s="129">
        <v>4922</v>
      </c>
      <c r="Q172" s="135">
        <v>2.2243713733075436</v>
      </c>
      <c r="R172" s="129">
        <v>10373</v>
      </c>
      <c r="S172" s="135">
        <v>4.6878106979518792</v>
      </c>
      <c r="T172" s="129">
        <v>221276</v>
      </c>
      <c r="U172" s="135">
        <v>100</v>
      </c>
    </row>
    <row r="173" spans="1:21" hidden="1" x14ac:dyDescent="0.2">
      <c r="D173" s="129">
        <v>337629</v>
      </c>
      <c r="E173" s="135">
        <v>86.188331878264336</v>
      </c>
      <c r="F173" s="129">
        <v>6174</v>
      </c>
      <c r="G173" s="135">
        <v>1.5760694757156641</v>
      </c>
      <c r="H173" s="129">
        <v>2684</v>
      </c>
      <c r="I173" s="135">
        <v>0.68515880674130913</v>
      </c>
      <c r="J173" s="129">
        <v>1072</v>
      </c>
      <c r="K173" s="135">
        <v>0.27365508227521734</v>
      </c>
      <c r="L173" s="129">
        <v>0</v>
      </c>
      <c r="M173" s="135">
        <v>0</v>
      </c>
      <c r="N173" s="129">
        <v>11927</v>
      </c>
      <c r="O173" s="135">
        <v>3.0446680655751095</v>
      </c>
      <c r="P173" s="129">
        <v>808</v>
      </c>
      <c r="Q173" s="135">
        <v>0.20626241275967877</v>
      </c>
      <c r="R173" s="129">
        <v>31440</v>
      </c>
      <c r="S173" s="135">
        <v>8.0258542786686888</v>
      </c>
      <c r="T173" s="129">
        <v>391734</v>
      </c>
      <c r="U173" s="135">
        <v>100</v>
      </c>
    </row>
    <row r="174" spans="1:21" x14ac:dyDescent="0.2">
      <c r="A174">
        <v>2011</v>
      </c>
      <c r="B174">
        <v>47</v>
      </c>
      <c r="C174" t="s">
        <v>4</v>
      </c>
      <c r="D174" s="129">
        <v>4866272</v>
      </c>
      <c r="E174" s="135">
        <v>79.8991743885083</v>
      </c>
      <c r="F174" s="129">
        <v>135927</v>
      </c>
      <c r="G174" s="135">
        <v>2.2317813466051151</v>
      </c>
      <c r="H174" s="129">
        <v>44152</v>
      </c>
      <c r="I174" s="135">
        <v>0.72493036714787384</v>
      </c>
      <c r="J174" s="129">
        <v>94877</v>
      </c>
      <c r="K174" s="135">
        <v>1.5577826246577466</v>
      </c>
      <c r="L174" s="129">
        <v>57544</v>
      </c>
      <c r="M174" s="135">
        <v>0.94481321451253053</v>
      </c>
      <c r="N174" s="129">
        <v>279794</v>
      </c>
      <c r="O174" s="135">
        <v>4.5939293156770296</v>
      </c>
      <c r="P174" s="129">
        <v>47186</v>
      </c>
      <c r="Q174" s="135">
        <v>0.77474552238266836</v>
      </c>
      <c r="R174" s="129">
        <v>564764</v>
      </c>
      <c r="S174" s="135">
        <v>9.2728432205087383</v>
      </c>
      <c r="T174" s="129">
        <v>6090516</v>
      </c>
      <c r="U174" s="135">
        <v>100</v>
      </c>
    </row>
    <row r="175" spans="1:21" hidden="1" x14ac:dyDescent="0.2">
      <c r="D175" s="129">
        <v>1874471</v>
      </c>
      <c r="E175" s="135">
        <v>80.632396615150597</v>
      </c>
      <c r="F175" s="129">
        <v>162344</v>
      </c>
      <c r="G175" s="135">
        <v>6.9834026752561176</v>
      </c>
      <c r="H175" s="129">
        <v>159482</v>
      </c>
      <c r="I175" s="135">
        <v>6.8602906510569914</v>
      </c>
      <c r="J175" s="129">
        <v>0</v>
      </c>
      <c r="K175" s="135">
        <v>0</v>
      </c>
      <c r="L175" s="129">
        <v>2629</v>
      </c>
      <c r="M175" s="135">
        <v>0.11308927729542413</v>
      </c>
      <c r="N175" s="129">
        <v>110750</v>
      </c>
      <c r="O175" s="135">
        <v>4.7640309853435605</v>
      </c>
      <c r="P175" s="129">
        <v>14946</v>
      </c>
      <c r="Q175" s="135">
        <v>0.64291834859543895</v>
      </c>
      <c r="R175" s="129">
        <v>90</v>
      </c>
      <c r="S175" s="135">
        <v>3.8714473018593271E-3</v>
      </c>
      <c r="T175" s="129">
        <v>2324712</v>
      </c>
      <c r="U175" s="135">
        <v>100</v>
      </c>
    </row>
    <row r="176" spans="1:21" x14ac:dyDescent="0.2">
      <c r="A176">
        <v>2011</v>
      </c>
      <c r="B176">
        <v>48</v>
      </c>
      <c r="C176" t="s">
        <v>207</v>
      </c>
      <c r="D176" s="129">
        <v>1874471</v>
      </c>
      <c r="E176" s="135">
        <v>80.632396615150597</v>
      </c>
      <c r="F176" s="129">
        <v>162344</v>
      </c>
      <c r="G176" s="135">
        <v>6.9834026752561176</v>
      </c>
      <c r="H176" s="129">
        <v>159482</v>
      </c>
      <c r="I176" s="135">
        <v>6.8602906510569914</v>
      </c>
      <c r="J176" s="129">
        <v>0</v>
      </c>
      <c r="K176" s="135">
        <v>0</v>
      </c>
      <c r="L176" s="129">
        <v>2629</v>
      </c>
      <c r="M176" s="135">
        <v>0.11308927729542413</v>
      </c>
      <c r="N176" s="129">
        <v>110750</v>
      </c>
      <c r="O176" s="135">
        <v>4.7640309853435605</v>
      </c>
      <c r="P176" s="129">
        <v>14946</v>
      </c>
      <c r="Q176" s="135">
        <v>0.64291834859543895</v>
      </c>
      <c r="R176" s="129">
        <v>90</v>
      </c>
      <c r="S176" s="135">
        <v>3.8714473018593271E-3</v>
      </c>
      <c r="T176" s="129">
        <v>2324712</v>
      </c>
      <c r="U176" s="135">
        <v>100</v>
      </c>
    </row>
    <row r="177" spans="1:21" hidden="1" x14ac:dyDescent="0.2">
      <c r="D177" s="129">
        <v>2895175</v>
      </c>
      <c r="E177" s="135">
        <v>72.72467174142831</v>
      </c>
      <c r="F177" s="129">
        <v>229870</v>
      </c>
      <c r="G177" s="135">
        <v>5.7741657389284322</v>
      </c>
      <c r="H177" s="129">
        <v>112512</v>
      </c>
      <c r="I177" s="135">
        <v>2.8262188872767902</v>
      </c>
      <c r="J177" s="129">
        <v>0</v>
      </c>
      <c r="K177" s="135">
        <v>0</v>
      </c>
      <c r="L177" s="129">
        <v>4575</v>
      </c>
      <c r="M177" s="135">
        <v>0.11492064321397998</v>
      </c>
      <c r="N177" s="129">
        <v>339149</v>
      </c>
      <c r="O177" s="135">
        <v>8.5191740383340093</v>
      </c>
      <c r="P177" s="129">
        <v>20710</v>
      </c>
      <c r="Q177" s="135">
        <v>0.5202200045817541</v>
      </c>
      <c r="R177" s="129">
        <v>379017</v>
      </c>
      <c r="S177" s="135">
        <v>9.5206289462367319</v>
      </c>
      <c r="T177" s="129">
        <v>3981008</v>
      </c>
      <c r="U177" s="135">
        <v>100</v>
      </c>
    </row>
    <row r="178" spans="1:21" x14ac:dyDescent="0.2">
      <c r="A178">
        <v>2011</v>
      </c>
      <c r="B178">
        <v>49</v>
      </c>
      <c r="C178" t="s">
        <v>16</v>
      </c>
      <c r="D178" s="129">
        <v>2895175</v>
      </c>
      <c r="E178" s="135">
        <v>72.72467174142831</v>
      </c>
      <c r="F178" s="129">
        <v>229870</v>
      </c>
      <c r="G178" s="135">
        <v>5.7741657389284322</v>
      </c>
      <c r="H178" s="129">
        <v>112512</v>
      </c>
      <c r="I178" s="135">
        <v>2.8262188872767902</v>
      </c>
      <c r="J178" s="129">
        <v>0</v>
      </c>
      <c r="K178" s="135">
        <v>0</v>
      </c>
      <c r="L178" s="129">
        <v>4575</v>
      </c>
      <c r="M178" s="135">
        <v>0.11492064321397998</v>
      </c>
      <c r="N178" s="129">
        <v>339149</v>
      </c>
      <c r="O178" s="135">
        <v>8.5191740383340093</v>
      </c>
      <c r="P178" s="129">
        <v>20710</v>
      </c>
      <c r="Q178" s="135">
        <v>0.5202200045817541</v>
      </c>
      <c r="R178" s="129">
        <v>379017</v>
      </c>
      <c r="S178" s="135">
        <v>9.5206289462367319</v>
      </c>
      <c r="T178" s="129">
        <v>3981008</v>
      </c>
      <c r="U178" s="135">
        <v>100</v>
      </c>
    </row>
    <row r="179" spans="1:21" hidden="1" x14ac:dyDescent="0.2">
      <c r="D179" s="129">
        <v>2920110</v>
      </c>
      <c r="E179" s="135">
        <v>80.766444687164892</v>
      </c>
      <c r="F179" s="129">
        <v>160811</v>
      </c>
      <c r="G179" s="135">
        <v>4.4478231082348527</v>
      </c>
      <c r="H179" s="129">
        <v>86999</v>
      </c>
      <c r="I179" s="135">
        <v>2.406279188571204</v>
      </c>
      <c r="J179" s="129">
        <v>24465</v>
      </c>
      <c r="K179" s="135">
        <v>0.67667008067212853</v>
      </c>
      <c r="L179" s="129">
        <v>10974</v>
      </c>
      <c r="M179" s="135">
        <v>0.30352656714882231</v>
      </c>
      <c r="N179" s="129">
        <v>253684</v>
      </c>
      <c r="O179" s="135">
        <v>7.0165694970459134</v>
      </c>
      <c r="P179" s="129">
        <v>33443</v>
      </c>
      <c r="Q179" s="135">
        <v>0.92498988383069669</v>
      </c>
      <c r="R179" s="129">
        <v>125013</v>
      </c>
      <c r="S179" s="135">
        <v>3.4576969873314858</v>
      </c>
      <c r="T179" s="129">
        <v>3615499</v>
      </c>
      <c r="U179" s="135">
        <v>100</v>
      </c>
    </row>
    <row r="180" spans="1:21" x14ac:dyDescent="0.2">
      <c r="A180">
        <v>2011</v>
      </c>
      <c r="B180">
        <v>50</v>
      </c>
      <c r="C180" t="s">
        <v>208</v>
      </c>
      <c r="D180" s="129">
        <v>2920110</v>
      </c>
      <c r="E180" s="135">
        <v>80.766444687164892</v>
      </c>
      <c r="F180" s="129">
        <v>160811</v>
      </c>
      <c r="G180" s="135">
        <v>4.4478231082348527</v>
      </c>
      <c r="H180" s="129">
        <v>86999</v>
      </c>
      <c r="I180" s="135">
        <v>2.406279188571204</v>
      </c>
      <c r="J180" s="129">
        <v>24465</v>
      </c>
      <c r="K180" s="135">
        <v>0.67667008067212853</v>
      </c>
      <c r="L180" s="129">
        <v>10974</v>
      </c>
      <c r="M180" s="135">
        <v>0.30352656714882231</v>
      </c>
      <c r="N180" s="129">
        <v>253684</v>
      </c>
      <c r="O180" s="135">
        <v>7.0165694970459134</v>
      </c>
      <c r="P180" s="129">
        <v>33443</v>
      </c>
      <c r="Q180" s="135">
        <v>0.92498988383069669</v>
      </c>
      <c r="R180" s="129">
        <v>125013</v>
      </c>
      <c r="S180" s="135">
        <v>3.4576969873314858</v>
      </c>
      <c r="T180" s="129">
        <v>3615499</v>
      </c>
      <c r="U180" s="135">
        <v>100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קבצים להורדה" ma:contentTypeID="0x0101009B062CC07971A94494097F37B7CF51C70097AC8CEB9E63A54D9070F69E621E066B" ma:contentTypeVersion="13" ma:contentTypeDescription="" ma:contentTypeScope="" ma:versionID="267df433e2d5418521df6946d727ccee">
  <xsd:schema xmlns:xsd="http://www.w3.org/2001/XMLSchema" xmlns:p="http://schemas.microsoft.com/office/2006/metadata/properties" xmlns:ns2="7c9e7d92-4d2e-4d6f-8ea5-12e4091e13b4" targetNamespace="http://schemas.microsoft.com/office/2006/metadata/properties" ma:root="true" ma:fieldsID="c0df9e39004d50b02c722bef9f672668" ns2:_="">
    <xsd:import namespace="7c9e7d92-4d2e-4d6f-8ea5-12e4091e13b4"/>
    <xsd:element name="properties">
      <xsd:complexType>
        <xsd:sequence>
          <xsd:element name="documentManagement">
            <xsd:complexType>
              <xsd:all>
                <xsd:element ref="ns2:Description"/>
                <xsd:element ref="ns2:FileGroup" minOccurs="0"/>
                <xsd:element ref="ns2:ToPublish" minOccurs="0"/>
                <xsd:element ref="ns2:PublishStartDate" minOccurs="0"/>
                <xsd:element ref="ns2:PublishEndDate" minOccurs="0"/>
                <xsd:element ref="ns2:OrderIndex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7c9e7d92-4d2e-4d6f-8ea5-12e4091e13b4" elementFormDefault="qualified">
    <xsd:import namespace="http://schemas.microsoft.com/office/2006/documentManagement/types"/>
    <xsd:element name="Description" ma:index="2" ma:displayName="תאור" ma:internalName="Description">
      <xsd:simpleType>
        <xsd:restriction base="dms:Note"/>
      </xsd:simpleType>
    </xsd:element>
    <xsd:element name="FileGroup" ma:index="3" nillable="true" ma:displayName="נושא המסמך" ma:list="1d967b34-d578-438a-8871-0342ca02cdc7" ma:internalName="FileGroup" ma:readOnly="false" ma:showField="Title" ma:web="7c9e7d92-4d2e-4d6f-8ea5-12e4091e13b4">
      <xsd:simpleType>
        <xsd:restriction base="dms:Lookup"/>
      </xsd:simpleType>
    </xsd:element>
    <xsd:element name="ToPublish" ma:index="4" nillable="true" ma:displayName="לפרסום" ma:default="1" ma:internalName="ToPublish">
      <xsd:simpleType>
        <xsd:restriction base="dms:Boolean"/>
      </xsd:simpleType>
    </xsd:element>
    <xsd:element name="PublishStartDate" ma:index="5" nillable="true" ma:displayName="תאריך תחילת פרסום" ma:format="DateTime" ma:internalName="PublishStartDate" ma:readOnly="false">
      <xsd:simpleType>
        <xsd:restriction base="dms:DateTime"/>
      </xsd:simpleType>
    </xsd:element>
    <xsd:element name="PublishEndDate" ma:index="6" nillable="true" ma:displayName="תאריך סיום פרסום" ma:format="DateTime" ma:internalName="PublishEndDate" ma:readOnly="false">
      <xsd:simpleType>
        <xsd:restriction base="dms:DateTime"/>
      </xsd:simpleType>
    </xsd:element>
    <xsd:element name="OrderIndex" ma:index="7" ma:displayName="סדר הצגה" ma:internalName="OrderIndex" ma:percentage="FALSE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סוג תוכן"/>
        <xsd:element ref="dc:title" maxOccurs="1" ma:index="1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StartDate xmlns="7c9e7d92-4d2e-4d6f-8ea5-12e4091e13b4" xsi:nil="true"/>
    <OrderIndex xmlns="7c9e7d92-4d2e-4d6f-8ea5-12e4091e13b4">2</OrderIndex>
    <Description xmlns="7c9e7d92-4d2e-4d6f-8ea5-12e4091e13b4"/>
    <ToPublish xmlns="7c9e7d92-4d2e-4d6f-8ea5-12e4091e13b4">true</ToPublish>
    <PublishEndDate xmlns="7c9e7d92-4d2e-4d6f-8ea5-12e4091e13b4" xsi:nil="true"/>
    <FileGroup xmlns="7c9e7d92-4d2e-4d6f-8ea5-12e4091e13b4" xsi:nil="true"/>
  </documentManagement>
</p:properties>
</file>

<file path=customXml/itemProps1.xml><?xml version="1.0" encoding="utf-8"?>
<ds:datastoreItem xmlns:ds="http://schemas.openxmlformats.org/officeDocument/2006/customXml" ds:itemID="{09486FCD-A708-4D0C-9202-5ECCBEA32CA3}"/>
</file>

<file path=customXml/itemProps2.xml><?xml version="1.0" encoding="utf-8"?>
<ds:datastoreItem xmlns:ds="http://schemas.openxmlformats.org/officeDocument/2006/customXml" ds:itemID="{15C072C2-13ED-450D-9A78-AE92FCC17DD3}"/>
</file>

<file path=customXml/itemProps3.xml><?xml version="1.0" encoding="utf-8"?>
<ds:datastoreItem xmlns:ds="http://schemas.openxmlformats.org/officeDocument/2006/customXml" ds:itemID="{A0890A9E-54B4-4E06-9E47-8499294CED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7</vt:i4>
      </vt:variant>
    </vt:vector>
  </HeadingPairs>
  <TitlesOfParts>
    <vt:vector size="7" baseType="lpstr">
      <vt:lpstr>שנת 2010</vt:lpstr>
      <vt:lpstr>עלות תפעול מים</vt:lpstr>
      <vt:lpstr>עלות תפעול ביוב</vt:lpstr>
      <vt:lpstr>סהכ עלויות תפעול</vt:lpstr>
      <vt:lpstr>שנת 2011</vt:lpstr>
      <vt:lpstr>נתוני מים 2011</vt:lpstr>
      <vt:lpstr>התפלגות מים 2011</vt:lpstr>
    </vt:vector>
  </TitlesOfParts>
  <Company>Water Authority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עלויות תפעול בפועל - תאגידים שנת 2011</dc:title>
  <dc:creator>BackUp</dc:creator>
  <cp:lastModifiedBy>BackUp</cp:lastModifiedBy>
  <dcterms:created xsi:type="dcterms:W3CDTF">2012-02-28T09:44:37Z</dcterms:created>
  <dcterms:modified xsi:type="dcterms:W3CDTF">2013-01-20T13:36:24Z</dcterms:modified>
  <cp:contentType>קבצים להורדה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0x0101009B062CC07971A94494097F37B7CF51C70097AC8CEB9E63A54D9070F69E621E066B</vt:lpwstr>
  </property>
  <property fmtid="{D5CDD505-2E9C-101B-9397-08002B2CF9AE}" pid="3" name="TemplateUrl">
    <vt:lpwstr/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xd_Signature">
    <vt:bool>false</vt:bool>
  </property>
  <property fmtid="{D5CDD505-2E9C-101B-9397-08002B2CF9AE}" pid="7" name="xd_ProgID">
    <vt:lpwstr/>
  </property>
</Properties>
</file>