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a\Desktop\הכנת תקציב 2023\"/>
    </mc:Choice>
  </mc:AlternateContent>
  <xr:revisionPtr revIDLastSave="0" documentId="8_{D87D9921-1BDF-4219-A17C-CCF143654AFD}" xr6:coauthVersionLast="47" xr6:coauthVersionMax="47" xr10:uidLastSave="{00000000-0000-0000-0000-000000000000}"/>
  <workbookProtection workbookAlgorithmName="SHA-512" workbookHashValue="A/B3wZMyJlmJUSJBjWMZubSiB4HhUhymW6wkFr5kFecr8zF4kWSnCQmkJr/QCY+XtzkxK4T2LUjCsQe76Q9cHg==" workbookSaltValue="QdOxG4kGc/HFf2FAsIXV3A==" workbookSpinCount="100000" lockStructure="1"/>
  <bookViews>
    <workbookView xWindow="-108" yWindow="-108" windowWidth="23256" windowHeight="12576" tabRatio="984" xr2:uid="{00000000-000D-0000-FFFF-FFFF00000000}"/>
  </bookViews>
  <sheets>
    <sheet name="תוכן עניינים" sheetId="50" r:id="rId1"/>
    <sheet name="ביטול תקציב" sheetId="61" state="hidden" r:id="rId2"/>
    <sheet name="הכנסות 1" sheetId="2" r:id="rId3"/>
    <sheet name="גיליון1" sheetId="54" state="hidden" r:id="rId4"/>
    <sheet name="הוצאות 2" sheetId="4" r:id="rId5"/>
    <sheet name="הכנסות חינוך 3" sheetId="6" r:id="rId6"/>
    <sheet name="הכנסות תרבות 4" sheetId="7" r:id="rId7"/>
    <sheet name="הכנסות רווחה 5" sheetId="40" r:id="rId8"/>
    <sheet name="הוצאות שכר 6" sheetId="63" r:id="rId9"/>
    <sheet name="שכד ביטוחים עיתונים ומשלחות 7  " sheetId="12" r:id="rId10"/>
    <sheet name=" הוצאות רווחה  8" sheetId="24" r:id="rId11"/>
    <sheet name="קליקה 9" sheetId="55" r:id="rId12"/>
    <sheet name="סעיפי קורונה 10" sheetId="41" r:id="rId13"/>
    <sheet name="ציוד משרדי וכיבוד 11" sheetId="13" r:id="rId14"/>
    <sheet name="חשמל ומים 12" sheetId="11" r:id="rId15"/>
    <sheet name="דלק ורכבים 13" sheetId="14" r:id="rId16"/>
    <sheet name="תיקונים ורישוי 14" sheetId="15" r:id="rId17"/>
    <sheet name="ליסינג 15" sheetId="16" r:id="rId18"/>
    <sheet name="תקשורת פרסום ומחשוב 16" sheetId="17" r:id="rId19"/>
    <sheet name="ריבית ועמלות ופרעון 17" sheetId="19" r:id="rId20"/>
    <sheet name="עבודות קבלניות 18" sheetId="20" r:id="rId21"/>
    <sheet name=" 19 הג&quot;א" sheetId="58" r:id="rId22"/>
    <sheet name="20-780" sheetId="21" r:id="rId23"/>
    <sheet name="21-782" sheetId="22" r:id="rId24"/>
    <sheet name="תמיכות 22" sheetId="49" r:id="rId25"/>
    <sheet name="ביצוע 2020" sheetId="53" state="hidden" r:id="rId26"/>
    <sheet name="שכר 2021" sheetId="52" state="hidden" r:id="rId27"/>
  </sheets>
  <externalReferences>
    <externalReference r:id="rId28"/>
  </externalReferences>
  <definedNames>
    <definedName name="_xlnm._FilterDatabase" localSheetId="10" hidden="1">' הוצאות רווחה  8'!$G$4:$H$114</definedName>
    <definedName name="_xlnm._FilterDatabase" localSheetId="22" hidden="1">'20-780'!$A$4:$H$93</definedName>
    <definedName name="_xlnm._FilterDatabase" localSheetId="23" hidden="1">'21-782'!$C$4:$K$97</definedName>
    <definedName name="_xlnm._FilterDatabase" localSheetId="1" hidden="1">'ביטול תקציב'!$A$1:$J$10</definedName>
    <definedName name="_xlnm._FilterDatabase" localSheetId="8" hidden="1">'הוצאות שכר 6'!$F$4:$G$4</definedName>
    <definedName name="_xlnm._FilterDatabase" localSheetId="2" hidden="1">'הכנסות 1'!$A$4:$E$83</definedName>
    <definedName name="_xlnm._FilterDatabase" localSheetId="5" hidden="1">'הכנסות חינוך 3'!$A$1:$G$49</definedName>
    <definedName name="_xlnm._FilterDatabase" localSheetId="7" hidden="1">'הכנסות רווחה 5'!$D$3:$H$117</definedName>
    <definedName name="_xlnm._FilterDatabase" localSheetId="12" hidden="1">'סעיפי קורונה 10'!$F$5:$H$23</definedName>
    <definedName name="_xlnm._FilterDatabase" localSheetId="20" hidden="1">'עבודות קבלניות 18'!$A$4:$H$25</definedName>
    <definedName name="_xlnm._FilterDatabase" localSheetId="24" hidden="1">'תמיכות 22'!$D$4:$F$51</definedName>
    <definedName name="_xlnm.Print_Area" localSheetId="10">' הוצאות רווחה  8'!$A$1:$O$112</definedName>
    <definedName name="_xlnm.Print_Area" localSheetId="22">'20-780'!$A$1:$K$93</definedName>
    <definedName name="_xlnm.Print_Area" localSheetId="23">'21-782'!$C$2:$J$104</definedName>
    <definedName name="_xlnm.Print_Area" localSheetId="4">'הוצאות 2'!$A$2:$Q$45</definedName>
    <definedName name="_xlnm.Print_Area" localSheetId="8">'הוצאות שכר 6'!#REF!</definedName>
    <definedName name="_xlnm.Print_Area" localSheetId="2">'הכנסות 1'!$A$2:$N$83</definedName>
    <definedName name="_xlnm.Print_Area" localSheetId="5">'הכנסות חינוך 3'!$A$1:$N$66</definedName>
    <definedName name="_xlnm.Print_Area" localSheetId="7">'הכנסות רווחה 5'!$A$1:$E$130</definedName>
    <definedName name="_xlnm.Print_Area" localSheetId="6">'הכנסות תרבות 4'!$A$1:$G$31</definedName>
    <definedName name="_xlnm.Print_Area" localSheetId="14">'חשמל ומים 12'!$A$1:$E$30</definedName>
    <definedName name="_xlnm.Print_Area" localSheetId="17">'ליסינג 15'!$B$1:$F$25</definedName>
    <definedName name="_xlnm.Print_Area" localSheetId="12">'סעיפי קורונה 10'!$A$2:$F$27</definedName>
    <definedName name="_xlnm.Print_Area" localSheetId="20">'עבודות קבלניות 18'!$A$2:$F$56</definedName>
    <definedName name="_xlnm.Print_Area" localSheetId="13">'ציוד משרדי וכיבוד 11'!$A$1:$G$59</definedName>
    <definedName name="_xlnm.Print_Area" localSheetId="11">'קליקה 9'!$A$1:$G$19</definedName>
    <definedName name="_xlnm.Print_Area" localSheetId="19">'ריבית ועמלות ופרעון 17'!$C$1:$I$24</definedName>
    <definedName name="_xlnm.Print_Area" localSheetId="9">'שכד ביטוחים עיתונים ומשלחות 7  '!$A$2:$F$34</definedName>
    <definedName name="_xlnm.Print_Area" localSheetId="0">'תוכן עניינים'!$A$1:$D$33</definedName>
    <definedName name="_xlnm.Print_Area" localSheetId="16">'תיקונים ורישוי 14'!$C$1:$G$47</definedName>
    <definedName name="_xlnm.Print_Area" localSheetId="24">'תמיכות 22'!$A$2:$H$54</definedName>
    <definedName name="_xlnm.Print_Area" localSheetId="18">'תקשורת פרסום ומחשוב 16'!$C$1:$I$35</definedName>
    <definedName name="_xlnm.Print_Titles" localSheetId="10">' הוצאות רווחה  8'!$4:$4</definedName>
    <definedName name="_xlnm.Print_Titles" localSheetId="22">'20-780'!$4:$4</definedName>
    <definedName name="_xlnm.Print_Titles" localSheetId="23">'21-782'!$4:$4</definedName>
    <definedName name="_xlnm.Print_Titles" localSheetId="4">'הוצאות 2'!$4:$4</definedName>
    <definedName name="_xlnm.Print_Titles" localSheetId="8">'הוצאות שכר 6'!$4:$4</definedName>
    <definedName name="_xlnm.Print_Titles" localSheetId="2">'הכנסות 1'!$4:$4</definedName>
    <definedName name="_xlnm.Print_Titles" localSheetId="7">'הכנסות רווחה 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20" l="1"/>
  <c r="E24" i="14"/>
  <c r="H26" i="2"/>
  <c r="G26" i="2"/>
  <c r="G28" i="2" l="1"/>
  <c r="G5" i="2" l="1"/>
  <c r="H5" i="2" s="1"/>
  <c r="G31" i="2" l="1"/>
  <c r="G29" i="49" l="1"/>
  <c r="G49" i="49"/>
  <c r="G15" i="49"/>
  <c r="J37" i="22" l="1"/>
  <c r="I37" i="22"/>
  <c r="J36" i="22"/>
  <c r="I36" i="22"/>
  <c r="G12" i="20"/>
  <c r="H12" i="20" s="1"/>
  <c r="G44" i="49"/>
  <c r="G35" i="49"/>
  <c r="G36" i="49"/>
  <c r="G42" i="49"/>
  <c r="G33" i="49"/>
  <c r="G34" i="49"/>
  <c r="G43" i="49"/>
  <c r="G32" i="49"/>
  <c r="G41" i="49"/>
  <c r="G40" i="49"/>
  <c r="G39" i="49"/>
  <c r="G38" i="49"/>
  <c r="G37" i="49"/>
  <c r="G32" i="21" l="1"/>
  <c r="G29" i="13"/>
  <c r="G66" i="21"/>
  <c r="G63" i="21"/>
  <c r="G22" i="12"/>
  <c r="I33" i="22"/>
  <c r="I34" i="22"/>
  <c r="G91" i="21"/>
  <c r="G72" i="21"/>
  <c r="G71" i="21"/>
  <c r="G54" i="21"/>
  <c r="G24" i="20"/>
  <c r="G79" i="21"/>
  <c r="I92" i="22"/>
  <c r="G12" i="24"/>
  <c r="I91" i="22"/>
  <c r="I31" i="22"/>
  <c r="G77" i="21"/>
  <c r="I16" i="22"/>
  <c r="G8" i="13"/>
  <c r="H29" i="7"/>
  <c r="G29" i="7"/>
  <c r="G84" i="21"/>
  <c r="H40" i="2" l="1"/>
  <c r="G40" i="2"/>
  <c r="G64" i="6"/>
  <c r="G121" i="63"/>
  <c r="G119" i="63"/>
  <c r="G117" i="63"/>
  <c r="G116" i="63"/>
  <c r="G113" i="63"/>
  <c r="G111" i="63"/>
  <c r="G109" i="63"/>
  <c r="G108" i="63"/>
  <c r="G106" i="63"/>
  <c r="G101" i="63"/>
  <c r="G102" i="63"/>
  <c r="G103" i="63"/>
  <c r="G104" i="63"/>
  <c r="G100" i="63"/>
  <c r="G86" i="63"/>
  <c r="G87" i="63"/>
  <c r="G88" i="63"/>
  <c r="G89" i="63"/>
  <c r="G90" i="63"/>
  <c r="G91" i="63"/>
  <c r="G92" i="63"/>
  <c r="G93" i="63"/>
  <c r="G94" i="63"/>
  <c r="G95" i="63"/>
  <c r="G96" i="63"/>
  <c r="G97" i="63"/>
  <c r="G98" i="63"/>
  <c r="G85" i="63"/>
  <c r="G80" i="63"/>
  <c r="G81" i="63"/>
  <c r="G82" i="63"/>
  <c r="G83" i="63"/>
  <c r="G79" i="63"/>
  <c r="G56" i="63"/>
  <c r="G57" i="63"/>
  <c r="G58" i="63"/>
  <c r="G59" i="63"/>
  <c r="G60" i="63"/>
  <c r="G61" i="63"/>
  <c r="G62" i="63"/>
  <c r="G63" i="63"/>
  <c r="G64" i="63"/>
  <c r="G65" i="63"/>
  <c r="G66" i="63"/>
  <c r="G67" i="63"/>
  <c r="G68" i="63"/>
  <c r="G69" i="63"/>
  <c r="G70" i="63"/>
  <c r="G71" i="63"/>
  <c r="G72" i="63"/>
  <c r="G73" i="63"/>
  <c r="G74" i="63"/>
  <c r="G75" i="63"/>
  <c r="G76" i="63"/>
  <c r="G77" i="63"/>
  <c r="G55" i="63"/>
  <c r="G53" i="63"/>
  <c r="G52" i="63"/>
  <c r="G47" i="63"/>
  <c r="G46" i="63"/>
  <c r="G44" i="63"/>
  <c r="G42" i="63"/>
  <c r="G39" i="63"/>
  <c r="G40" i="63"/>
  <c r="G38" i="63"/>
  <c r="G36" i="63"/>
  <c r="G35" i="63"/>
  <c r="G31" i="63"/>
  <c r="G32" i="63"/>
  <c r="G33" i="63"/>
  <c r="G30" i="63"/>
  <c r="G22" i="63"/>
  <c r="G23" i="63"/>
  <c r="G24" i="63"/>
  <c r="G25" i="63"/>
  <c r="G26" i="63"/>
  <c r="G27" i="63"/>
  <c r="G28" i="63"/>
  <c r="G21" i="63"/>
  <c r="G16" i="63"/>
  <c r="G17" i="63"/>
  <c r="G18" i="63"/>
  <c r="G19" i="63"/>
  <c r="G15" i="63"/>
  <c r="E25" i="49"/>
  <c r="D25" i="49"/>
  <c r="D5" i="21"/>
  <c r="G29" i="63" l="1"/>
  <c r="H61" i="21" l="1"/>
  <c r="H49" i="6"/>
  <c r="H54" i="2" s="1"/>
  <c r="G49" i="6"/>
  <c r="G54" i="2" s="1"/>
  <c r="F10" i="6"/>
  <c r="D61" i="6"/>
  <c r="D64" i="6"/>
  <c r="F7" i="6"/>
  <c r="D26" i="6"/>
  <c r="F49" i="6" l="1"/>
  <c r="F54" i="2" s="1"/>
  <c r="D10" i="6"/>
  <c r="F11" i="20" l="1"/>
  <c r="G11" i="20" s="1"/>
  <c r="D62" i="20"/>
  <c r="D36" i="4" s="1"/>
  <c r="E62" i="20"/>
  <c r="E36" i="4" s="1"/>
  <c r="F62" i="20"/>
  <c r="F36" i="4" s="1"/>
  <c r="H62" i="20"/>
  <c r="H36" i="4" s="1"/>
  <c r="B62" i="20"/>
  <c r="H56" i="20"/>
  <c r="G56" i="20"/>
  <c r="E54" i="20"/>
  <c r="H6" i="20"/>
  <c r="G6" i="20"/>
  <c r="F36" i="22"/>
  <c r="E75" i="21"/>
  <c r="G36" i="22"/>
  <c r="G74" i="22"/>
  <c r="F74" i="22"/>
  <c r="D35" i="21"/>
  <c r="D36" i="21"/>
  <c r="F21" i="20"/>
  <c r="G70" i="2" l="1"/>
  <c r="E138" i="63" l="1"/>
  <c r="G12" i="63"/>
  <c r="G11" i="63"/>
  <c r="G10" i="63"/>
  <c r="G9" i="63"/>
  <c r="G8" i="63"/>
  <c r="G7" i="63"/>
  <c r="G5" i="63"/>
  <c r="E134" i="63"/>
  <c r="D138" i="63"/>
  <c r="D134" i="63"/>
  <c r="D45" i="63"/>
  <c r="G129" i="63" l="1"/>
  <c r="H6" i="4" s="1"/>
  <c r="F129" i="63"/>
  <c r="E129" i="63"/>
  <c r="F6" i="4" s="1"/>
  <c r="D129" i="63"/>
  <c r="C129" i="63"/>
  <c r="B127" i="63"/>
  <c r="G122" i="63"/>
  <c r="F122" i="63"/>
  <c r="E122" i="63"/>
  <c r="D122" i="63"/>
  <c r="C122" i="63"/>
  <c r="G120" i="63"/>
  <c r="F120" i="63"/>
  <c r="E120" i="63"/>
  <c r="D120" i="63"/>
  <c r="C120" i="63"/>
  <c r="G118" i="63"/>
  <c r="F118" i="63"/>
  <c r="E118" i="63"/>
  <c r="D118" i="63"/>
  <c r="C118" i="63"/>
  <c r="G114" i="63"/>
  <c r="F114" i="63"/>
  <c r="E114" i="63"/>
  <c r="D114" i="63"/>
  <c r="C114" i="63"/>
  <c r="G112" i="63"/>
  <c r="F112" i="63"/>
  <c r="E112" i="63"/>
  <c r="D112" i="63"/>
  <c r="C112" i="63"/>
  <c r="G110" i="63"/>
  <c r="F110" i="63"/>
  <c r="E110" i="63"/>
  <c r="D110" i="63"/>
  <c r="C110" i="63"/>
  <c r="G107" i="63"/>
  <c r="F107" i="63"/>
  <c r="E107" i="63"/>
  <c r="D107" i="63"/>
  <c r="C107" i="63"/>
  <c r="G105" i="63"/>
  <c r="F105" i="63"/>
  <c r="E105" i="63"/>
  <c r="D105" i="63"/>
  <c r="C105" i="63"/>
  <c r="G99" i="63"/>
  <c r="F99" i="63"/>
  <c r="D99" i="63"/>
  <c r="E67" i="63"/>
  <c r="C67" i="63"/>
  <c r="C99" i="63" s="1"/>
  <c r="E56" i="63"/>
  <c r="G54" i="63"/>
  <c r="F54" i="63"/>
  <c r="E54" i="63"/>
  <c r="D54" i="63"/>
  <c r="C54" i="63"/>
  <c r="G51" i="63"/>
  <c r="F51" i="63"/>
  <c r="E51" i="63"/>
  <c r="D51" i="63"/>
  <c r="C51" i="63"/>
  <c r="G48" i="63"/>
  <c r="F48" i="63"/>
  <c r="E48" i="63"/>
  <c r="D48" i="63"/>
  <c r="C48" i="63"/>
  <c r="G45" i="63"/>
  <c r="F45" i="63"/>
  <c r="E45" i="63"/>
  <c r="C45" i="63"/>
  <c r="G43" i="63"/>
  <c r="F43" i="63"/>
  <c r="E43" i="63"/>
  <c r="D43" i="63"/>
  <c r="C43" i="63"/>
  <c r="G37" i="63"/>
  <c r="F37" i="63"/>
  <c r="E37" i="63"/>
  <c r="D37" i="63"/>
  <c r="C37" i="63"/>
  <c r="G34" i="63"/>
  <c r="F34" i="63"/>
  <c r="E34" i="63"/>
  <c r="D34" i="63"/>
  <c r="C34" i="63"/>
  <c r="F29" i="63"/>
  <c r="E29" i="63"/>
  <c r="D29" i="63"/>
  <c r="C29" i="63"/>
  <c r="G20" i="63"/>
  <c r="F20" i="63"/>
  <c r="E20" i="63"/>
  <c r="D20" i="63"/>
  <c r="C20" i="63"/>
  <c r="G14" i="63"/>
  <c r="F14" i="63"/>
  <c r="E14" i="63"/>
  <c r="D14" i="63"/>
  <c r="C14" i="63"/>
  <c r="G6" i="63"/>
  <c r="F6" i="63"/>
  <c r="E6" i="63"/>
  <c r="D6" i="63"/>
  <c r="C5" i="63"/>
  <c r="C6" i="63" s="1"/>
  <c r="G17" i="19"/>
  <c r="J21" i="19"/>
  <c r="I21" i="19"/>
  <c r="H37" i="22"/>
  <c r="F37" i="22"/>
  <c r="D41" i="21"/>
  <c r="D40" i="21"/>
  <c r="D39" i="21"/>
  <c r="D37" i="21"/>
  <c r="D38" i="21"/>
  <c r="D33" i="21"/>
  <c r="E99" i="63" l="1"/>
  <c r="E123" i="63" s="1"/>
  <c r="G6" i="4"/>
  <c r="D123" i="63"/>
  <c r="F123" i="63"/>
  <c r="G123" i="63"/>
  <c r="G130" i="63" s="1"/>
  <c r="E133" i="63" s="1"/>
  <c r="C123" i="63"/>
  <c r="C130" i="63" s="1"/>
  <c r="G75" i="22"/>
  <c r="F50" i="22"/>
  <c r="G56" i="22"/>
  <c r="G14" i="22"/>
  <c r="G12" i="22"/>
  <c r="F14" i="22"/>
  <c r="E39" i="61"/>
  <c r="E38" i="61"/>
  <c r="E37" i="61"/>
  <c r="E36" i="61"/>
  <c r="E35" i="61"/>
  <c r="E34" i="61"/>
  <c r="E33" i="61"/>
  <c r="D32" i="61"/>
  <c r="E32" i="61" s="1"/>
  <c r="D31" i="61"/>
  <c r="E31" i="61" s="1"/>
  <c r="D30" i="61"/>
  <c r="E30" i="61" s="1"/>
  <c r="D29" i="61"/>
  <c r="E29" i="61" s="1"/>
  <c r="D28" i="61"/>
  <c r="E28" i="61" s="1"/>
  <c r="D27" i="61"/>
  <c r="E27" i="61" s="1"/>
  <c r="D26" i="61"/>
  <c r="E26" i="61" s="1"/>
  <c r="E25" i="61"/>
  <c r="E24" i="61"/>
  <c r="E23" i="61"/>
  <c r="E22" i="61"/>
  <c r="E21" i="61"/>
  <c r="E20" i="61"/>
  <c r="E19" i="61"/>
  <c r="E18" i="61"/>
  <c r="E17" i="61"/>
  <c r="G34" i="11"/>
  <c r="H34" i="11" s="1"/>
  <c r="D5" i="11"/>
  <c r="E43" i="24"/>
  <c r="E47" i="24"/>
  <c r="D47" i="24"/>
  <c r="E44" i="24"/>
  <c r="D44" i="24"/>
  <c r="E63" i="24"/>
  <c r="D101" i="24"/>
  <c r="E53" i="24"/>
  <c r="D53" i="24"/>
  <c r="E51" i="24"/>
  <c r="D51" i="24"/>
  <c r="D32" i="24"/>
  <c r="D7" i="24"/>
  <c r="D12" i="24"/>
  <c r="J16" i="61"/>
  <c r="D31" i="40"/>
  <c r="E13" i="40"/>
  <c r="D13" i="40"/>
  <c r="F6" i="61"/>
  <c r="F130" i="63" l="1"/>
  <c r="D130" i="63"/>
  <c r="E130" i="63"/>
  <c r="F5" i="4"/>
  <c r="E140" i="63"/>
  <c r="H35" i="11"/>
  <c r="G35" i="11"/>
  <c r="G61" i="20"/>
  <c r="G62" i="20" s="1"/>
  <c r="G36" i="4" s="1"/>
  <c r="G38" i="4"/>
  <c r="G9" i="2"/>
  <c r="G44" i="2"/>
  <c r="D133" i="63" l="1"/>
  <c r="H5" i="4"/>
  <c r="D14" i="6"/>
  <c r="D49" i="6" s="1"/>
  <c r="D54" i="2" s="1"/>
  <c r="F43" i="24"/>
  <c r="F78" i="24"/>
  <c r="F99" i="24"/>
  <c r="F77" i="24"/>
  <c r="F21" i="11"/>
  <c r="F5" i="11"/>
  <c r="D5" i="13"/>
  <c r="D140" i="63" l="1"/>
  <c r="G12" i="16"/>
  <c r="H21" i="16"/>
  <c r="G5" i="4" l="1"/>
  <c r="I10" i="16"/>
  <c r="I21" i="16" s="1"/>
  <c r="J28" i="15"/>
  <c r="I28" i="15"/>
  <c r="J46" i="15"/>
  <c r="I46" i="15"/>
  <c r="F24" i="14"/>
  <c r="B53" i="6"/>
  <c r="D53" i="6"/>
  <c r="E53" i="6"/>
  <c r="F53" i="6"/>
  <c r="G53" i="6"/>
  <c r="H53" i="6"/>
  <c r="H93" i="21"/>
  <c r="G42" i="2"/>
  <c r="G73" i="21"/>
  <c r="H66" i="6"/>
  <c r="H40" i="20" l="1"/>
  <c r="G40" i="20"/>
  <c r="H39" i="20"/>
  <c r="G39" i="20"/>
  <c r="G43" i="20" s="1"/>
  <c r="I29" i="4"/>
  <c r="I34" i="14" l="1"/>
  <c r="H24" i="14" l="1"/>
  <c r="I24" i="14"/>
  <c r="F9" i="4" l="1"/>
  <c r="E9" i="4"/>
  <c r="D9" i="4"/>
  <c r="F51" i="15"/>
  <c r="G51" i="15"/>
  <c r="H51" i="15"/>
  <c r="I51" i="15"/>
  <c r="G9" i="4" s="1"/>
  <c r="J51" i="15"/>
  <c r="H9" i="4" s="1"/>
  <c r="H40" i="4"/>
  <c r="F40" i="4"/>
  <c r="G34" i="58"/>
  <c r="G40" i="4" s="1"/>
  <c r="D34" i="58"/>
  <c r="E34" i="58"/>
  <c r="F34" i="58"/>
  <c r="H34" i="58"/>
  <c r="H35" i="4"/>
  <c r="G35" i="4"/>
  <c r="H49" i="20"/>
  <c r="H33" i="4" s="1"/>
  <c r="G49" i="20"/>
  <c r="G33" i="4" s="1"/>
  <c r="H43" i="20"/>
  <c r="H31" i="4" s="1"/>
  <c r="H30" i="4"/>
  <c r="H25" i="20"/>
  <c r="H28" i="4" s="1"/>
  <c r="H31" i="20"/>
  <c r="H27" i="4"/>
  <c r="G27" i="4"/>
  <c r="H26" i="4"/>
  <c r="G26" i="4"/>
  <c r="H25" i="4"/>
  <c r="G25" i="4"/>
  <c r="I8" i="19"/>
  <c r="G24" i="4" s="1"/>
  <c r="H20" i="4"/>
  <c r="G20" i="4"/>
  <c r="H19" i="4"/>
  <c r="G19" i="4"/>
  <c r="H18" i="4"/>
  <c r="G18" i="4"/>
  <c r="H17" i="4"/>
  <c r="G17" i="4"/>
  <c r="H16" i="4"/>
  <c r="D5" i="2"/>
  <c r="F72" i="2"/>
  <c r="D72" i="2"/>
  <c r="D20" i="7"/>
  <c r="H13" i="2"/>
  <c r="H60" i="2" l="1"/>
  <c r="G60" i="2"/>
  <c r="H59" i="2"/>
  <c r="G59" i="2"/>
  <c r="H56" i="2"/>
  <c r="G56" i="2"/>
  <c r="H55" i="2"/>
  <c r="H51" i="49"/>
  <c r="H34" i="4" s="1"/>
  <c r="I24" i="17"/>
  <c r="G23" i="4" s="1"/>
  <c r="I15" i="17"/>
  <c r="G22" i="4" s="1"/>
  <c r="I6" i="17"/>
  <c r="G21" i="4" s="1"/>
  <c r="H22" i="41"/>
  <c r="H13" i="55"/>
  <c r="G13" i="55"/>
  <c r="G31" i="12"/>
  <c r="G15" i="4" s="1"/>
  <c r="G23" i="12"/>
  <c r="G14" i="4" s="1"/>
  <c r="G16" i="12"/>
  <c r="G11" i="4" s="1"/>
  <c r="G6" i="12"/>
  <c r="G7" i="4" s="1"/>
  <c r="H21" i="7"/>
  <c r="H58" i="2" s="1"/>
  <c r="G21" i="7"/>
  <c r="G58" i="2" s="1"/>
  <c r="H9" i="7"/>
  <c r="H57" i="2" s="1"/>
  <c r="G27" i="58"/>
  <c r="G8" i="4" s="1"/>
  <c r="D67" i="2"/>
  <c r="G6" i="7"/>
  <c r="G9" i="7" s="1"/>
  <c r="G57" i="2" s="1"/>
  <c r="H30" i="2" l="1"/>
  <c r="J97" i="22" l="1"/>
  <c r="H32" i="4" s="1"/>
  <c r="H27" i="58"/>
  <c r="H8" i="4" s="1"/>
  <c r="H15" i="58"/>
  <c r="H17" i="58" s="1"/>
  <c r="H130" i="40"/>
  <c r="H62" i="2" s="1"/>
  <c r="H117" i="40"/>
  <c r="H61" i="2" s="1"/>
  <c r="H83" i="2" s="1"/>
  <c r="G87" i="2" s="1"/>
  <c r="F26" i="11"/>
  <c r="G26" i="11"/>
  <c r="H26" i="11"/>
  <c r="G22" i="11"/>
  <c r="H22" i="11"/>
  <c r="D22" i="11"/>
  <c r="E22" i="11"/>
  <c r="F22" i="11"/>
  <c r="E25" i="11"/>
  <c r="E26" i="11" s="1"/>
  <c r="D26" i="11"/>
  <c r="E28" i="11" l="1"/>
  <c r="F28" i="11"/>
  <c r="G28" i="11"/>
  <c r="G10" i="4" s="1"/>
  <c r="H28" i="11"/>
  <c r="H10" i="4" s="1"/>
  <c r="D28" i="11"/>
  <c r="J8" i="19" l="1"/>
  <c r="H24" i="4" s="1"/>
  <c r="J24" i="17"/>
  <c r="H23" i="4" s="1"/>
  <c r="J15" i="17"/>
  <c r="H22" i="4" s="1"/>
  <c r="J6" i="17"/>
  <c r="H21" i="4" s="1"/>
  <c r="H42" i="13"/>
  <c r="H12" i="4" s="1"/>
  <c r="H57" i="13"/>
  <c r="H13" i="4" s="1"/>
  <c r="I8" i="41"/>
  <c r="I24" i="41" s="1"/>
  <c r="H39" i="4" s="1"/>
  <c r="I14" i="41"/>
  <c r="I22" i="41"/>
  <c r="H31" i="12"/>
  <c r="H15" i="4" s="1"/>
  <c r="H23" i="12"/>
  <c r="H14" i="4" s="1"/>
  <c r="H16" i="12"/>
  <c r="H11" i="4" s="1"/>
  <c r="H6" i="12"/>
  <c r="H7" i="4" s="1"/>
  <c r="E36" i="40" l="1"/>
  <c r="H14" i="41"/>
  <c r="H24" i="41" s="1"/>
  <c r="G39" i="4" s="1"/>
  <c r="H8" i="41"/>
  <c r="G14" i="41"/>
  <c r="F14" i="41"/>
  <c r="G8" i="41"/>
  <c r="F8" i="41"/>
  <c r="I97" i="22"/>
  <c r="G32" i="4" s="1"/>
  <c r="G93" i="21"/>
  <c r="G30" i="4" s="1"/>
  <c r="E27" i="58"/>
  <c r="G15" i="58"/>
  <c r="G17" i="58" s="1"/>
  <c r="G31" i="20"/>
  <c r="G25" i="20"/>
  <c r="G28" i="4" s="1"/>
  <c r="G21" i="19"/>
  <c r="G8" i="19"/>
  <c r="F8" i="19"/>
  <c r="G24" i="17"/>
  <c r="H34" i="14"/>
  <c r="G16" i="4" s="1"/>
  <c r="G34" i="14"/>
  <c r="F34" i="14"/>
  <c r="D42" i="13"/>
  <c r="F22" i="41"/>
  <c r="F24" i="41" s="1"/>
  <c r="E13" i="55"/>
  <c r="F31" i="12"/>
  <c r="G130" i="40"/>
  <c r="G62" i="2" s="1"/>
  <c r="E130" i="40"/>
  <c r="D130" i="40"/>
  <c r="G117" i="40"/>
  <c r="G61" i="2" s="1"/>
  <c r="G66" i="6"/>
  <c r="G55" i="2" s="1"/>
  <c r="G83" i="2" l="1"/>
  <c r="F87" i="2" s="1"/>
  <c r="G51" i="49" l="1"/>
  <c r="G34" i="4" s="1"/>
  <c r="E35" i="11" l="1"/>
  <c r="F35" i="11"/>
  <c r="F27" i="4" s="1"/>
  <c r="D24" i="4"/>
  <c r="F46" i="15"/>
  <c r="D19" i="4" s="1"/>
  <c r="F15" i="4"/>
  <c r="D57" i="13"/>
  <c r="D13" i="4" s="1"/>
  <c r="D12" i="4"/>
  <c r="D7" i="4" l="1"/>
  <c r="F59" i="2"/>
  <c r="F56" i="2"/>
  <c r="E51" i="49"/>
  <c r="G97" i="22"/>
  <c r="E93" i="21"/>
  <c r="D43" i="20"/>
  <c r="D31" i="4" s="1"/>
  <c r="F27" i="58"/>
  <c r="F8" i="4" s="1"/>
  <c r="D15" i="58"/>
  <c r="D17" i="58" s="1"/>
  <c r="E15" i="58"/>
  <c r="E17" i="58" s="1"/>
  <c r="F15" i="58"/>
  <c r="F17" i="58" s="1"/>
  <c r="E56" i="20"/>
  <c r="F56" i="20"/>
  <c r="F26" i="4" s="1"/>
  <c r="E49" i="20"/>
  <c r="F49" i="20"/>
  <c r="F33" i="4" s="1"/>
  <c r="D31" i="20"/>
  <c r="D29" i="4" s="1"/>
  <c r="E31" i="20"/>
  <c r="F31" i="20"/>
  <c r="H21" i="19"/>
  <c r="F25" i="4" s="1"/>
  <c r="H8" i="19"/>
  <c r="F24" i="4" s="1"/>
  <c r="H24" i="17"/>
  <c r="F23" i="4" s="1"/>
  <c r="H15" i="17"/>
  <c r="F22" i="4" s="1"/>
  <c r="H6" i="17"/>
  <c r="F21" i="4" s="1"/>
  <c r="G21" i="16"/>
  <c r="F20" i="4" s="1"/>
  <c r="F16" i="4"/>
  <c r="F10" i="4"/>
  <c r="G22" i="41"/>
  <c r="F57" i="13"/>
  <c r="F13" i="4" s="1"/>
  <c r="F13" i="55"/>
  <c r="F23" i="12"/>
  <c r="F14" i="4" s="1"/>
  <c r="F6" i="12"/>
  <c r="F7" i="4" s="1"/>
  <c r="F16" i="12"/>
  <c r="F11" i="4" s="1"/>
  <c r="F130" i="40"/>
  <c r="F62" i="2" s="1"/>
  <c r="D117" i="40"/>
  <c r="F117" i="40"/>
  <c r="F61" i="2" s="1"/>
  <c r="F9" i="7"/>
  <c r="F57" i="2" s="1"/>
  <c r="F21" i="7"/>
  <c r="F58" i="2" s="1"/>
  <c r="F66" i="6"/>
  <c r="F55" i="2" s="1"/>
  <c r="F39" i="4" l="1"/>
  <c r="G24" i="41"/>
  <c r="F110" i="24"/>
  <c r="F37" i="4" s="1"/>
  <c r="F51" i="49"/>
  <c r="F34" i="4" s="1"/>
  <c r="H97" i="22"/>
  <c r="F32" i="4" s="1"/>
  <c r="F43" i="20"/>
  <c r="F31" i="4" s="1"/>
  <c r="F93" i="21"/>
  <c r="F30" i="4" s="1"/>
  <c r="G12" i="14"/>
  <c r="G24" i="14" s="1"/>
  <c r="E25" i="20"/>
  <c r="F18" i="20"/>
  <c r="F6" i="20"/>
  <c r="F42" i="13"/>
  <c r="F12" i="4" s="1"/>
  <c r="F25" i="20" l="1"/>
  <c r="F28" i="4" s="1"/>
  <c r="H46" i="15"/>
  <c r="F19" i="4" s="1"/>
  <c r="H28" i="15"/>
  <c r="F18" i="4" s="1"/>
  <c r="F17" i="4"/>
  <c r="E109" i="40"/>
  <c r="E50" i="40"/>
  <c r="E42" i="40"/>
  <c r="E24" i="40"/>
  <c r="F45" i="4" l="1"/>
  <c r="E35" i="6"/>
  <c r="E34" i="6"/>
  <c r="F97" i="22"/>
  <c r="D32" i="4" s="1"/>
  <c r="D13" i="55"/>
  <c r="D31" i="2"/>
  <c r="F24" i="17"/>
  <c r="D23" i="4" s="1"/>
  <c r="D66" i="6" l="1"/>
  <c r="D10" i="4" l="1"/>
  <c r="E43" i="20" l="1"/>
  <c r="G31" i="4"/>
  <c r="E83" i="2" l="1"/>
  <c r="E87" i="2" s="1"/>
  <c r="D110" i="24"/>
  <c r="D37" i="4" s="1"/>
  <c r="E110" i="24" l="1"/>
  <c r="D93" i="21" l="1"/>
  <c r="D30" i="4" s="1"/>
  <c r="E34" i="14"/>
  <c r="D16" i="4" s="1"/>
  <c r="D27" i="58" l="1"/>
  <c r="H110" i="24"/>
  <c r="H37" i="4" s="1"/>
  <c r="H45" i="4" s="1"/>
  <c r="G88" i="2" s="1"/>
  <c r="G89" i="2" s="1"/>
  <c r="E5" i="12" l="1"/>
  <c r="D50" i="49" l="1"/>
  <c r="D48" i="49"/>
  <c r="D56" i="20"/>
  <c r="D26" i="4" s="1"/>
  <c r="E14" i="12"/>
  <c r="E16" i="12" s="1"/>
  <c r="G15" i="17"/>
  <c r="F15" i="17"/>
  <c r="D22" i="4" s="1"/>
  <c r="G5" i="17"/>
  <c r="G6" i="17" s="1"/>
  <c r="F5" i="17"/>
  <c r="F6" i="17" s="1"/>
  <c r="D21" i="4" s="1"/>
  <c r="G46" i="15"/>
  <c r="G25" i="15"/>
  <c r="G23" i="15"/>
  <c r="G21" i="15"/>
  <c r="F18" i="16"/>
  <c r="E7" i="16"/>
  <c r="E10" i="4"/>
  <c r="E48" i="13"/>
  <c r="E16" i="13"/>
  <c r="E15" i="13"/>
  <c r="E11" i="13"/>
  <c r="E7" i="13"/>
  <c r="E5" i="13"/>
  <c r="E31" i="12"/>
  <c r="E6" i="12"/>
  <c r="D62" i="2"/>
  <c r="E7" i="40"/>
  <c r="E8" i="40"/>
  <c r="E9" i="40"/>
  <c r="E10" i="40"/>
  <c r="E11" i="40"/>
  <c r="E12" i="40"/>
  <c r="E14" i="40"/>
  <c r="E15" i="40"/>
  <c r="E16" i="40"/>
  <c r="E17" i="40"/>
  <c r="E18" i="40"/>
  <c r="E19" i="40"/>
  <c r="E21" i="40"/>
  <c r="E23" i="40"/>
  <c r="E22" i="40"/>
  <c r="E25" i="40"/>
  <c r="E26" i="40"/>
  <c r="E30" i="40"/>
  <c r="E31" i="40"/>
  <c r="E32" i="40"/>
  <c r="E33" i="40"/>
  <c r="E34" i="40"/>
  <c r="E35" i="40"/>
  <c r="E37" i="40"/>
  <c r="E38" i="40"/>
  <c r="E39" i="40"/>
  <c r="E40" i="40"/>
  <c r="E41" i="40"/>
  <c r="E44" i="40"/>
  <c r="E45" i="40"/>
  <c r="E46" i="40"/>
  <c r="E47" i="40"/>
  <c r="E48" i="40"/>
  <c r="E49" i="40"/>
  <c r="E51" i="40"/>
  <c r="E52" i="40"/>
  <c r="E53" i="40"/>
  <c r="E54" i="40"/>
  <c r="E55" i="40"/>
  <c r="E56" i="40"/>
  <c r="E58" i="40"/>
  <c r="E59" i="40"/>
  <c r="E60" i="40"/>
  <c r="E61" i="40"/>
  <c r="E62" i="40"/>
  <c r="E63" i="40"/>
  <c r="E64" i="40"/>
  <c r="E65" i="40"/>
  <c r="E66" i="40"/>
  <c r="E67" i="40"/>
  <c r="E68" i="40"/>
  <c r="E69" i="40"/>
  <c r="E70" i="40"/>
  <c r="E71" i="40"/>
  <c r="E72" i="40"/>
  <c r="E73" i="40"/>
  <c r="E74" i="40"/>
  <c r="E76" i="40"/>
  <c r="E77" i="40"/>
  <c r="E78" i="40"/>
  <c r="E79" i="40"/>
  <c r="E80" i="40"/>
  <c r="E81" i="40"/>
  <c r="E82" i="40"/>
  <c r="E83" i="40"/>
  <c r="E84" i="40"/>
  <c r="E85" i="40"/>
  <c r="E86" i="40"/>
  <c r="E87" i="40"/>
  <c r="E88" i="40"/>
  <c r="E89" i="40"/>
  <c r="E91" i="40"/>
  <c r="E92" i="40"/>
  <c r="E93" i="40"/>
  <c r="E94" i="40"/>
  <c r="E96" i="40"/>
  <c r="E97" i="40"/>
  <c r="E99" i="40"/>
  <c r="E100" i="40"/>
  <c r="E102" i="40"/>
  <c r="E103" i="40"/>
  <c r="E104" i="40"/>
  <c r="E105" i="40"/>
  <c r="E106" i="40"/>
  <c r="E107" i="40"/>
  <c r="E108" i="40"/>
  <c r="E110" i="40"/>
  <c r="E111" i="40"/>
  <c r="E112" i="40"/>
  <c r="E113" i="40"/>
  <c r="E114" i="40"/>
  <c r="E115" i="40"/>
  <c r="E116" i="40"/>
  <c r="E6" i="40"/>
  <c r="E5" i="40"/>
  <c r="D60" i="2"/>
  <c r="E21" i="7"/>
  <c r="D21" i="7"/>
  <c r="D58" i="2" s="1"/>
  <c r="E9" i="7"/>
  <c r="E45" i="4" l="1"/>
  <c r="E21" i="16"/>
  <c r="F21" i="16"/>
  <c r="E117" i="40"/>
  <c r="E57" i="13"/>
  <c r="G57" i="13"/>
  <c r="G13" i="4" s="1"/>
  <c r="G42" i="13"/>
  <c r="G12" i="4" s="1"/>
  <c r="E42" i="13"/>
  <c r="G28" i="15"/>
  <c r="F28" i="15"/>
  <c r="D18" i="4" s="1"/>
  <c r="G110" i="24"/>
  <c r="G37" i="4" s="1"/>
  <c r="E65" i="6"/>
  <c r="E66" i="6" s="1"/>
  <c r="E29" i="7"/>
  <c r="D56" i="2"/>
  <c r="E43" i="6"/>
  <c r="E42" i="6"/>
  <c r="E40" i="6"/>
  <c r="E38" i="6"/>
  <c r="E31" i="6"/>
  <c r="E32" i="6"/>
  <c r="E33" i="6"/>
  <c r="E36" i="6"/>
  <c r="E37" i="6"/>
  <c r="E39" i="6"/>
  <c r="E30" i="6"/>
  <c r="E25" i="6"/>
  <c r="E8" i="6"/>
  <c r="E5" i="6"/>
  <c r="E6" i="6"/>
  <c r="E4" i="6"/>
  <c r="E18" i="41"/>
  <c r="E22" i="41" s="1"/>
  <c r="D22" i="41"/>
  <c r="E12" i="41"/>
  <c r="E14" i="41" s="1"/>
  <c r="E8" i="41"/>
  <c r="D8" i="41"/>
  <c r="D1244" i="52"/>
  <c r="F301" i="52"/>
  <c r="F132" i="52"/>
  <c r="E1244" i="52"/>
  <c r="G1244" i="52"/>
  <c r="H1244" i="52"/>
  <c r="F1241" i="52" a="1"/>
  <c r="F1241" i="52" s="1"/>
  <c r="F1215" i="52" a="1"/>
  <c r="F1215" i="52" s="1"/>
  <c r="F1202" i="52" a="1"/>
  <c r="F1202" i="52" s="1"/>
  <c r="F1189" i="52" a="1"/>
  <c r="F1189" i="52" s="1"/>
  <c r="F1176" i="52" a="1"/>
  <c r="F1176" i="52" s="1"/>
  <c r="F1163" i="52" a="1"/>
  <c r="F1163" i="52" s="1"/>
  <c r="F1150" i="52" a="1"/>
  <c r="F1150" i="52" s="1"/>
  <c r="F1137" i="52" a="1"/>
  <c r="F1137" i="52" s="1"/>
  <c r="F1124" i="52" a="1"/>
  <c r="F1124" i="52" s="1"/>
  <c r="F1111" i="52" a="1"/>
  <c r="F1111" i="52" s="1"/>
  <c r="F1098" i="52" a="1"/>
  <c r="F1098" i="52" s="1"/>
  <c r="F1085" i="52" a="1"/>
  <c r="F1085" i="52" s="1"/>
  <c r="F1072" i="52" a="1"/>
  <c r="F1072" i="52" s="1"/>
  <c r="F1059" i="52" a="1"/>
  <c r="F1059" i="52" s="1"/>
  <c r="F1046" i="52" a="1"/>
  <c r="F1046" i="52" s="1"/>
  <c r="F1033" i="52" a="1"/>
  <c r="F1033" i="52" s="1"/>
  <c r="F1020" i="52" a="1"/>
  <c r="F1020" i="52" s="1"/>
  <c r="F1007" i="52" a="1"/>
  <c r="F1007" i="52" s="1"/>
  <c r="F994" i="52" a="1"/>
  <c r="F994" i="52" s="1"/>
  <c r="F981" i="52" a="1"/>
  <c r="F981" i="52" s="1"/>
  <c r="F968" i="52" a="1"/>
  <c r="F968" i="52" s="1"/>
  <c r="F955" i="52" a="1"/>
  <c r="F955" i="52" s="1"/>
  <c r="F942" i="52" a="1"/>
  <c r="F942" i="52" s="1"/>
  <c r="F929" i="52" a="1"/>
  <c r="F929" i="52" s="1"/>
  <c r="F916" i="52" a="1"/>
  <c r="F916" i="52" s="1"/>
  <c r="F903" i="52" a="1"/>
  <c r="F903" i="52" s="1"/>
  <c r="F890" i="52" a="1"/>
  <c r="F890" i="52" s="1"/>
  <c r="F877" i="52" a="1"/>
  <c r="F877" i="52" s="1"/>
  <c r="F864" i="52" a="1"/>
  <c r="F864" i="52" s="1"/>
  <c r="F851" i="52" a="1"/>
  <c r="F851" i="52" s="1"/>
  <c r="F838" i="52" a="1"/>
  <c r="F838" i="52" s="1"/>
  <c r="F825" i="52" a="1"/>
  <c r="F825" i="52" s="1"/>
  <c r="F812" i="52" a="1"/>
  <c r="F812" i="52" s="1"/>
  <c r="F799" i="52" a="1"/>
  <c r="F799" i="52" s="1"/>
  <c r="F786" i="52" a="1"/>
  <c r="F786" i="52" s="1"/>
  <c r="F773" i="52" a="1"/>
  <c r="F773" i="52" s="1"/>
  <c r="F760" i="52" a="1"/>
  <c r="F760" i="52" s="1"/>
  <c r="F747" i="52" a="1"/>
  <c r="F747" i="52" s="1"/>
  <c r="F734" i="52" a="1"/>
  <c r="F734" i="52" s="1"/>
  <c r="F721" i="52" a="1"/>
  <c r="F721" i="52" s="1"/>
  <c r="F708" i="52" a="1"/>
  <c r="F708" i="52" s="1"/>
  <c r="F695" i="52" a="1"/>
  <c r="F695" i="52" s="1"/>
  <c r="F682" i="52" a="1"/>
  <c r="F682" i="52" s="1"/>
  <c r="F669" i="52" a="1"/>
  <c r="F669" i="52" s="1"/>
  <c r="F656" i="52" a="1"/>
  <c r="F656" i="52" s="1"/>
  <c r="F643" i="52" a="1"/>
  <c r="F643" i="52" s="1"/>
  <c r="F630" i="52" a="1"/>
  <c r="F630" i="52" s="1"/>
  <c r="F616" i="52" a="1"/>
  <c r="F616" i="52" s="1"/>
  <c r="F603" i="52" a="1"/>
  <c r="F603" i="52" s="1"/>
  <c r="F590" i="52" a="1"/>
  <c r="F590" i="52" s="1"/>
  <c r="F573" i="52" a="1"/>
  <c r="F573" i="52" s="1"/>
  <c r="F560" i="52" a="1"/>
  <c r="F560" i="52" s="1"/>
  <c r="F547" i="52" a="1"/>
  <c r="F547" i="52" s="1"/>
  <c r="F534" i="52" a="1"/>
  <c r="F534" i="52" s="1"/>
  <c r="F521" i="52" a="1"/>
  <c r="F521" i="52" s="1"/>
  <c r="F508" i="52" a="1"/>
  <c r="F508" i="52" s="1"/>
  <c r="F495" i="52" a="1"/>
  <c r="F495" i="52" s="1"/>
  <c r="F482" i="52" a="1"/>
  <c r="F482" i="52" s="1"/>
  <c r="F469" i="52" a="1"/>
  <c r="F469" i="52" s="1"/>
  <c r="F456" i="52" a="1"/>
  <c r="F456" i="52" s="1"/>
  <c r="F444" i="52" a="1"/>
  <c r="F444" i="52" s="1"/>
  <c r="F431" i="52" a="1"/>
  <c r="F431" i="52" s="1"/>
  <c r="F418" i="52" a="1"/>
  <c r="F418" i="52" s="1"/>
  <c r="F405" i="52" a="1"/>
  <c r="F405" i="52" s="1"/>
  <c r="F392" i="52" a="1"/>
  <c r="F392" i="52" s="1"/>
  <c r="F379" i="52" a="1"/>
  <c r="F379" i="52" s="1"/>
  <c r="F366" i="52" a="1"/>
  <c r="F366" i="52" s="1"/>
  <c r="F353" i="52" a="1"/>
  <c r="F353" i="52" s="1"/>
  <c r="F340" i="52" a="1"/>
  <c r="F340" i="52" s="1"/>
  <c r="F327" i="52" a="1"/>
  <c r="F327" i="52" s="1"/>
  <c r="F314" i="52" a="1"/>
  <c r="F314" i="52" s="1"/>
  <c r="F288" i="52" a="1"/>
  <c r="F288" i="52" s="1"/>
  <c r="F275" i="52" a="1"/>
  <c r="F275" i="52" s="1"/>
  <c r="F262" i="52" a="1"/>
  <c r="F262" i="52" s="1"/>
  <c r="F249" i="52" a="1"/>
  <c r="F249" i="52" s="1"/>
  <c r="F236" i="52" a="1"/>
  <c r="F236" i="52" s="1"/>
  <c r="F223" i="52" a="1"/>
  <c r="F223" i="52" s="1"/>
  <c r="F210" i="52" a="1"/>
  <c r="F210" i="52" s="1"/>
  <c r="F197" i="52" a="1"/>
  <c r="F197" i="52" s="1"/>
  <c r="F184" i="52" a="1"/>
  <c r="F184" i="52" s="1"/>
  <c r="F171" i="52" a="1"/>
  <c r="F171" i="52" s="1"/>
  <c r="F158" i="52" a="1"/>
  <c r="F158" i="52" s="1"/>
  <c r="F145" i="52" a="1"/>
  <c r="F145" i="52" s="1"/>
  <c r="F118" i="52" a="1"/>
  <c r="F118" i="52" s="1"/>
  <c r="F104" i="52" a="1"/>
  <c r="F104" i="52" s="1"/>
  <c r="F91" i="52" a="1"/>
  <c r="F91" i="52" s="1"/>
  <c r="F78" i="52" a="1"/>
  <c r="F78" i="52" s="1"/>
  <c r="F65" i="52" a="1"/>
  <c r="F65" i="52" s="1"/>
  <c r="F52" i="52" a="1"/>
  <c r="F52" i="52" s="1"/>
  <c r="F39" i="52" a="1"/>
  <c r="F39" i="52" s="1"/>
  <c r="F26" i="52" a="1"/>
  <c r="F26" i="52" s="1"/>
  <c r="F13" i="52" a="1"/>
  <c r="F13" i="52" s="1"/>
  <c r="D51" i="49"/>
  <c r="D34" i="4" s="1"/>
  <c r="D49" i="20"/>
  <c r="D33" i="4" s="1"/>
  <c r="D25" i="20"/>
  <c r="D28" i="4" s="1"/>
  <c r="D20" i="4"/>
  <c r="E23" i="12"/>
  <c r="D23" i="12"/>
  <c r="D14" i="4" s="1"/>
  <c r="E24" i="41" l="1"/>
  <c r="D39" i="4"/>
  <c r="E49" i="6"/>
  <c r="G45" i="4"/>
  <c r="F88" i="2" s="1"/>
  <c r="F1244" i="52"/>
  <c r="D61" i="2"/>
  <c r="I856" i="53" l="1"/>
  <c r="I857" i="53"/>
  <c r="I852" i="53"/>
  <c r="I851" i="53"/>
  <c r="I762" i="53"/>
  <c r="I761" i="53"/>
  <c r="I725" i="53"/>
  <c r="I724" i="53"/>
  <c r="I636" i="53"/>
  <c r="I634" i="53"/>
  <c r="I557" i="53"/>
  <c r="I442" i="53"/>
  <c r="I537" i="53"/>
  <c r="I536" i="53"/>
  <c r="I535" i="53"/>
  <c r="I528" i="53"/>
  <c r="I525" i="53"/>
  <c r="I523" i="53"/>
  <c r="I519" i="53"/>
  <c r="I518" i="53"/>
  <c r="I502" i="53"/>
  <c r="I489" i="53"/>
  <c r="I465" i="53"/>
  <c r="I447" i="53"/>
  <c r="I444" i="53"/>
  <c r="I443" i="53"/>
  <c r="I434" i="53"/>
  <c r="I402" i="53"/>
  <c r="I399" i="53"/>
  <c r="I378" i="53"/>
  <c r="I379" i="53"/>
  <c r="H858" i="53"/>
  <c r="G858" i="53"/>
  <c r="F858" i="53"/>
  <c r="E858" i="53"/>
  <c r="D858" i="53"/>
  <c r="D247" i="53"/>
  <c r="I858" i="53" l="1"/>
  <c r="D860" i="53"/>
  <c r="C1238" i="52"/>
  <c r="C1242" i="52" s="1"/>
  <c r="C1229" i="52"/>
  <c r="C1212" i="52"/>
  <c r="C1216" i="52" s="1"/>
  <c r="C1199" i="52"/>
  <c r="C1203" i="52" s="1"/>
  <c r="C1186" i="52"/>
  <c r="C1190" i="52" s="1"/>
  <c r="C1177" i="52"/>
  <c r="C1160" i="52"/>
  <c r="C1164" i="52" s="1"/>
  <c r="C1151" i="52"/>
  <c r="C1134" i="52"/>
  <c r="C1138" i="52" s="1"/>
  <c r="C1121" i="52"/>
  <c r="C1125" i="52" s="1"/>
  <c r="C1108" i="52"/>
  <c r="C1112" i="52" s="1"/>
  <c r="C1099" i="52"/>
  <c r="C1086" i="52"/>
  <c r="C1073" i="52"/>
  <c r="C1056" i="52"/>
  <c r="C1060" i="52" s="1"/>
  <c r="C1043" i="52"/>
  <c r="C1047" i="52" s="1"/>
  <c r="C1034" i="52"/>
  <c r="C1021" i="52"/>
  <c r="C1008" i="52"/>
  <c r="C995" i="52"/>
  <c r="C981" i="52"/>
  <c r="C980" i="52"/>
  <c r="C979" i="52"/>
  <c r="C978" i="52"/>
  <c r="C977" i="52"/>
  <c r="C976" i="52"/>
  <c r="C975" i="52"/>
  <c r="C974" i="52"/>
  <c r="C973" i="52"/>
  <c r="C972" i="52"/>
  <c r="C971" i="52"/>
  <c r="C970" i="52"/>
  <c r="C965" i="52"/>
  <c r="C969" i="52" s="1"/>
  <c r="C952" i="52"/>
  <c r="C956" i="52" s="1"/>
  <c r="C939" i="52"/>
  <c r="C943" i="52" s="1"/>
  <c r="C926" i="52"/>
  <c r="C930" i="52" s="1"/>
  <c r="C917" i="52"/>
  <c r="C904" i="52"/>
  <c r="C887" i="52"/>
  <c r="C891" i="52" s="1"/>
  <c r="C874" i="52"/>
  <c r="C878" i="52" s="1"/>
  <c r="C861" i="52"/>
  <c r="C865" i="52" s="1"/>
  <c r="C848" i="52"/>
  <c r="C852" i="52" s="1"/>
  <c r="C839" i="52"/>
  <c r="C826" i="52"/>
  <c r="C813" i="52"/>
  <c r="C800" i="52"/>
  <c r="C787" i="52"/>
  <c r="C774" i="52"/>
  <c r="C761" i="52"/>
  <c r="C748" i="52"/>
  <c r="C732" i="52"/>
  <c r="C735" i="52" s="1"/>
  <c r="C722" i="52"/>
  <c r="C709" i="52"/>
  <c r="C696" i="52"/>
  <c r="C679" i="52"/>
  <c r="C683" i="52" s="1"/>
  <c r="C666" i="52"/>
  <c r="C670" i="52" s="1"/>
  <c r="C653" i="52"/>
  <c r="C657" i="52" s="1"/>
  <c r="C640" i="52"/>
  <c r="C644" i="52" s="1"/>
  <c r="C626" i="52"/>
  <c r="C624" i="52"/>
  <c r="C618" i="52"/>
  <c r="C613" i="52"/>
  <c r="C617" i="52" s="1"/>
  <c r="C604" i="52"/>
  <c r="C587" i="52"/>
  <c r="C591" i="52" s="1"/>
  <c r="C578" i="52"/>
  <c r="C567" i="52"/>
  <c r="C574" i="52" s="1"/>
  <c r="C561" i="52"/>
  <c r="C548" i="52"/>
  <c r="C531" i="52"/>
  <c r="C535" i="52" s="1"/>
  <c r="C518" i="52"/>
  <c r="C522" i="52" s="1"/>
  <c r="C505" i="52"/>
  <c r="C509" i="52" s="1"/>
  <c r="C492" i="52"/>
  <c r="C496" i="52" s="1"/>
  <c r="C477" i="52"/>
  <c r="C483" i="52" s="1"/>
  <c r="C466" i="52"/>
  <c r="C470" i="52" s="1"/>
  <c r="C457" i="52"/>
  <c r="C445" i="52"/>
  <c r="C432" i="52"/>
  <c r="C415" i="52"/>
  <c r="C419" i="52" s="1"/>
  <c r="C402" i="52"/>
  <c r="C406" i="52" s="1"/>
  <c r="C393" i="52"/>
  <c r="C376" i="52"/>
  <c r="C380" i="52" s="1"/>
  <c r="C363" i="52"/>
  <c r="C367" i="52" s="1"/>
  <c r="C350" i="52"/>
  <c r="C354" i="52" s="1"/>
  <c r="C341" i="52"/>
  <c r="C323" i="52"/>
  <c r="C328" i="52" s="1"/>
  <c r="C315" i="52"/>
  <c r="C296" i="52"/>
  <c r="C295" i="52"/>
  <c r="C294" i="52"/>
  <c r="C293" i="52"/>
  <c r="C292" i="52"/>
  <c r="C291" i="52"/>
  <c r="C290" i="52"/>
  <c r="C289" i="52"/>
  <c r="C272" i="52"/>
  <c r="C276" i="52" s="1"/>
  <c r="C259" i="52"/>
  <c r="C263" i="52" s="1"/>
  <c r="C250" i="52"/>
  <c r="C233" i="52"/>
  <c r="C237" i="52" s="1"/>
  <c r="C220" i="52"/>
  <c r="C224" i="52" s="1"/>
  <c r="C207" i="52"/>
  <c r="C211" i="52" s="1"/>
  <c r="C198" i="52"/>
  <c r="C184" i="52"/>
  <c r="C183" i="52"/>
  <c r="C182" i="52"/>
  <c r="C181" i="52"/>
  <c r="C180" i="52"/>
  <c r="C168" i="52"/>
  <c r="C172" i="52" s="1"/>
  <c r="C155" i="52"/>
  <c r="C159" i="52" s="1"/>
  <c r="C146" i="52"/>
  <c r="C133" i="52"/>
  <c r="C115" i="52"/>
  <c r="C119" i="52" s="1"/>
  <c r="C106" i="52"/>
  <c r="C105" i="52"/>
  <c r="C88" i="52"/>
  <c r="C92" i="52" s="1"/>
  <c r="C79" i="52"/>
  <c r="C66" i="52"/>
  <c r="C49" i="52"/>
  <c r="C53" i="52" s="1"/>
  <c r="C40" i="52"/>
  <c r="C23" i="52"/>
  <c r="C24" i="52" s="1"/>
  <c r="C25" i="52" s="1"/>
  <c r="C26" i="52" s="1"/>
  <c r="C22" i="52"/>
  <c r="C14" i="52"/>
  <c r="C185" i="52" l="1"/>
  <c r="C27" i="52"/>
  <c r="C302" i="52"/>
  <c r="C631" i="52"/>
  <c r="C982" i="52"/>
  <c r="C1244" i="52" l="1"/>
  <c r="D55" i="2" l="1"/>
  <c r="D6" i="12" l="1"/>
  <c r="D31" i="12"/>
  <c r="D15" i="4" s="1"/>
  <c r="D16" i="12"/>
  <c r="D11" i="4" s="1"/>
  <c r="D9" i="7"/>
  <c r="D57" i="2" s="1"/>
  <c r="D29" i="7"/>
  <c r="D59" i="2" s="1"/>
  <c r="D83" i="2" l="1"/>
  <c r="F21" i="19" l="1"/>
  <c r="D25" i="4" s="1"/>
  <c r="D14" i="41" l="1"/>
  <c r="D24" i="41" s="1"/>
  <c r="F83" i="2" l="1"/>
  <c r="D35" i="11"/>
  <c r="D27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<sst xmlns="http://schemas.openxmlformats.org/spreadsheetml/2006/main" count="2673" uniqueCount="1253">
  <si>
    <t xml:space="preserve">מס. חשבון </t>
  </si>
  <si>
    <t xml:space="preserve">שם חשבון </t>
  </si>
  <si>
    <t xml:space="preserve"> </t>
  </si>
  <si>
    <t xml:space="preserve">ארנונה כללית </t>
  </si>
  <si>
    <t xml:space="preserve">תעודות ואישורים </t>
  </si>
  <si>
    <t xml:space="preserve">אישור תושב </t>
  </si>
  <si>
    <t xml:space="preserve">אגרת שלטים </t>
  </si>
  <si>
    <t xml:space="preserve">רשוי עסקים </t>
  </si>
  <si>
    <t xml:space="preserve">מענק כללי </t>
  </si>
  <si>
    <t>מענק משרד הפנים-חד פעמיים</t>
  </si>
  <si>
    <t xml:space="preserve">שימוש במזבלה עירונית </t>
  </si>
  <si>
    <t xml:space="preserve">פנוי פסולת מגורים </t>
  </si>
  <si>
    <t xml:space="preserve">אגרת רשיונות לכלבים </t>
  </si>
  <si>
    <t xml:space="preserve">השתתפות ממשלה במשא"ז </t>
  </si>
  <si>
    <t xml:space="preserve">כיסוי הוצ' מח' הנדסה </t>
  </si>
  <si>
    <t xml:space="preserve">אגרת רשיונות בניה </t>
  </si>
  <si>
    <t xml:space="preserve">החזר מחברות ביטוח </t>
  </si>
  <si>
    <t xml:space="preserve">הכנסות ממכירת ציוד </t>
  </si>
  <si>
    <t xml:space="preserve">הכנסות שונות </t>
  </si>
  <si>
    <t>הכנסות בעד שרותים הנדסיים</t>
  </si>
  <si>
    <t xml:space="preserve">אגרת מידע </t>
  </si>
  <si>
    <t xml:space="preserve">חוק חופש המידע </t>
  </si>
  <si>
    <t xml:space="preserve">פרוייקט מחשב לכל ילד </t>
  </si>
  <si>
    <t>הכנסות מדוכנים-עצמאות קלי</t>
  </si>
  <si>
    <t xml:space="preserve">הכנסות מעמלת עו"ד </t>
  </si>
  <si>
    <t xml:space="preserve">הכנסות תרבות ערכי </t>
  </si>
  <si>
    <t xml:space="preserve">מבטחים-השתת' פנסיה </t>
  </si>
  <si>
    <t>הכנ' מהשבת כספים ביקורת א</t>
  </si>
  <si>
    <t xml:space="preserve">השאלת ציוד פארק המשפחה </t>
  </si>
  <si>
    <t xml:space="preserve">החזר הלוואת בעלים </t>
  </si>
  <si>
    <t xml:space="preserve">דוחות שיטור עירוני </t>
  </si>
  <si>
    <t xml:space="preserve">קנסות בתי משפט </t>
  </si>
  <si>
    <t xml:space="preserve">גזרי דין </t>
  </si>
  <si>
    <t>הכנסות הזנה- השתתפות הורי</t>
  </si>
  <si>
    <t>רישום מקביל גננות ע.מדינה</t>
  </si>
  <si>
    <t xml:space="preserve">דמי קייטנות </t>
  </si>
  <si>
    <t xml:space="preserve">הכנסות כלליות </t>
  </si>
  <si>
    <t xml:space="preserve">פעילות קיץ לנוער </t>
  </si>
  <si>
    <t xml:space="preserve">תכנית ניצנים </t>
  </si>
  <si>
    <t xml:space="preserve">אגרות תלמידי חוץ </t>
  </si>
  <si>
    <t xml:space="preserve">סל תלמיד עולה יסודי </t>
  </si>
  <si>
    <t xml:space="preserve">ביה"ס ניהול עצמי </t>
  </si>
  <si>
    <t xml:space="preserve">אגרת שיכפול </t>
  </si>
  <si>
    <t xml:space="preserve">מועדוניות ברשות </t>
  </si>
  <si>
    <t xml:space="preserve">הכנסות מחווה חקלאית </t>
  </si>
  <si>
    <t xml:space="preserve">הכנסות חווה חקלאית </t>
  </si>
  <si>
    <t xml:space="preserve">חינוך על יסודי </t>
  </si>
  <si>
    <t>הש.הממשלה בשרות פס.חינוכי</t>
  </si>
  <si>
    <t xml:space="preserve">השתת.הממשלה לקבסים </t>
  </si>
  <si>
    <t xml:space="preserve">השת ממשלה הסעות </t>
  </si>
  <si>
    <t xml:space="preserve">הכנסות מרכז ברוך </t>
  </si>
  <si>
    <t xml:space="preserve">השתתפות ממשלה בסל ספורט </t>
  </si>
  <si>
    <t xml:space="preserve">הכנסות אגף ספורט עירוני </t>
  </si>
  <si>
    <t xml:space="preserve">מכירת כרטיסים פסטיבל </t>
  </si>
  <si>
    <t xml:space="preserve">תרומות וחסויות פסטיבל </t>
  </si>
  <si>
    <t xml:space="preserve">הכנסות מספריות </t>
  </si>
  <si>
    <t xml:space="preserve">הכנסות מזאפה </t>
  </si>
  <si>
    <t xml:space="preserve">שכ"ל בקונסרבטוריון </t>
  </si>
  <si>
    <t>השת.הממשלה בחינוך מוזיקלי</t>
  </si>
  <si>
    <t xml:space="preserve">שכר עובדי מחלקה </t>
  </si>
  <si>
    <t xml:space="preserve">כ"א לחינוך המיוחד </t>
  </si>
  <si>
    <t xml:space="preserve">נושמים לרווחה-כ"א </t>
  </si>
  <si>
    <t xml:space="preserve">מקלטים לנשים מוכות </t>
  </si>
  <si>
    <t xml:space="preserve">סיוע למשפחות עם ילדי </t>
  </si>
  <si>
    <t xml:space="preserve">מסגרת ארציות לדרי רחוב </t>
  </si>
  <si>
    <t xml:space="preserve">שיחות רווחה </t>
  </si>
  <si>
    <t xml:space="preserve">תחנות לטפול במשפחה </t>
  </si>
  <si>
    <t xml:space="preserve">מ.טיפול באלימות ילדי חוץ </t>
  </si>
  <si>
    <t xml:space="preserve">תכנית למניעת אלימת </t>
  </si>
  <si>
    <t xml:space="preserve">מרכזי טיפול באלימות </t>
  </si>
  <si>
    <t xml:space="preserve">ת.לאומית נוער וצעירים </t>
  </si>
  <si>
    <t xml:space="preserve">יתד- סל גמיש </t>
  </si>
  <si>
    <t>תכנית לאומית תכנית ייחודי</t>
  </si>
  <si>
    <t xml:space="preserve">מרכז עוצמה </t>
  </si>
  <si>
    <t xml:space="preserve">סדנאות למשפחה </t>
  </si>
  <si>
    <t xml:space="preserve">שכ"ל פנימיות </t>
  </si>
  <si>
    <t xml:space="preserve">השתתפות בבית אבות </t>
  </si>
  <si>
    <t xml:space="preserve">השתתפות במועדוניות-רווחה </t>
  </si>
  <si>
    <t xml:space="preserve">טיפול במשפחות אומנה </t>
  </si>
  <si>
    <t xml:space="preserve">יצירת קשר הורים-ילדי </t>
  </si>
  <si>
    <t xml:space="preserve">טיפול בילד בקהילה </t>
  </si>
  <si>
    <t xml:space="preserve">מועדוניות משותפות </t>
  </si>
  <si>
    <t xml:space="preserve">טיפול בפגיעות מיניות </t>
  </si>
  <si>
    <t xml:space="preserve">פגיעות מניות בגירים </t>
  </si>
  <si>
    <t xml:space="preserve">אחזקת ילדים בפנימיות </t>
  </si>
  <si>
    <t xml:space="preserve">תכנית עם הפנים לקהילה </t>
  </si>
  <si>
    <t xml:space="preserve">ילדים במעונות יום </t>
  </si>
  <si>
    <t xml:space="preserve">אחזקה במעונות- א.ותיק </t>
  </si>
  <si>
    <t xml:space="preserve">סיוע לניצולי שואה </t>
  </si>
  <si>
    <t xml:space="preserve">מועדונים - א.ותיק </t>
  </si>
  <si>
    <t xml:space="preserve">טיפול בקהילה- א.ותיק </t>
  </si>
  <si>
    <t xml:space="preserve">שכונה תומכת </t>
  </si>
  <si>
    <t xml:space="preserve">שרותים לניצולי שואה </t>
  </si>
  <si>
    <t xml:space="preserve">נופשון לזקן </t>
  </si>
  <si>
    <t xml:space="preserve">מיצוי זכויות לניצולי </t>
  </si>
  <si>
    <t xml:space="preserve">הפוגת בדידות בסופ"ש </t>
  </si>
  <si>
    <t xml:space="preserve">תוכנית למרותקי בית </t>
  </si>
  <si>
    <t xml:space="preserve">מסגרות יומיות א.ותיק </t>
  </si>
  <si>
    <t xml:space="preserve">מועדונים מועשרים </t>
  </si>
  <si>
    <t xml:space="preserve">נופשונים </t>
  </si>
  <si>
    <t xml:space="preserve">נופשונים וקייטנות </t>
  </si>
  <si>
    <t xml:space="preserve">מ.יום שיקומי לאוטיסט </t>
  </si>
  <si>
    <t xml:space="preserve">סביבה תומכת </t>
  </si>
  <si>
    <t xml:space="preserve">שיקום בקהילה - מוגבלויות </t>
  </si>
  <si>
    <t xml:space="preserve">משפחות אומנה מש"ה </t>
  </si>
  <si>
    <t xml:space="preserve">משפחות אומנה לשיקום </t>
  </si>
  <si>
    <t xml:space="preserve">סדור במעונות - מש"ה </t>
  </si>
  <si>
    <t xml:space="preserve">החזקת אוטיסטים במסגרת </t>
  </si>
  <si>
    <t xml:space="preserve">טיפול בהורים ובילדיה </t>
  </si>
  <si>
    <t xml:space="preserve">מועדוניות לילדים </t>
  </si>
  <si>
    <t xml:space="preserve">מ.יום ותעסוקה לבוגרי </t>
  </si>
  <si>
    <t xml:space="preserve">הסעות לאוטיסטים </t>
  </si>
  <si>
    <t xml:space="preserve">החזר ליווי הסעות רווחה </t>
  </si>
  <si>
    <t xml:space="preserve">הפעלת מעונות ממשלתיי </t>
  </si>
  <si>
    <t xml:space="preserve">מ.יום אימוני- מש"ה </t>
  </si>
  <si>
    <t xml:space="preserve">מ.יום טיפולי - מש"ה </t>
  </si>
  <si>
    <t xml:space="preserve">מעשי"ם </t>
  </si>
  <si>
    <t xml:space="preserve">הסעות למ.יום -מש"ה </t>
  </si>
  <si>
    <t xml:space="preserve">נופשונים - מש"ה </t>
  </si>
  <si>
    <t xml:space="preserve">הדרכת עיוור ובני ביתו </t>
  </si>
  <si>
    <t xml:space="preserve">אחזקת נכים בפנימיות </t>
  </si>
  <si>
    <t xml:space="preserve">אחזקת נכים במש. אומנה </t>
  </si>
  <si>
    <t xml:space="preserve">תעסוקה מוגנת למוגבל </t>
  </si>
  <si>
    <t xml:space="preserve">מס. יום לילד המוגבל </t>
  </si>
  <si>
    <t xml:space="preserve">מ. יום שיקומי לנכים </t>
  </si>
  <si>
    <t xml:space="preserve">ליווי למ.יום שיקומי </t>
  </si>
  <si>
    <t xml:space="preserve">תוכניות לילד החריג </t>
  </si>
  <si>
    <t xml:space="preserve">מועדון חברתי לבוגרים </t>
  </si>
  <si>
    <t xml:space="preserve">קהילה תומכת לנכים </t>
  </si>
  <si>
    <t xml:space="preserve">תעסוקה נתמכת לנכים </t>
  </si>
  <si>
    <t xml:space="preserve">תוכניות תמיכה בקהילה </t>
  </si>
  <si>
    <t xml:space="preserve">הסעות מרכז יום שיקומי </t>
  </si>
  <si>
    <t xml:space="preserve">נכים קשים בקהילה </t>
  </si>
  <si>
    <t xml:space="preserve">שיקום נכים בקהילה </t>
  </si>
  <si>
    <t xml:space="preserve">טיפול בנוער ובצעירים </t>
  </si>
  <si>
    <t xml:space="preserve">בתים חמים לנערות </t>
  </si>
  <si>
    <t xml:space="preserve">טיפול בנערות במצוקה </t>
  </si>
  <si>
    <t xml:space="preserve">נוער וצעי. חוץ ביתי </t>
  </si>
  <si>
    <t xml:space="preserve">בדיקות סמים וסיוע </t>
  </si>
  <si>
    <t xml:space="preserve">סמים טיפול בקהילה </t>
  </si>
  <si>
    <t xml:space="preserve">הערכות לחירום </t>
  </si>
  <si>
    <t xml:space="preserve">פע' התנדבות בקהילה </t>
  </si>
  <si>
    <t xml:space="preserve">לשכות ייעוץ לאזרח </t>
  </si>
  <si>
    <t xml:space="preserve">מעשי"ם -עולים </t>
  </si>
  <si>
    <t xml:space="preserve">משפחות עולים במצוקה </t>
  </si>
  <si>
    <t xml:space="preserve">טיפול אובדן ושכול </t>
  </si>
  <si>
    <t xml:space="preserve">.טיפ.באלימות עולים </t>
  </si>
  <si>
    <t xml:space="preserve">טיפול בעולים - א.ותיק </t>
  </si>
  <si>
    <t xml:space="preserve">עובדי שכונה עולים </t>
  </si>
  <si>
    <t xml:space="preserve">מעונות יום עולים </t>
  </si>
  <si>
    <t xml:space="preserve">מועדון לעולים-העשרה </t>
  </si>
  <si>
    <t xml:space="preserve">אגרות מים </t>
  </si>
  <si>
    <t>הכנסות שכ"ד משרדים ועסקים</t>
  </si>
  <si>
    <t xml:space="preserve">שכר דירה אודיטוריום </t>
  </si>
  <si>
    <t xml:space="preserve">הכנסות מרשות החניה </t>
  </si>
  <si>
    <t xml:space="preserve">אגרת ביוב </t>
  </si>
  <si>
    <t xml:space="preserve">היטל ביוב </t>
  </si>
  <si>
    <t xml:space="preserve">הכנסות מריבית ודוידנד </t>
  </si>
  <si>
    <t xml:space="preserve">העברה מקרנות </t>
  </si>
  <si>
    <t xml:space="preserve">הכנסות שנים קודמות </t>
  </si>
  <si>
    <t xml:space="preserve">עודף מצטבר </t>
  </si>
  <si>
    <t xml:space="preserve">ציוד משרדי לשכת ראש העיר </t>
  </si>
  <si>
    <t xml:space="preserve">כיבוד לשכת ראש העיר </t>
  </si>
  <si>
    <t xml:space="preserve">דלק ושמנים לשכת ראש העיר </t>
  </si>
  <si>
    <t xml:space="preserve">תיקוני רכב לשכת ראש העיר </t>
  </si>
  <si>
    <t xml:space="preserve">פרסומים לשכת ראש העיר </t>
  </si>
  <si>
    <t xml:space="preserve">קופה קטנה סגן ראש העיר </t>
  </si>
  <si>
    <t xml:space="preserve">קופה קטנה פיתוח דמוגרפי </t>
  </si>
  <si>
    <t xml:space="preserve">ציוד משרדי מבקר העיריה </t>
  </si>
  <si>
    <t xml:space="preserve">דלק ושמנים מבקר העיריה </t>
  </si>
  <si>
    <t xml:space="preserve">תיקוני רכב מבקר העיריה </t>
  </si>
  <si>
    <t>שכירות ליסינג מבקר העיריה</t>
  </si>
  <si>
    <t xml:space="preserve">קופה קטנה מבקר העיריה </t>
  </si>
  <si>
    <t xml:space="preserve">ציוד משרדי מינהל כללי </t>
  </si>
  <si>
    <t xml:space="preserve">כיבוד מינהל כללי </t>
  </si>
  <si>
    <t xml:space="preserve">ספרים ועיתונים </t>
  </si>
  <si>
    <t xml:space="preserve">דלק ושמנים מינהל כללי </t>
  </si>
  <si>
    <t xml:space="preserve">תיקוני רכב מינהל כללי </t>
  </si>
  <si>
    <t xml:space="preserve">רישוי ובטוח מינהל כללי </t>
  </si>
  <si>
    <t xml:space="preserve">שכירות ליסינג מינהל כללי </t>
  </si>
  <si>
    <t xml:space="preserve">בולים טלפון ומברקים </t>
  </si>
  <si>
    <t xml:space="preserve">קופה קטנה פרויקטים </t>
  </si>
  <si>
    <t xml:space="preserve">קופה קטנה מינהל כללי </t>
  </si>
  <si>
    <t xml:space="preserve">קופה קטנה יד לבנים </t>
  </si>
  <si>
    <t xml:space="preserve">או"ש הדרכה ולימודים </t>
  </si>
  <si>
    <t xml:space="preserve">חשמל ומים בית משפט </t>
  </si>
  <si>
    <t xml:space="preserve">כיבוד יועץ משפטי </t>
  </si>
  <si>
    <t xml:space="preserve">ספרים ועתונים </t>
  </si>
  <si>
    <t xml:space="preserve">דלק ושמנים יועץ משפטי </t>
  </si>
  <si>
    <t xml:space="preserve">תיקוני רכב יועץ משפטי </t>
  </si>
  <si>
    <t xml:space="preserve">שכירות ליסינג יועץ משפטי </t>
  </si>
  <si>
    <t xml:space="preserve">הוצ' קבלניות ליעוץ משפטי </t>
  </si>
  <si>
    <t xml:space="preserve">ציוד משרדי יועץ משפטי </t>
  </si>
  <si>
    <t xml:space="preserve">ציוד משרדי גזברות </t>
  </si>
  <si>
    <t xml:space="preserve">כיבוד גזברות </t>
  </si>
  <si>
    <t xml:space="preserve">דלק ושמנים גזברות </t>
  </si>
  <si>
    <t xml:space="preserve">תיקוני רכב גזברות </t>
  </si>
  <si>
    <t xml:space="preserve">שכירות ליסינג גזברות </t>
  </si>
  <si>
    <t xml:space="preserve">ציוד משרדי הנהלת חשבונות </t>
  </si>
  <si>
    <t xml:space="preserve">כיבוד הנהלת חשבונות </t>
  </si>
  <si>
    <t xml:space="preserve">מיחשוב מערכות ליבה הנה"ח </t>
  </si>
  <si>
    <t xml:space="preserve">ציוד משרדי גביה </t>
  </si>
  <si>
    <t xml:space="preserve">כיבוד גביה </t>
  </si>
  <si>
    <t xml:space="preserve">תשלומים קרן הלוואה </t>
  </si>
  <si>
    <t xml:space="preserve">תשלומים ריבית הלוואה </t>
  </si>
  <si>
    <t xml:space="preserve">תשלומים הצמדה הלוואה </t>
  </si>
  <si>
    <t xml:space="preserve">מיחזור מלוות </t>
  </si>
  <si>
    <t xml:space="preserve">ציוד משרדי תברואה </t>
  </si>
  <si>
    <t xml:space="preserve">כיבוד תברואה </t>
  </si>
  <si>
    <t xml:space="preserve">דלק ושמנים תברואה </t>
  </si>
  <si>
    <t xml:space="preserve">תיקוני רכב תברואה </t>
  </si>
  <si>
    <t xml:space="preserve">רשוי וביטוח תברואה </t>
  </si>
  <si>
    <t xml:space="preserve">שכירות ליסינג תברואה </t>
  </si>
  <si>
    <t xml:space="preserve">קופה קטנה שפ"ע </t>
  </si>
  <si>
    <t xml:space="preserve">תיקונים מח' רכב </t>
  </si>
  <si>
    <t xml:space="preserve">דלק ושמנים נקיון </t>
  </si>
  <si>
    <t xml:space="preserve">תיקוני רכב מח' נקיון </t>
  </si>
  <si>
    <t xml:space="preserve">רשוי וביטוח נקיון </t>
  </si>
  <si>
    <t xml:space="preserve">שכירות ליסינג נקיון </t>
  </si>
  <si>
    <t xml:space="preserve">הוצאות אחזקה מח' נקיון </t>
  </si>
  <si>
    <t xml:space="preserve">נקיון בתי ספר </t>
  </si>
  <si>
    <t xml:space="preserve">דלק ושמנים אשפה </t>
  </si>
  <si>
    <t xml:space="preserve">תיקונים טרקטורים </t>
  </si>
  <si>
    <t xml:space="preserve">רישוי וביטוח אשפה </t>
  </si>
  <si>
    <t xml:space="preserve">תיקוני רכב תחנת מעבר </t>
  </si>
  <si>
    <t xml:space="preserve">חשמל ומים מחסן רעלים </t>
  </si>
  <si>
    <t xml:space="preserve">ציוד משרדי בטחון </t>
  </si>
  <si>
    <t xml:space="preserve">דלק ושמנים בטחון </t>
  </si>
  <si>
    <t xml:space="preserve">תיקוני רכב בטחון </t>
  </si>
  <si>
    <t xml:space="preserve">רישוי ובטוח בטחון </t>
  </si>
  <si>
    <t xml:space="preserve">שכירות ליסינג בטחון </t>
  </si>
  <si>
    <t xml:space="preserve">הוצאות שוטפות מח' ביטחון </t>
  </si>
  <si>
    <t xml:space="preserve">קופה קטנה בטחון </t>
  </si>
  <si>
    <t xml:space="preserve">הוצאות משא"ז </t>
  </si>
  <si>
    <t xml:space="preserve">הוצאות שוטפות- הג"א </t>
  </si>
  <si>
    <t xml:space="preserve">כיבוי אש </t>
  </si>
  <si>
    <t xml:space="preserve">אחזקת מחסן פס"ח </t>
  </si>
  <si>
    <t xml:space="preserve">חשמל ומים </t>
  </si>
  <si>
    <t xml:space="preserve">ציוד משרדי הנדסה </t>
  </si>
  <si>
    <t xml:space="preserve">כיבוד הנדסה </t>
  </si>
  <si>
    <t xml:space="preserve">תיקוני רכב הנדסה </t>
  </si>
  <si>
    <t xml:space="preserve">הוצאות מח' הנדסה </t>
  </si>
  <si>
    <t xml:space="preserve">קופה קטנה הנדסה </t>
  </si>
  <si>
    <t>קופה קטנה ועדה מקומית לבנ</t>
  </si>
  <si>
    <t xml:space="preserve">ציוד משרדי ועדת בנין עיר </t>
  </si>
  <si>
    <t xml:space="preserve">דלק ושמנים הנדסה </t>
  </si>
  <si>
    <t xml:space="preserve">שכירות ליסינג הנדסה </t>
  </si>
  <si>
    <t xml:space="preserve">תיקוני רכב תשתיות </t>
  </si>
  <si>
    <t xml:space="preserve">שכירות ליסינג תשתיות </t>
  </si>
  <si>
    <t xml:space="preserve">אחזקת רמזורים </t>
  </si>
  <si>
    <t xml:space="preserve">ציוד משרדי גינון </t>
  </si>
  <si>
    <t xml:space="preserve">דלק ושמנים גינון </t>
  </si>
  <si>
    <t xml:space="preserve">תיקוני רכב גינון </t>
  </si>
  <si>
    <t xml:space="preserve">רישוי ובטוח גינון </t>
  </si>
  <si>
    <t xml:space="preserve">שכירות ליסינג גינון </t>
  </si>
  <si>
    <t xml:space="preserve">הוצאות מים גינון </t>
  </si>
  <si>
    <t xml:space="preserve">יום העצמאות </t>
  </si>
  <si>
    <t xml:space="preserve">ארועים עירוניים </t>
  </si>
  <si>
    <t xml:space="preserve">ארוח משלחות </t>
  </si>
  <si>
    <t xml:space="preserve">מוקד עירוני </t>
  </si>
  <si>
    <t xml:space="preserve">קופה קטנה מוקד עירוני </t>
  </si>
  <si>
    <t xml:space="preserve">שרות לתושב </t>
  </si>
  <si>
    <t xml:space="preserve">קופה קטנה שרות לתושב </t>
  </si>
  <si>
    <t xml:space="preserve">קופה קטנה ועד עובדים </t>
  </si>
  <si>
    <t xml:space="preserve">ועד עובדים </t>
  </si>
  <si>
    <t xml:space="preserve">ביטוח- השתתפות עצמית </t>
  </si>
  <si>
    <t xml:space="preserve">ביטוח-פרמיה </t>
  </si>
  <si>
    <t xml:space="preserve">פיתוח כלכלי </t>
  </si>
  <si>
    <t xml:space="preserve">ציוד משרדי גישור </t>
  </si>
  <si>
    <t xml:space="preserve">גישור </t>
  </si>
  <si>
    <t xml:space="preserve">מינהלת תעשיה </t>
  </si>
  <si>
    <t xml:space="preserve">מינהלת צעירים </t>
  </si>
  <si>
    <t xml:space="preserve">ציוד משרדי בית משפט </t>
  </si>
  <si>
    <t xml:space="preserve">ציוד משרדי חינוך </t>
  </si>
  <si>
    <t xml:space="preserve">דלק ושמנים חינוך </t>
  </si>
  <si>
    <t xml:space="preserve">תיקוני רכב חינוך </t>
  </si>
  <si>
    <t xml:space="preserve">שכירות ליסינג חינוך </t>
  </si>
  <si>
    <t xml:space="preserve">קופה קטנה חינוך </t>
  </si>
  <si>
    <t xml:space="preserve">הוצאות גני ילדים </t>
  </si>
  <si>
    <t xml:space="preserve">חשמל ומים גני ילדים </t>
  </si>
  <si>
    <t xml:space="preserve">ויצו ונעמת </t>
  </si>
  <si>
    <t xml:space="preserve">מרכז מדע ודעת </t>
  </si>
  <si>
    <t xml:space="preserve">ביה"ס כלנית ניהול עצמי </t>
  </si>
  <si>
    <t xml:space="preserve">חשמל ומים ביה"ס עמיחי </t>
  </si>
  <si>
    <t xml:space="preserve">חשמל ומים ביה"ס רקפת </t>
  </si>
  <si>
    <t xml:space="preserve">ביה"ס רקפת ניהול עצמי </t>
  </si>
  <si>
    <t xml:space="preserve">ביה"ס הרעות ניהול עצמי </t>
  </si>
  <si>
    <t xml:space="preserve">חשמל ומים ביה"ס הדקל </t>
  </si>
  <si>
    <t xml:space="preserve">ביה"ס הדקל ניהול עצמי </t>
  </si>
  <si>
    <t xml:space="preserve">ביה"ס מוריה ניהול עצמי </t>
  </si>
  <si>
    <t xml:space="preserve">חשמל ומים ניצנים </t>
  </si>
  <si>
    <t xml:space="preserve">ביה"ס ניצנים ניהול עצמי </t>
  </si>
  <si>
    <t xml:space="preserve">ביה"ס אופק ניהול עצמי </t>
  </si>
  <si>
    <t xml:space="preserve">ביה"ס איריסים ניהול עצמי </t>
  </si>
  <si>
    <t xml:space="preserve">ציוד משרדי חווה חקלאית </t>
  </si>
  <si>
    <t xml:space="preserve">חשמל ומים על יסודי </t>
  </si>
  <si>
    <t xml:space="preserve">חינוך על יסודי אמי"ת </t>
  </si>
  <si>
    <t xml:space="preserve">קופה קטנה מרכז פסג"ה </t>
  </si>
  <si>
    <t xml:space="preserve">חשמל ומים שרות פסיכולוגי </t>
  </si>
  <si>
    <t>ציוד משרדי שרות פסיכולוגי</t>
  </si>
  <si>
    <t xml:space="preserve">הוצאות להדרכת פסיכולוגים </t>
  </si>
  <si>
    <t xml:space="preserve">קופה קטנה שפ"י </t>
  </si>
  <si>
    <t xml:space="preserve">הסעות תלמידים </t>
  </si>
  <si>
    <t xml:space="preserve">רשוי וביטוח חינוך </t>
  </si>
  <si>
    <t xml:space="preserve">דלק ושמנים תרבות </t>
  </si>
  <si>
    <t xml:space="preserve">תיקוני רכב תרבות </t>
  </si>
  <si>
    <t xml:space="preserve">שכירות ליסינג תרבות </t>
  </si>
  <si>
    <t xml:space="preserve">פעולות תרבות לחיילים </t>
  </si>
  <si>
    <t xml:space="preserve">ציוד משרדי תרבות </t>
  </si>
  <si>
    <t xml:space="preserve">רשוי ובטוח תרבות </t>
  </si>
  <si>
    <t xml:space="preserve">הוצאות תרבות </t>
  </si>
  <si>
    <t xml:space="preserve">הוצאות מרכז ברוך </t>
  </si>
  <si>
    <t xml:space="preserve">קופה קטנה מרכז ברוך </t>
  </si>
  <si>
    <t xml:space="preserve">מרכז ברוך כנגד הפקדות </t>
  </si>
  <si>
    <t xml:space="preserve">הוצאות דיינר כנגד הפקדות </t>
  </si>
  <si>
    <t xml:space="preserve">חשמל ומים ספריה </t>
  </si>
  <si>
    <t xml:space="preserve">ציוד משרדי ספריה </t>
  </si>
  <si>
    <t xml:space="preserve">סיוע למתנ"ס תשלומי פרישה </t>
  </si>
  <si>
    <t xml:space="preserve">הסעות קונסרבטוריון </t>
  </si>
  <si>
    <t xml:space="preserve">ציוד משרדי קונסרבטוריון </t>
  </si>
  <si>
    <t xml:space="preserve">קופה קטנה קונסרבטוריון </t>
  </si>
  <si>
    <t xml:space="preserve">השתתפות בהיכל התרבות </t>
  </si>
  <si>
    <t xml:space="preserve">החזר הלוואה היכל התרבות </t>
  </si>
  <si>
    <t xml:space="preserve">פסטיבל תמיכה שנתית </t>
  </si>
  <si>
    <t xml:space="preserve">תמיכה במוסדות דת </t>
  </si>
  <si>
    <t xml:space="preserve">זאפה- תשלומים לאומנים </t>
  </si>
  <si>
    <t xml:space="preserve">ציוד משרדי קידום נוער </t>
  </si>
  <si>
    <t xml:space="preserve">רזרבה תנועות הנוער </t>
  </si>
  <si>
    <t xml:space="preserve">אגודות ספורט </t>
  </si>
  <si>
    <t xml:space="preserve">שרותי נט"ן/מד"א </t>
  </si>
  <si>
    <t xml:space="preserve">ציוד משרדי רווחה </t>
  </si>
  <si>
    <t xml:space="preserve">כיבוד רווחה </t>
  </si>
  <si>
    <t xml:space="preserve">דלק ושמנים רווחה </t>
  </si>
  <si>
    <t xml:space="preserve">תיקוני רכב רווחה </t>
  </si>
  <si>
    <t xml:space="preserve">רישוי ובטוח רווחה </t>
  </si>
  <si>
    <t xml:space="preserve">קופה קטנה רווחה </t>
  </si>
  <si>
    <t xml:space="preserve">משפחות במצוקה קהילה </t>
  </si>
  <si>
    <t xml:space="preserve">מסגרות ארציות לדרי רחוב </t>
  </si>
  <si>
    <t xml:space="preserve">תחנות לטיפול במשפחה </t>
  </si>
  <si>
    <t xml:space="preserve">תכנית למניעת אלימות </t>
  </si>
  <si>
    <t>תכנית לאומית נוער וצעירים</t>
  </si>
  <si>
    <t xml:space="preserve">יתד תכנית צעירים </t>
  </si>
  <si>
    <t xml:space="preserve">יצירת קשר הורים-ילדים </t>
  </si>
  <si>
    <t xml:space="preserve">מרכז חירום אקסטרניים </t>
  </si>
  <si>
    <t xml:space="preserve">אחזקה במעונות- אזרח ותיק </t>
  </si>
  <si>
    <t xml:space="preserve">מועדונים לאזרחים ותיקים </t>
  </si>
  <si>
    <t xml:space="preserve">טיפול בקהילה- אזרח ותיק </t>
  </si>
  <si>
    <t xml:space="preserve">מסגרות יומיות אזרח ותיק </t>
  </si>
  <si>
    <t xml:space="preserve">משפחות אומנה-מש"ה </t>
  </si>
  <si>
    <t xml:space="preserve">סדור מעונות במש"ה </t>
  </si>
  <si>
    <t xml:space="preserve">טיפול בהורים ובילדיהם </t>
  </si>
  <si>
    <t xml:space="preserve">מרכז יום ותעסוקה לבוגרים </t>
  </si>
  <si>
    <t xml:space="preserve">הפעלת מעונות ממשלתיים </t>
  </si>
  <si>
    <t xml:space="preserve">מש"ה במעון אמוני </t>
  </si>
  <si>
    <t xml:space="preserve">מש"ה במעון טיפולי </t>
  </si>
  <si>
    <t xml:space="preserve">הסעות למרכז יום למש"ה </t>
  </si>
  <si>
    <t xml:space="preserve">נופשונים למש"ה </t>
  </si>
  <si>
    <t xml:space="preserve">אחזקת נכים במשפחות אומנה </t>
  </si>
  <si>
    <t xml:space="preserve">מסגרת יום לילד המוגבל </t>
  </si>
  <si>
    <t xml:space="preserve">מרכז יום שיקומי לנכים </t>
  </si>
  <si>
    <t xml:space="preserve">ליווי למרכז יום שיקומי </t>
  </si>
  <si>
    <t xml:space="preserve">נוער וצעיר. חוץ ביתי </t>
  </si>
  <si>
    <t xml:space="preserve">התמכרויות-חוץ ביתי </t>
  </si>
  <si>
    <t xml:space="preserve">היערכות לחירום </t>
  </si>
  <si>
    <t xml:space="preserve">פעולות התנדבות בקהילה </t>
  </si>
  <si>
    <t xml:space="preserve">עבודה קהילתית </t>
  </si>
  <si>
    <t xml:space="preserve">מרכז טיפול באלימות עולים </t>
  </si>
  <si>
    <t xml:space="preserve">טיפול בעולים - אזרח ותיק </t>
  </si>
  <si>
    <t>השתתפות בתקציב מועצה דתית</t>
  </si>
  <si>
    <t xml:space="preserve">ציוד משרדי קליטה </t>
  </si>
  <si>
    <t xml:space="preserve">תמיכות בארגוני עולים </t>
  </si>
  <si>
    <t xml:space="preserve">איגוד ערים איכות סביבה </t>
  </si>
  <si>
    <t xml:space="preserve">ציוד משרדי תשתיות </t>
  </si>
  <si>
    <t xml:space="preserve">דלק ושמנים תשתיות </t>
  </si>
  <si>
    <t xml:space="preserve">רישוי וביטוח תשתיות </t>
  </si>
  <si>
    <t xml:space="preserve">הוצאות מח' תשתיות </t>
  </si>
  <si>
    <t xml:space="preserve">ציוד משרדי הון אנושי </t>
  </si>
  <si>
    <t xml:space="preserve">ברוש תקשורת </t>
  </si>
  <si>
    <t xml:space="preserve">חשמל ומים דירת מגורים </t>
  </si>
  <si>
    <t xml:space="preserve">הוצאות אחרות מח' נכסים </t>
  </si>
  <si>
    <t xml:space="preserve">ציוד משרדי רשות החניה </t>
  </si>
  <si>
    <t xml:space="preserve">דלק ושמנים רשות החניה </t>
  </si>
  <si>
    <t xml:space="preserve">תיקוני רכב רשות החניה </t>
  </si>
  <si>
    <t xml:space="preserve">רישוי וביטוח רשות החניה </t>
  </si>
  <si>
    <t xml:space="preserve">הוצאות אכיפה רשות החניה </t>
  </si>
  <si>
    <t xml:space="preserve">הוצאות שוטפות רשות החניה </t>
  </si>
  <si>
    <t xml:space="preserve">קופה קטנה רשות החניה </t>
  </si>
  <si>
    <t>ביצוע 2019 עפ"י דוחות משרד הפנים</t>
  </si>
  <si>
    <t>חינוך- השתתפות ממשלה</t>
  </si>
  <si>
    <t>חינוך עצמיות</t>
  </si>
  <si>
    <t>רישום מקביל גננות</t>
  </si>
  <si>
    <t>תרבות- השתתפות ממשלה</t>
  </si>
  <si>
    <t>תרבות-עצמיות</t>
  </si>
  <si>
    <t>הכנסות מפסטיבל עצמיות</t>
  </si>
  <si>
    <t>הכנסות פסטיבל- השתתפות ממשלה</t>
  </si>
  <si>
    <t>רווחה- השתתפות ממשלה</t>
  </si>
  <si>
    <t>רווחה- עצמיות</t>
  </si>
  <si>
    <t>מס חשבון</t>
  </si>
  <si>
    <t>שם חשבון</t>
  </si>
  <si>
    <t>סעיף</t>
  </si>
  <si>
    <t>שם החשבון</t>
  </si>
  <si>
    <t>משכורות שוטף</t>
  </si>
  <si>
    <t>פנסיונרים ופיצויים</t>
  </si>
  <si>
    <t>שכר דירה</t>
  </si>
  <si>
    <t>430-771</t>
  </si>
  <si>
    <t>חשמל,מים מוסדות עירייה ותאורת רחובות</t>
  </si>
  <si>
    <t>ביטוחים כלליים</t>
  </si>
  <si>
    <t>אחזקת מכונות - מדפסות וציוד משרדי</t>
  </si>
  <si>
    <t>הוצאות כיבוד</t>
  </si>
  <si>
    <t>ארוח משלחות</t>
  </si>
  <si>
    <t>ספרים ועיתונים</t>
  </si>
  <si>
    <t>דלק ושמנים</t>
  </si>
  <si>
    <t>תיקונים</t>
  </si>
  <si>
    <t>רשוי וביטוח</t>
  </si>
  <si>
    <t>ליסינג רכבי עירייה</t>
  </si>
  <si>
    <t>הוצאות תקשורת וניידים, נייחים ודואר</t>
  </si>
  <si>
    <t>פרסומים</t>
  </si>
  <si>
    <t>הוצאות מחשוב,מערכות ליבה: הנה"ח,גביה ושכר</t>
  </si>
  <si>
    <t>ריבית ועמלות</t>
  </si>
  <si>
    <t>691-693</t>
  </si>
  <si>
    <t>פרעון מלוות</t>
  </si>
  <si>
    <t>הסעות תלמידים</t>
  </si>
  <si>
    <t>הוצאות מים וגינון</t>
  </si>
  <si>
    <t>עבודות קבלניות</t>
  </si>
  <si>
    <t>הוצאות פעילות שוטפת לפי פרוט מחלקות</t>
  </si>
  <si>
    <t>פיתוח כלכלי</t>
  </si>
  <si>
    <t>החזר השתתפות משלחות פולין וייצוג העירייה והחזר מתנות לנבחרים</t>
  </si>
  <si>
    <t>השתתפויות ותמיכות בפעילויות</t>
  </si>
  <si>
    <t>הג"א ארצי</t>
  </si>
  <si>
    <t>רווחה</t>
  </si>
  <si>
    <t xml:space="preserve">הוצאות שנים קודמות </t>
  </si>
  <si>
    <t>רזרבה לפעולות</t>
  </si>
  <si>
    <t>הוצאות לשעת חירום מותנות</t>
  </si>
  <si>
    <t>סה"כ</t>
  </si>
  <si>
    <t>הכנסות בנושא חינוך - השתתפות ממשלה</t>
  </si>
  <si>
    <t>הכנסות בנושא חינוך - הכנסות עצמיות</t>
  </si>
  <si>
    <t>הכנסות בנושא תרבות - השתתפות ממשלה</t>
  </si>
  <si>
    <t>הכנסות בנושא תרבות - הכנסות עצמיות</t>
  </si>
  <si>
    <t>הכנסות פסטיבל - עצמיות, תרומות, פרסום וייעודיות</t>
  </si>
  <si>
    <t>הכנסות בנושא רווחה - השתתפות ממשלה</t>
  </si>
  <si>
    <t xml:space="preserve"> הכנסות בנושא רווחה - הכנסות עצמיות</t>
  </si>
  <si>
    <t xml:space="preserve"> סה"כ</t>
  </si>
  <si>
    <t>הוצאות חשמל ומים עפ"י פירוט מחלקתי</t>
  </si>
  <si>
    <t>תשלומי שכר דירה</t>
  </si>
  <si>
    <t>מס' חשבון</t>
  </si>
  <si>
    <t>*</t>
  </si>
  <si>
    <t>הוצאות ספרים ועיתונים</t>
  </si>
  <si>
    <t>הוצאות כיבוד עפ"י חלוקה מחלקתית</t>
  </si>
  <si>
    <t xml:space="preserve">כיבוד </t>
  </si>
  <si>
    <t>הוצאות דלק: כרטיסי תדלוק ודלקנים עבור רכבי העירייה</t>
  </si>
  <si>
    <t>דמי שימוש מכונת טיאוט קטנה</t>
  </si>
  <si>
    <t>דמי שימוש משאית רמסע</t>
  </si>
  <si>
    <t>הוצאות תיקוני רכבי עירייה שאינם בליסינג עפ"י חלוקה</t>
  </si>
  <si>
    <t>רישוי וביטוח לשכת ראש העיר</t>
  </si>
  <si>
    <t>רישוי וביטוח קליטה</t>
  </si>
  <si>
    <t>הוצאות ליסינג רכבי עירייה</t>
  </si>
  <si>
    <t>שכירות ליסינג לשכת ראש העיר</t>
  </si>
  <si>
    <t>הוצאות תקשורת ניידים,נייחים ודואר</t>
  </si>
  <si>
    <t>הוצאות פרסום</t>
  </si>
  <si>
    <t>הוצאות מים גינון</t>
  </si>
  <si>
    <t>הוצאות ריבית ועמלות</t>
  </si>
  <si>
    <t>עבודות קבלניות עפ"י פירוט</t>
  </si>
  <si>
    <t>תשלומי זכויות יוצרים (הפדרציה, אקו"ם ואשכולות)</t>
  </si>
  <si>
    <t>הוצאות יעוץ עפ"י שעות בנושא דוחות כספיים ותיקי ני"ע</t>
  </si>
  <si>
    <t>הוצאות שוטפות מחלקת גביה(אורדע, זייד אורניב, חברי ועדת ערר)</t>
  </si>
  <si>
    <t>הוצאות אכיפה המתבצעת ע"י הגביה</t>
  </si>
  <si>
    <t>אבטחת מוסדות חינוך (מכרז משכ"ל)</t>
  </si>
  <si>
    <t xml:space="preserve">עבודות קבלניות פסטיבל </t>
  </si>
  <si>
    <t xml:space="preserve">סה"כ </t>
  </si>
  <si>
    <t>החזר מתנות לנבחרים והשתתפות ליחידים</t>
  </si>
  <si>
    <t>השתתפויות ותרומות</t>
  </si>
  <si>
    <t>הוצאות פעילות שוטפת עפ"י פירוט מחלקתי</t>
  </si>
  <si>
    <t xml:space="preserve"> ביה"ס השחר </t>
  </si>
  <si>
    <t xml:space="preserve"> ביה"ס אמי"ת (תקציב במסגרת סעיף על יסודי)</t>
  </si>
  <si>
    <t>סל תרבות כנגד הכנסות עצמיות</t>
  </si>
  <si>
    <t xml:space="preserve"> שכ"ע מורים ופעולות-קונסבטוריון </t>
  </si>
  <si>
    <t>להקות מחול - השתתפות עירייה</t>
  </si>
  <si>
    <t>החזר מלווה עמ' הפסטיבל (1 מליון ₪)</t>
  </si>
  <si>
    <t>הוצאות שוטפות סגן ראש העיר</t>
  </si>
  <si>
    <t>הוצאות לפעולות נוער וצעירים</t>
  </si>
  <si>
    <t xml:space="preserve">כנפיים של קרמבו </t>
  </si>
  <si>
    <t xml:space="preserve">אריאל תנועת נוער ישראלית </t>
  </si>
  <si>
    <t xml:space="preserve">תנועת בני עקיבא בישראל </t>
  </si>
  <si>
    <t xml:space="preserve">רזרבה ארגוני נוער </t>
  </si>
  <si>
    <t xml:space="preserve">עמותת איגי </t>
  </si>
  <si>
    <t xml:space="preserve">ארגון נוער מגן דוד אדום </t>
  </si>
  <si>
    <t xml:space="preserve">   הוצאות רווחה </t>
  </si>
  <si>
    <t>הכנסות</t>
  </si>
  <si>
    <t>הוצאות</t>
  </si>
  <si>
    <t>עודף/גרעון</t>
  </si>
  <si>
    <t>נייר צילום</t>
  </si>
  <si>
    <t>ציוד משרדי</t>
  </si>
  <si>
    <t>ציוד משרדי ביה"ס השחר</t>
  </si>
  <si>
    <t>ציוד משרדי כרם גפנים</t>
  </si>
  <si>
    <t>ציוד משרדי היכל התרבות</t>
  </si>
  <si>
    <t>הוצאות חירום קורונה</t>
  </si>
  <si>
    <t>שיפוי ארנונה משרדי ממשלה  סבב א'</t>
  </si>
  <si>
    <t>שיפוי ארנונה רשות המיסים סבב ב'</t>
  </si>
  <si>
    <t>הכנסות משרדי ממשלה קורונה</t>
  </si>
  <si>
    <t>סל תרבות</t>
  </si>
  <si>
    <t>הכנסות שרות התעסוקה+נגב גליל למרכז צעירים</t>
  </si>
  <si>
    <t>הכנסות ממשרדי ממשלה פסטיבל</t>
  </si>
  <si>
    <t>ציוד משרד ושכירות מדפסות</t>
  </si>
  <si>
    <t>פרסום בעיתון בשפה הרוסית</t>
  </si>
  <si>
    <t xml:space="preserve">מיחשוב מערכות  </t>
  </si>
  <si>
    <t>הוצאות וטרינריה - חוזים</t>
  </si>
  <si>
    <t>הוצאות וטרינריה כנגד קבלות-רכש</t>
  </si>
  <si>
    <t>רישוי עסקים</t>
  </si>
  <si>
    <t>הוצאות מינהל חינוך ומט"ב - ליווי חנ"מ</t>
  </si>
  <si>
    <t>ביה"ס כלנית קו"ק חומרי חיטוי</t>
  </si>
  <si>
    <t>ביה"ס עמיחי קו"ק חומרי חיטוי</t>
  </si>
  <si>
    <t>ביה"ס רקפת קו"ק חומרי חיטוי</t>
  </si>
  <si>
    <t>ביה"ס הרעות קו"ק חומרי חיטוי</t>
  </si>
  <si>
    <t>ביה"ס הדקל קו"ק חומרי חיטוי</t>
  </si>
  <si>
    <t>ביה"ס מוריה קו"ק חומרי חיטוי</t>
  </si>
  <si>
    <t>ביה"ס ניצנים קו"ק חומרי חיטוי</t>
  </si>
  <si>
    <t>ביה"ס אופק קו"ק חומרי חיטוי</t>
  </si>
  <si>
    <t>ביה"ס איריסים קו"ק חומרי חיטוי</t>
  </si>
  <si>
    <t>החזר מלווה עירייה ( 1.7 מליון ₪) שנלקח ע"י הפסטיבל</t>
  </si>
  <si>
    <t>תרבות תורנית - כנגד הכ' ממשלה</t>
  </si>
  <si>
    <t>מרכז צעירים פעולות כנגד הכנסות</t>
  </si>
  <si>
    <t>חומרי ניקוי ודמי שתיה - מרכז צעירים והון אנושי</t>
  </si>
  <si>
    <t>הוצ' שוטפות לשכת ראש העיר -רכש</t>
  </si>
  <si>
    <t>הוצאות אחרות- לשכת ראש העיר- ק.קטנה</t>
  </si>
  <si>
    <t>הוצאות שוטפות פיתוח דמוגרפי- רכש</t>
  </si>
  <si>
    <t>שוטף יחידה אסטרטגית -רכש</t>
  </si>
  <si>
    <t>הוצאות מבקר העירייה -רכש</t>
  </si>
  <si>
    <t>הוצאות שוטפות- מינהל כללי רכש</t>
  </si>
  <si>
    <t>מינהל פרויקטים -רכש</t>
  </si>
  <si>
    <t>חומרי נקיון בנין העיריה -רכש</t>
  </si>
  <si>
    <t>הוצ' שוטפות תגים מעטפות -רכש</t>
  </si>
  <si>
    <t>עובדי שב"ס - ארוחות עובדי שטח -רכש</t>
  </si>
  <si>
    <t>מתנות לפורשים -רכש</t>
  </si>
  <si>
    <t>הוצאות שוטפות משאבי אנוש- רכש</t>
  </si>
  <si>
    <t>הוצאות שוטפות - מינהל כספים</t>
  </si>
  <si>
    <t>הוצאות שוטפות מח' שכר -רכש</t>
  </si>
  <si>
    <t>הוצאות משרדיות מח' גביה -רכש</t>
  </si>
  <si>
    <t>הוצאות פינוי אשפה בא.תעשיה</t>
  </si>
  <si>
    <t>הכנסות מפינוי אשפה באזור התעשיה</t>
  </si>
  <si>
    <t>הוצאות שוטפות- מינהל תברואה- רכש</t>
  </si>
  <si>
    <t>הוצאות שוטפות רישוי עסקים-רכש</t>
  </si>
  <si>
    <t>פינוי אשפה וגזם-קבלנים פנים</t>
  </si>
  <si>
    <t>הוצאות דפוס גביה -רכש</t>
  </si>
  <si>
    <t>הוצאות דפוס אכיפה -רכש</t>
  </si>
  <si>
    <t>פינוי אשפה- קבלנים חוץ עירוני</t>
  </si>
  <si>
    <t>הוצאות שוטפות מחלקת בטחון-רכש</t>
  </si>
  <si>
    <t>חומרי נקיון מחלקת בטחון -רכש</t>
  </si>
  <si>
    <t>ביטוח מרכיבי התגוננות</t>
  </si>
  <si>
    <t>חשמל הג"א מקומי</t>
  </si>
  <si>
    <t>פרסום והדרכה הג"א מקומי</t>
  </si>
  <si>
    <t>הוצאות חזות עיר - גינון</t>
  </si>
  <si>
    <t>גנ"י חובה חומרי נקיון - רכש</t>
  </si>
  <si>
    <t>גנ"י חובה חומרי מלאכה -רכש</t>
  </si>
  <si>
    <t>גנ"י חובה חנ"מ חומרי מלאכה-רכש</t>
  </si>
  <si>
    <t>גנ"י חובה חנ"מ חומרי נקיון-רכש</t>
  </si>
  <si>
    <t>גני מועדון חומרי נקיון -רכש</t>
  </si>
  <si>
    <t>גני מועדון חומרי מלאכה -רכש</t>
  </si>
  <si>
    <t>גנ"י טרום חובה חנ"מ נקיון-רכש</t>
  </si>
  <si>
    <t>גנ"י ט.חובה חנ"מ חומרי מלאכה-רכש</t>
  </si>
  <si>
    <t>גנים עצמאיים נקיון -רכש</t>
  </si>
  <si>
    <t>תקציב העשרה קיטנות -רכש</t>
  </si>
  <si>
    <t>חומרי ניקיון קיטנות -רכש</t>
  </si>
  <si>
    <t>העשרה קיטנות גני מועדון -רכש</t>
  </si>
  <si>
    <t>גנים עצמאיים חומרי מלאכה -רכש</t>
  </si>
  <si>
    <t>גנ"י טרום חובה נקיון -רכש</t>
  </si>
  <si>
    <t>גנ"י טרום חובה חומרי מלאכה-רכש</t>
  </si>
  <si>
    <t>גנ"י חנ"מ מזון קשה -רכש</t>
  </si>
  <si>
    <t>דמי שתיה שנתיים לסייעות גנים-רכש</t>
  </si>
  <si>
    <t>השת' העיריה בתקציבי שוק עירוני</t>
  </si>
  <si>
    <t>הוצאות מועדוניות + החזר להורים כנגד תמ"ת</t>
  </si>
  <si>
    <t>הוצ' שוטף מועדונית ורד -רכש</t>
  </si>
  <si>
    <t>כיבוד מועדונית ורד -רכש</t>
  </si>
  <si>
    <t>חומרי ניקוי מועדונית ורד -רכש</t>
  </si>
  <si>
    <t>שוטף מועדונית ניצנים -רכש</t>
  </si>
  <si>
    <t>כיבוד מועדונית ניצנים -רכש</t>
  </si>
  <si>
    <t>חומרי ניקוי מועדונית ניצנים-רכש</t>
  </si>
  <si>
    <t>קופה קטנה מועדונית ניצנים-רכש</t>
  </si>
  <si>
    <t>קופה קטנה מועדונית ורד -רכש</t>
  </si>
  <si>
    <t>ביה"ס השחר חומרי ניקוי -רכש</t>
  </si>
  <si>
    <t>כיתות חנ"מ מזון קשה -רכש</t>
  </si>
  <si>
    <t>דמי שתיה חווה חקלאית -רכש</t>
  </si>
  <si>
    <t>כרם גפנים - הוצאות שונות-רכש</t>
  </si>
  <si>
    <t>הוצאות שוטפות שפ"י -רכש</t>
  </si>
  <si>
    <t>חומרי ניקוי שפ"י -רכש</t>
  </si>
  <si>
    <t>הוצאות שוטפות -ספריה  רכש</t>
  </si>
  <si>
    <t>הוצאות שוטפות-מינהל רווחה רכש</t>
  </si>
  <si>
    <t>השתתפות דמי חבר בשלטון המקומי</t>
  </si>
  <si>
    <t>השת' העירייה במילגות עירוניות</t>
  </si>
  <si>
    <t>תנועת הצופים העבריים בישראל</t>
  </si>
  <si>
    <t>הסתדרות הנוער העובד והלומד</t>
  </si>
  <si>
    <t>החזר הלוואה למתנ"ס 1265 אלש"ח</t>
  </si>
  <si>
    <t>ק.קטנה קידום נוער-רכש</t>
  </si>
  <si>
    <t>התנועה המסורתית נועם</t>
  </si>
  <si>
    <t>תמיכה בספורט - איחוד קבוצות</t>
  </si>
  <si>
    <t>משפחות במצוקה בקהילה</t>
  </si>
  <si>
    <t>הכנסות קורונה משרדי ממשלה</t>
  </si>
  <si>
    <t xml:space="preserve">שכר תגבור פיקוח ומוקד </t>
  </si>
  <si>
    <t xml:space="preserve">קשר עם התושב </t>
  </si>
  <si>
    <t xml:space="preserve">הצטיידות חגי תשרי </t>
  </si>
  <si>
    <t>הכנ' משרד הפנים סיוע חגי תשרי</t>
  </si>
  <si>
    <t>550-993</t>
  </si>
  <si>
    <t>הוצאות משרדיות  הנה"ח -רכש</t>
  </si>
  <si>
    <t xml:space="preserve">אולם ארועים ברחוב צהל </t>
  </si>
  <si>
    <t xml:space="preserve">שוטף  מ"מ ראש העיר </t>
  </si>
  <si>
    <t xml:space="preserve">אשראי הלוואה ממוסד בנקאי </t>
  </si>
  <si>
    <t xml:space="preserve">דמי שימוש לאשכול, רכישות רכבים </t>
  </si>
  <si>
    <t>תנועות וארגוני נוער</t>
  </si>
  <si>
    <t xml:space="preserve">פעילות תרבות תורנית </t>
  </si>
  <si>
    <t>הכנסות משלטי חוצות</t>
  </si>
  <si>
    <t>העשרה מועדונית ורד</t>
  </si>
  <si>
    <t>העשרה מועדונית ניצנים</t>
  </si>
  <si>
    <t>החזר הלוואה הנגשת הבריכה</t>
  </si>
  <si>
    <t>תוכניות תמיכה בקהילה</t>
  </si>
  <si>
    <t>פ. קהילתי גאוגרפי</t>
  </si>
  <si>
    <t>עבודה קהילתית</t>
  </si>
  <si>
    <t>ביגוד לפקחים</t>
  </si>
  <si>
    <t>גרעין תורני</t>
  </si>
  <si>
    <t>ימי הפוגה לעובדים</t>
  </si>
  <si>
    <t>תוכ' אור למתנ"ס תק' מ.החינוך</t>
  </si>
  <si>
    <t>החזר הלוואה מתנס הנגשת בריכה</t>
  </si>
  <si>
    <t>הנחות ארנונה רישום מקביל</t>
  </si>
  <si>
    <t>מס' עמוד</t>
  </si>
  <si>
    <t>פירוט - לשונית</t>
  </si>
  <si>
    <t>מס'</t>
  </si>
  <si>
    <t>מס</t>
  </si>
  <si>
    <t>עמוד -4</t>
  </si>
  <si>
    <t>מס'י</t>
  </si>
  <si>
    <t xml:space="preserve">מס' </t>
  </si>
  <si>
    <t>1</t>
  </si>
  <si>
    <t>2</t>
  </si>
  <si>
    <t>3</t>
  </si>
  <si>
    <t>4</t>
  </si>
  <si>
    <t>12</t>
  </si>
  <si>
    <t>פרק</t>
  </si>
  <si>
    <t>נבחרים</t>
  </si>
  <si>
    <t>סה"כ פרק 61 נבחרים</t>
  </si>
  <si>
    <t>לשכת ראש העיר</t>
  </si>
  <si>
    <t>מבקר העירייה</t>
  </si>
  <si>
    <t>מינהל כללי</t>
  </si>
  <si>
    <t>הסברה ויחסי ציבור</t>
  </si>
  <si>
    <t>משאבי אנוש</t>
  </si>
  <si>
    <t>יעוץ משפטי</t>
  </si>
  <si>
    <t xml:space="preserve">סה"כ פרק 61 </t>
  </si>
  <si>
    <t>גזברות</t>
  </si>
  <si>
    <t>הנהלת חשבונות</t>
  </si>
  <si>
    <t>יחידת שכר</t>
  </si>
  <si>
    <t>גביה</t>
  </si>
  <si>
    <t>אכיפה ועסקים</t>
  </si>
  <si>
    <t xml:space="preserve">סה"כ פרק 62 </t>
  </si>
  <si>
    <t>מינהל איכות הסביבה</t>
  </si>
  <si>
    <t>טיאוט וניקוי</t>
  </si>
  <si>
    <t>איסוף וביעור אשפה</t>
  </si>
  <si>
    <t>תחנת מעבר</t>
  </si>
  <si>
    <t>שרות וטרינרי</t>
  </si>
  <si>
    <t>תברואה מונעת ריסוס</t>
  </si>
  <si>
    <t xml:space="preserve">סה"כ פרק 71 </t>
  </si>
  <si>
    <t>בטחון</t>
  </si>
  <si>
    <t xml:space="preserve">שיטור העירוני </t>
  </si>
  <si>
    <t xml:space="preserve">מוקד אזורי </t>
  </si>
  <si>
    <t>הג"א מקומי</t>
  </si>
  <si>
    <t xml:space="preserve">סה"כ פרק 72 </t>
  </si>
  <si>
    <t>מינהל הנדסה</t>
  </si>
  <si>
    <t>רישוי פיקוח ובניה</t>
  </si>
  <si>
    <t xml:space="preserve">סה"כ פרק 73 </t>
  </si>
  <si>
    <t>תשתיות ותחבורה</t>
  </si>
  <si>
    <t>תאורת רחובות</t>
  </si>
  <si>
    <t>גנים ונטיעות</t>
  </si>
  <si>
    <t>פארק הגליל</t>
  </si>
  <si>
    <t>פארק המשפחה</t>
  </si>
  <si>
    <t xml:space="preserve">סה"כ פרק 74 </t>
  </si>
  <si>
    <t>פסטיבל</t>
  </si>
  <si>
    <t xml:space="preserve">סה"כ פרק 75 </t>
  </si>
  <si>
    <t>מוקד עירוני</t>
  </si>
  <si>
    <t>תרבות דיור</t>
  </si>
  <si>
    <t xml:space="preserve">סה"כ פרק 76 </t>
  </si>
  <si>
    <t>פיקוח חוקי עזר</t>
  </si>
  <si>
    <t>רישוי וקידום עסקים</t>
  </si>
  <si>
    <t xml:space="preserve">סה"כ פרק 78 </t>
  </si>
  <si>
    <t xml:space="preserve">מינהל חינוך </t>
  </si>
  <si>
    <t xml:space="preserve">גני ילדים חובה </t>
  </si>
  <si>
    <t xml:space="preserve">סייעות סבב </t>
  </si>
  <si>
    <t xml:space="preserve">גני ילדים טרום חובה </t>
  </si>
  <si>
    <t>מדריכת בטיחות בדרכים גנ"י</t>
  </si>
  <si>
    <t xml:space="preserve">מועדוניות </t>
  </si>
  <si>
    <t xml:space="preserve">מחליפות בגנים </t>
  </si>
  <si>
    <t xml:space="preserve">סייעות רפואיות </t>
  </si>
  <si>
    <t xml:space="preserve">גנות טרום חובה </t>
  </si>
  <si>
    <t xml:space="preserve">גן חינוך מיוחד קשה </t>
  </si>
  <si>
    <t xml:space="preserve">גן חינוך מיוחד קל ארוך </t>
  </si>
  <si>
    <t xml:space="preserve">בתי ספר </t>
  </si>
  <si>
    <t xml:space="preserve">מלוות בהסעות </t>
  </si>
  <si>
    <t xml:space="preserve">חינוך פדגוגי קל </t>
  </si>
  <si>
    <t xml:space="preserve">חינוך פדגוגי קשה </t>
  </si>
  <si>
    <t xml:space="preserve">סייעות צמודות </t>
  </si>
  <si>
    <t xml:space="preserve">קב"ט </t>
  </si>
  <si>
    <t xml:space="preserve">מרכזיה פדגוגית </t>
  </si>
  <si>
    <t xml:space="preserve">שרות פסיכולוגי </t>
  </si>
  <si>
    <t xml:space="preserve">קב"ס </t>
  </si>
  <si>
    <t xml:space="preserve">עיר ללא אלימות </t>
  </si>
  <si>
    <t xml:space="preserve">קידום נוער וקהילה </t>
  </si>
  <si>
    <t xml:space="preserve">מנהל יחידת נוער </t>
  </si>
  <si>
    <t xml:space="preserve">יחידת נוער </t>
  </si>
  <si>
    <t xml:space="preserve">סה"כ פרק 81 </t>
  </si>
  <si>
    <t xml:space="preserve">מינהל תרבות </t>
  </si>
  <si>
    <t xml:space="preserve">ספרייה </t>
  </si>
  <si>
    <t>שכר עובדי מרכז תרבות וספו</t>
  </si>
  <si>
    <t xml:space="preserve">קונסרבטוריון </t>
  </si>
  <si>
    <t xml:space="preserve">שכר אחזקת אולמות ספורט </t>
  </si>
  <si>
    <t xml:space="preserve">סה"כ פרק 82 </t>
  </si>
  <si>
    <t xml:space="preserve">סה"כ פרק 84 </t>
  </si>
  <si>
    <t xml:space="preserve">קליטה </t>
  </si>
  <si>
    <t xml:space="preserve">מרכז צעירים ומרכז דמוגרפי </t>
  </si>
  <si>
    <t xml:space="preserve">סה"כ פרק 86 </t>
  </si>
  <si>
    <t xml:space="preserve">שכר תאגיד המים </t>
  </si>
  <si>
    <t>סה"כ פרק 91</t>
  </si>
  <si>
    <t xml:space="preserve">מינהל נכסים ציבוריים </t>
  </si>
  <si>
    <t xml:space="preserve">נכסים ציבוריים </t>
  </si>
  <si>
    <t xml:space="preserve">משרדי הרשות </t>
  </si>
  <si>
    <t>סה"כ פרק 93</t>
  </si>
  <si>
    <t xml:space="preserve">רשות החניה </t>
  </si>
  <si>
    <t>סה"כ פרק 94</t>
  </si>
  <si>
    <t>סה"כ פרק 99</t>
  </si>
  <si>
    <t>סכום כולל</t>
  </si>
  <si>
    <t>שיטור עירוני מועבר לקרן היטל שמירה</t>
  </si>
  <si>
    <t>ועדה לתכנון ובניה תב"ר רפורמה משרד הפנים</t>
  </si>
  <si>
    <t>תאגיד מים עובדים מושאלים</t>
  </si>
  <si>
    <t>רישיון עסק בנק הדואר</t>
  </si>
  <si>
    <t>מידע תכנוני מח' הנדסה</t>
  </si>
  <si>
    <t>השתתפות במועדוניות רווחה</t>
  </si>
  <si>
    <t>חנות חברתית רח' האילנות</t>
  </si>
  <si>
    <t>הכנסות משרדי ממשלה שונים</t>
  </si>
  <si>
    <t>ציוד ראשוני - יוח"א</t>
  </si>
  <si>
    <t>עוזרות יוח"א ומיל"ת</t>
  </si>
  <si>
    <t>חינוך תעבורתי</t>
  </si>
  <si>
    <t>חוק שילוב - סייעות</t>
  </si>
  <si>
    <t>ת. תקשוב - קיזוז רשויות</t>
  </si>
  <si>
    <t>מתי"א - שרתים</t>
  </si>
  <si>
    <t>מתי"א - מזכירים</t>
  </si>
  <si>
    <t>ה. נלוות ח. מיוחד - מוסד</t>
  </si>
  <si>
    <t>שירותי היקף - ח. מיוחד</t>
  </si>
  <si>
    <t>שרתים יום חינוך ארוך</t>
  </si>
  <si>
    <t>מזכירים יום חינוך ארוך</t>
  </si>
  <si>
    <t>שרתים חוות ומרכזים</t>
  </si>
  <si>
    <t>מזכירים - חוות ומרכזים</t>
  </si>
  <si>
    <t>ל. הסעות ח"מ צפון</t>
  </si>
  <si>
    <t>טיפול בנערות במגזר החרדי</t>
  </si>
  <si>
    <t>אכיפה מלגם</t>
  </si>
  <si>
    <t>הכנסות מדמי שרות במטווח</t>
  </si>
  <si>
    <t>רכזת גנים חופש גדול</t>
  </si>
  <si>
    <t>מיתר</t>
  </si>
  <si>
    <t>מועדונים לילדים ולבוגר</t>
  </si>
  <si>
    <t>מרכזי יום לנכים קשים</t>
  </si>
  <si>
    <t>פרויקטים לנגמלים</t>
  </si>
  <si>
    <t>שכ"ד קליטה</t>
  </si>
  <si>
    <t>מחלקה</t>
  </si>
  <si>
    <t>תקופה</t>
  </si>
  <si>
    <t>חלקיות משרה</t>
  </si>
  <si>
    <t>סיכום כללי</t>
  </si>
  <si>
    <t>עובדים למחלקה</t>
  </si>
  <si>
    <t>611000 סה"כ</t>
  </si>
  <si>
    <t>שלי אטיאס</t>
  </si>
  <si>
    <t>611200 סה"כ</t>
  </si>
  <si>
    <t>612000 סה"כ</t>
  </si>
  <si>
    <t>613000 סה"כ</t>
  </si>
  <si>
    <t>613300 סה"כ</t>
  </si>
  <si>
    <t>614000 סה"כ</t>
  </si>
  <si>
    <t>615000 סה"כ</t>
  </si>
  <si>
    <t>617000 סה"כ</t>
  </si>
  <si>
    <t>621100 סה"כ</t>
  </si>
  <si>
    <t>דניאלה</t>
  </si>
  <si>
    <t>621300 סה"כ</t>
  </si>
  <si>
    <t>621500 סה"כ</t>
  </si>
  <si>
    <t>623100 סה"כ</t>
  </si>
  <si>
    <t>623200 סה"כ</t>
  </si>
  <si>
    <t>711000 סה"כ</t>
  </si>
  <si>
    <t>712100 סה"כ</t>
  </si>
  <si>
    <t>712200 סה"כ</t>
  </si>
  <si>
    <t>712300 סה"כ</t>
  </si>
  <si>
    <t>712400 סה"כ</t>
  </si>
  <si>
    <t>714000 סה"כ</t>
  </si>
  <si>
    <t>715000 סה"כ</t>
  </si>
  <si>
    <t>721000 סה"כ</t>
  </si>
  <si>
    <t>721100 סה"כ</t>
  </si>
  <si>
    <t>721200 סה"כ</t>
  </si>
  <si>
    <t>מיכה מגן ואביחי נבון</t>
  </si>
  <si>
    <t>723000 סה"כ</t>
  </si>
  <si>
    <t>731000 סה"כ</t>
  </si>
  <si>
    <t>733000 סה"כ</t>
  </si>
  <si>
    <t>741000 סה"כ</t>
  </si>
  <si>
    <t>743000 סה"כ</t>
  </si>
  <si>
    <t>ש.נ.</t>
  </si>
  <si>
    <t>746000 סה"כ</t>
  </si>
  <si>
    <t>746100 סה"כ</t>
  </si>
  <si>
    <t>746200 סה"כ</t>
  </si>
  <si>
    <t>761000 סה"כ</t>
  </si>
  <si>
    <t>764000 סה"כ</t>
  </si>
  <si>
    <t>770000 סה"כ</t>
  </si>
  <si>
    <t>772000 סה"כ</t>
  </si>
  <si>
    <t>781000 סה"כ</t>
  </si>
  <si>
    <t>781100 סה"כ</t>
  </si>
  <si>
    <t>811000 סה"כ</t>
  </si>
  <si>
    <t>812200 סה"כ</t>
  </si>
  <si>
    <t>812210 סה"כ</t>
  </si>
  <si>
    <t>812300 סה"כ</t>
  </si>
  <si>
    <t>812310 סה"כ</t>
  </si>
  <si>
    <t>812400 סה"כ</t>
  </si>
  <si>
    <t>812510 סה"כ</t>
  </si>
  <si>
    <t>812520 סה"כ</t>
  </si>
  <si>
    <t>812600 סה"כ</t>
  </si>
  <si>
    <t>812700 סה"כ</t>
  </si>
  <si>
    <t>812800 סה"כ</t>
  </si>
  <si>
    <t>812900 סה"כ</t>
  </si>
  <si>
    <t>813210 סה"כ</t>
  </si>
  <si>
    <t>813211 סה"כ</t>
  </si>
  <si>
    <t>813212 סה"כ</t>
  </si>
  <si>
    <t>813213 סה"כ</t>
  </si>
  <si>
    <t>813214 סה"כ</t>
  </si>
  <si>
    <t>813215 סה"כ</t>
  </si>
  <si>
    <t>813216 סה"כ</t>
  </si>
  <si>
    <t>813217 סה"כ</t>
  </si>
  <si>
    <t>813218 סה"כ</t>
  </si>
  <si>
    <t>813219 סה"כ</t>
  </si>
  <si>
    <t>813220 סה"כ</t>
  </si>
  <si>
    <t>813221 סה"כ</t>
  </si>
  <si>
    <t>813222 סה"כ</t>
  </si>
  <si>
    <t>813223 סה"כ</t>
  </si>
  <si>
    <t>813224 סה"כ</t>
  </si>
  <si>
    <t>813225 סה"כ</t>
  </si>
  <si>
    <t>813226 סה"כ</t>
  </si>
  <si>
    <t>813300 סה"כ</t>
  </si>
  <si>
    <t>813400 סה"כ</t>
  </si>
  <si>
    <t>813500 סה"כ</t>
  </si>
  <si>
    <t>813600 סה"כ</t>
  </si>
  <si>
    <t>813700 סה"כ</t>
  </si>
  <si>
    <t>817100 סה"כ</t>
  </si>
  <si>
    <t>817200 סה"כ</t>
  </si>
  <si>
    <t>817300 סה"כ</t>
  </si>
  <si>
    <t>817700 סה"כ</t>
  </si>
  <si>
    <t>817710 סה"כ</t>
  </si>
  <si>
    <t>817900 סה"כ</t>
  </si>
  <si>
    <t>817910 סה"כ</t>
  </si>
  <si>
    <t>817911 סה"כ</t>
  </si>
  <si>
    <t>817912 סה"כ</t>
  </si>
  <si>
    <t>821000 סה"כ</t>
  </si>
  <si>
    <t>823000 סה"כ</t>
  </si>
  <si>
    <t>824000 סה"כ</t>
  </si>
  <si>
    <t>825000 סה"כ</t>
  </si>
  <si>
    <t>829200 סה"כ</t>
  </si>
  <si>
    <t>841000 סה"כ</t>
  </si>
  <si>
    <t>869000 סה"כ</t>
  </si>
  <si>
    <t>869100 סה"כ</t>
  </si>
  <si>
    <t>879000 סה"כ</t>
  </si>
  <si>
    <t>914000 סה"כ</t>
  </si>
  <si>
    <t>931000 סה"כ</t>
  </si>
  <si>
    <t>931100 סה"כ</t>
  </si>
  <si>
    <t>938000 סה"כ</t>
  </si>
  <si>
    <t>943000 סה"כ</t>
  </si>
  <si>
    <t>נסגר</t>
  </si>
  <si>
    <t>כל העלויות הועברו ל721200</t>
  </si>
  <si>
    <t>981100 סה"כ</t>
  </si>
  <si>
    <t>999000 סה"כ</t>
  </si>
  <si>
    <t xml:space="preserve">סה"כ פרק 77 </t>
  </si>
  <si>
    <t>הכנסות חניה מטרופולינט</t>
  </si>
  <si>
    <t>מנוי חניונים</t>
  </si>
  <si>
    <t>שכר אישורי תושב</t>
  </si>
  <si>
    <t>מינהל שרותי ניקיון</t>
  </si>
  <si>
    <t>שכר האב</t>
  </si>
  <si>
    <t>שכר נוער בסיכון</t>
  </si>
  <si>
    <t>שכר איכות הסביבה</t>
  </si>
  <si>
    <t>חשמל ומים איריסים</t>
  </si>
  <si>
    <t>פינוי אשפה ביתית</t>
  </si>
  <si>
    <t>ועדת ערר חברי ועדה</t>
  </si>
  <si>
    <t>מעונות חסות</t>
  </si>
  <si>
    <t>טיפול באזרח ותיק בסיכון</t>
  </si>
  <si>
    <t>מגן זהב הפגת בדידות</t>
  </si>
  <si>
    <t>תוכניות לנגמלים</t>
  </si>
  <si>
    <t>מקדמה על הוצאות עודפות</t>
  </si>
  <si>
    <t>משרות</t>
  </si>
  <si>
    <t>לבטל שורה</t>
  </si>
  <si>
    <t xml:space="preserve">לבטל שורה </t>
  </si>
  <si>
    <t xml:space="preserve">תשלום למתנס נאמני קורונה </t>
  </si>
  <si>
    <t xml:space="preserve">שכר נאמני קורונה ומתשאלים  </t>
  </si>
  <si>
    <t xml:space="preserve">הצטיידות קורונה  </t>
  </si>
  <si>
    <t xml:space="preserve">ציוד ומיגון לשעת חרום קורונה </t>
  </si>
  <si>
    <t xml:space="preserve">סה"כ הוצאות כללי </t>
  </si>
  <si>
    <t xml:space="preserve">סה"כ הכנסות כללי </t>
  </si>
  <si>
    <t xml:space="preserve">סייעת שניה והעשרה </t>
  </si>
  <si>
    <t xml:space="preserve">העשרה ח. מיוחד - גני ילדים </t>
  </si>
  <si>
    <t xml:space="preserve">הזנה יוח"א בבתי ספר </t>
  </si>
  <si>
    <t xml:space="preserve">הכנסות הזנה מוסדות חינוך גנ"י </t>
  </si>
  <si>
    <t xml:space="preserve">הערות </t>
  </si>
  <si>
    <t xml:space="preserve">אגרת תלמידי חוץ תשלום מרשויות </t>
  </si>
  <si>
    <t xml:space="preserve">אגרת חינוך-תשלומי הורים ( ביטוח תלמידים) </t>
  </si>
  <si>
    <t>בטחון עובדים - מאבטחים</t>
  </si>
  <si>
    <t>רכזי מענים מגן זהב</t>
  </si>
  <si>
    <t>טיפול בפרט ובמשפחה</t>
  </si>
  <si>
    <t>בני משפחה מטפלים</t>
  </si>
  <si>
    <t>תוכנית תעסוקה</t>
  </si>
  <si>
    <t>ת. לאומית ילד ונוער</t>
  </si>
  <si>
    <t>נפגעי התמכרויות</t>
  </si>
  <si>
    <t>התמכרויות חוץ ביתי</t>
  </si>
  <si>
    <t>תוכניות טיפול בעולים</t>
  </si>
  <si>
    <t>בטחון עובדים מאבטחים</t>
  </si>
  <si>
    <t>טיפול אובדן שכול</t>
  </si>
  <si>
    <t xml:space="preserve">ת. לאומית תוכניות </t>
  </si>
  <si>
    <t>מופ"ת ניצולי שואה</t>
  </si>
  <si>
    <t>תוכניות תעסוקה</t>
  </si>
  <si>
    <t>תוכניות לילד החריג</t>
  </si>
  <si>
    <t>תוכניות קהילתיות</t>
  </si>
  <si>
    <t xml:space="preserve">למחוק שורה ולהעביר </t>
  </si>
  <si>
    <t>למחוק בהנה"ח</t>
  </si>
  <si>
    <t xml:space="preserve">לבטל ולהעביר שורה </t>
  </si>
  <si>
    <t xml:space="preserve">מים הג"א </t>
  </si>
  <si>
    <t xml:space="preserve">לבטל שורה ולשים בהכנסות שונות </t>
  </si>
  <si>
    <t xml:space="preserve">פינת חי מוצרי ניקיון </t>
  </si>
  <si>
    <t xml:space="preserve">הוצאות שוטפות בתי ספר מנהל חינוך </t>
  </si>
  <si>
    <t xml:space="preserve">קופה קטנה מחלקת נכסים </t>
  </si>
  <si>
    <t xml:space="preserve">צהרוני גנים הנחות רווחה ( תשלום למתנ"ס) </t>
  </si>
  <si>
    <t>סל העשרה מלגות למשפחות נזקקות (תשלום למתנ"ס)</t>
  </si>
  <si>
    <t>צהרוני גנים סבסוד עירייה ( תשלום למתנ"ס)</t>
  </si>
  <si>
    <t>אגף ספורט אחזקת אולמות (תשלום למתנ"ס )</t>
  </si>
  <si>
    <t>חומרי ניקוי ובדק בית ושוטף קונסרבטוריון</t>
  </si>
  <si>
    <t xml:space="preserve">מקהלת נופר כנגד תשלומי משרד החינוך </t>
  </si>
  <si>
    <t>ימי מוסיקה כנגד הפקדות (הופעות)</t>
  </si>
  <si>
    <t xml:space="preserve">קופה קטנה מרכז צעירים  </t>
  </si>
  <si>
    <t xml:space="preserve">הוצאות קורס בודקי תוכנה מרכז צעירים </t>
  </si>
  <si>
    <t>הוצאות הזנה חינוך מיוחד (כרם גפנים ומועדוניות )</t>
  </si>
  <si>
    <t xml:space="preserve">חיוב בגין תלמידי חוץ ח"מ ע"י משרד החינוך </t>
  </si>
  <si>
    <t>מזון קשה קייטנות</t>
  </si>
  <si>
    <t xml:space="preserve">תשלום לאשכול נהגים פינוי אשפה </t>
  </si>
  <si>
    <t xml:space="preserve">הזנה יוח"א בי"ס קיזוז משרד החינוך </t>
  </si>
  <si>
    <t xml:space="preserve">ליווי הסעות רווחה </t>
  </si>
  <si>
    <t xml:space="preserve">פיתוח כלכלי-תעשיה </t>
  </si>
  <si>
    <t xml:space="preserve">ציוד משרדי קליקה </t>
  </si>
  <si>
    <t xml:space="preserve">תשלום למתנס השתתפות עירייה </t>
  </si>
  <si>
    <t>חומרי ניקוי האב</t>
  </si>
  <si>
    <t>ק.ק האב</t>
  </si>
  <si>
    <t>הרצאות האב</t>
  </si>
  <si>
    <t>שיפוץ ואחזקת מקלטים</t>
  </si>
  <si>
    <t xml:space="preserve">מחסן חרום רשותי </t>
  </si>
  <si>
    <t xml:space="preserve">אחזקת מרכזי הפעלה  לרשות </t>
  </si>
  <si>
    <t xml:space="preserve">אחזקת נגררים </t>
  </si>
  <si>
    <t xml:space="preserve">רכש אמצעים לחרום </t>
  </si>
  <si>
    <t xml:space="preserve">מערכת שליטה ובקרה לחרום </t>
  </si>
  <si>
    <t xml:space="preserve">ביטוח מרכיבי התגוננות </t>
  </si>
  <si>
    <t>בדיקה תקופתית מערכת איוורור וסינון</t>
  </si>
  <si>
    <t>קופה קטנה מתי"א -רכש</t>
  </si>
  <si>
    <t xml:space="preserve">קייטנות משרד החינוך  בבי"ס </t>
  </si>
  <si>
    <t>דמי שימוש מכונת טיאוט בינונית+טיאוט גדולה + משאית טמוני קרקע</t>
  </si>
  <si>
    <t xml:space="preserve">הסעות נט כרטיסיות </t>
  </si>
  <si>
    <t xml:space="preserve">תמיכות עמותות סיוע ועזרה  </t>
  </si>
  <si>
    <t xml:space="preserve">החזר הלוואה חכ"ל דיור מוגן </t>
  </si>
  <si>
    <t xml:space="preserve">תקן גננות ע. מדינה - רישום מקביל </t>
  </si>
  <si>
    <t xml:space="preserve">פעילות העשרה תלן כרם גפנים כנגד הכנסות מ.החינוך </t>
  </si>
  <si>
    <t>הסתדרות השומר הצעיר בישראל</t>
  </si>
  <si>
    <t xml:space="preserve">הכנסות שכ"ד קליקה </t>
  </si>
  <si>
    <t xml:space="preserve">הג"א ארצי והג"א מקומי טבלה מרכזת </t>
  </si>
  <si>
    <t xml:space="preserve">הנחות ארנונה רישום מקביל </t>
  </si>
  <si>
    <t>הכנסות -</t>
  </si>
  <si>
    <t>הוצאות:</t>
  </si>
  <si>
    <t>ביטוחים</t>
  </si>
  <si>
    <t>שכ"ד</t>
  </si>
  <si>
    <t>אירוח משלחות</t>
  </si>
  <si>
    <t>הוצאות ספרים עירוניים</t>
  </si>
  <si>
    <t>16</t>
  </si>
  <si>
    <t>17</t>
  </si>
  <si>
    <t>20</t>
  </si>
  <si>
    <t>21</t>
  </si>
  <si>
    <t>הוצאות -</t>
  </si>
  <si>
    <t xml:space="preserve">הכנסות חינוך - </t>
  </si>
  <si>
    <t>הכנסות תרבות -</t>
  </si>
  <si>
    <t>הכנסות רווחה -</t>
  </si>
  <si>
    <t>הוצאות שכר -</t>
  </si>
  <si>
    <t>הוצאות רווחה -</t>
  </si>
  <si>
    <t>קליקה -</t>
  </si>
  <si>
    <t>קורונה -</t>
  </si>
  <si>
    <t>חשמל ומים -</t>
  </si>
  <si>
    <t>דלקים ושמנים -</t>
  </si>
  <si>
    <t xml:space="preserve">ליסינג - </t>
  </si>
  <si>
    <t>הוצאות פעילות שוטפת (780) -</t>
  </si>
  <si>
    <t>הוצאות פעילות שוטפת (782) -</t>
  </si>
  <si>
    <t>תמיכות -</t>
  </si>
  <si>
    <t>18</t>
  </si>
  <si>
    <t>19</t>
  </si>
  <si>
    <t>הוצאות תיקוני רכב</t>
  </si>
  <si>
    <t>22</t>
  </si>
  <si>
    <t xml:space="preserve">הוצאות רישוי ובטוח לרכבים </t>
  </si>
  <si>
    <t>הוצאות תקשורת, פרסום, מיחשוב ומערכות ליבה, מים וגינון</t>
  </si>
  <si>
    <t>הוצאות ריבית ועמלות, מלוות</t>
  </si>
  <si>
    <t>פנסיה ופיצויים</t>
  </si>
  <si>
    <t>ראה עמוד 8</t>
  </si>
  <si>
    <t>ראה עמוד-8</t>
  </si>
  <si>
    <t>ראה עמוד-12</t>
  </si>
  <si>
    <t>ראה עמוד-20</t>
  </si>
  <si>
    <t>ראה עמוד-18</t>
  </si>
  <si>
    <t>ראה עמוד-19</t>
  </si>
  <si>
    <t>ראה עמוד-21</t>
  </si>
  <si>
    <t>ראה עמוד-22</t>
  </si>
  <si>
    <t>ראה עמוד-23</t>
  </si>
  <si>
    <t>ראה עמוד-24</t>
  </si>
  <si>
    <t>ראה עמוד-25</t>
  </si>
  <si>
    <t>ראה עמוד-26</t>
  </si>
  <si>
    <t>ראה עמוד-28</t>
  </si>
  <si>
    <t>ראה עמוד-27</t>
  </si>
  <si>
    <t>ראה עמוד- 29</t>
  </si>
  <si>
    <t>ראה עמוד -28</t>
  </si>
  <si>
    <t>ראה עמוד-31</t>
  </si>
  <si>
    <t>ראה עמוד-33</t>
  </si>
  <si>
    <t xml:space="preserve">ראה עמוד-13 </t>
  </si>
  <si>
    <t>ראה עמוד -17</t>
  </si>
  <si>
    <t xml:space="preserve">פעילות חרדית </t>
  </si>
  <si>
    <t xml:space="preserve">שרותי תרבות וספורט-מתנס כולל 2 שלוחות חדשות </t>
  </si>
  <si>
    <t xml:space="preserve">היגיינה וח. ניקוי חווה חקלאית </t>
  </si>
  <si>
    <t xml:space="preserve">עובדי מנהלת תרבות תשלום להיכל </t>
  </si>
  <si>
    <t xml:space="preserve">הוצאות ועדה מקומית </t>
  </si>
  <si>
    <t>ראה עמוד-1</t>
  </si>
  <si>
    <t>ראה עמוד-3</t>
  </si>
  <si>
    <t>ראה עמוד-4</t>
  </si>
  <si>
    <t>ראה עמוד-5-7</t>
  </si>
  <si>
    <t>קופה קטנה שמירה ביטחונית</t>
  </si>
  <si>
    <t>קופה קטנה תחנת מעבר</t>
  </si>
  <si>
    <t xml:space="preserve">ק.קטנה מח' תשתיות </t>
  </si>
  <si>
    <t xml:space="preserve">ק.ק חווה חקלאית </t>
  </si>
  <si>
    <t xml:space="preserve">שוטף חווה חקלאית </t>
  </si>
  <si>
    <t>הוצאות מרפ"ד - פיסג"ה</t>
  </si>
  <si>
    <t>הוצאות מרפ"ד - מתי"א</t>
  </si>
  <si>
    <t>מתי"א כנגד הכנ' מ.חינוך</t>
  </si>
  <si>
    <t>ק.ק. אירועים עירוניים</t>
  </si>
  <si>
    <t>עבודות קבלניות הדברה</t>
  </si>
  <si>
    <t>מרכז שירות לתושב</t>
  </si>
  <si>
    <t>שוטף יד לבנים</t>
  </si>
  <si>
    <t>דמי שימוש שנתיים לאשכול בית הכרם ורכישת רכבים</t>
  </si>
  <si>
    <t>רכישת רכב ראש העיר</t>
  </si>
  <si>
    <t>חומרי ניקוי ספריה (כולל קומת קבסים)-רכש</t>
  </si>
  <si>
    <t>קליקה שוטף</t>
  </si>
  <si>
    <t>סה"כ הג"א מקומי</t>
  </si>
  <si>
    <t>כ"א אחזקת מקלטים</t>
  </si>
  <si>
    <t>עבודות קבלניות, פיתוח כלכלי, השתת' ותרומות, הסעות תלמידים</t>
  </si>
  <si>
    <t>הג"א</t>
  </si>
  <si>
    <t>מיחשוב ועדה מקומית (בר טכנ')</t>
  </si>
  <si>
    <t>קופה קטנה סגנית ראש העיר</t>
  </si>
  <si>
    <t>הכנסות תקורה א.ע לביוב</t>
  </si>
  <si>
    <t>הג"א חירום</t>
  </si>
  <si>
    <t xml:space="preserve">ציוד משרדי משא"ז </t>
  </si>
  <si>
    <t>ציוד משרדי מח' הספורט</t>
  </si>
  <si>
    <t>ציוד משרדי קליקה</t>
  </si>
  <si>
    <t>תלמידי חוץ ח"מ</t>
  </si>
  <si>
    <t>קופה קטנה האב</t>
  </si>
  <si>
    <t>אחזקת מקלטים רגילים - הג"א</t>
  </si>
  <si>
    <t>תקציב 2022 עדכון (1)</t>
  </si>
  <si>
    <t>תקציב מעודכן 2021</t>
  </si>
  <si>
    <t>תקציב 2022 מעודכן (מס' 1)</t>
  </si>
  <si>
    <t xml:space="preserve">הוצאות חנות חברתית רווחה כנגד הפקדות </t>
  </si>
  <si>
    <t xml:space="preserve">הוצאות שונות מנהל כללי </t>
  </si>
  <si>
    <t>נאמני קורונה</t>
  </si>
  <si>
    <t>פדגוגיות שעתיות</t>
  </si>
  <si>
    <t xml:space="preserve">תחזוקה מועדוניים קהילתיים </t>
  </si>
  <si>
    <t xml:space="preserve">הכנסות מפיקוח וטרינרי בשווקים </t>
  </si>
  <si>
    <t>הצעה 2023</t>
  </si>
  <si>
    <t>ביצוע 1-6/2022</t>
  </si>
  <si>
    <t>תקציב 2022 מעודכן (מס 2)</t>
  </si>
  <si>
    <t>תקציב 2022 מעודכן (מס 1)</t>
  </si>
  <si>
    <t xml:space="preserve">השתת' הממשלה לג.ילדים חובה </t>
  </si>
  <si>
    <t>השת' הממשלה לג.ילדים ט.חובה</t>
  </si>
  <si>
    <t>השתת' הממשלה לבת"ס יסודיים כולל ביה"ס וגנ"י לחופש גדול</t>
  </si>
  <si>
    <t xml:space="preserve">השתת' הממשלה לקב"טים </t>
  </si>
  <si>
    <t>אבטחת מוס' חינוך משטרת ישראל</t>
  </si>
  <si>
    <t>השתת' הורים-ג.ילדים ט.חובה</t>
  </si>
  <si>
    <t>גני מועדון-גביה על ידי מתנ"ס מ9.2020</t>
  </si>
  <si>
    <t>הערות</t>
  </si>
  <si>
    <t>ביצוע 2020 (דוחות)</t>
  </si>
  <si>
    <t>ביצוע 2021 (דוחות)</t>
  </si>
  <si>
    <t>הוצאות שכר</t>
  </si>
  <si>
    <t>הוצאות רישוי ובטוח לרכבי עירייה שאינם בליסינג</t>
  </si>
  <si>
    <t>הוצאות מיחשוב, מערכות ליבה הנה"ח, גביה ושכר</t>
  </si>
  <si>
    <t xml:space="preserve">השתתפות עירייה קליקה (תשלום למתנ"ס) </t>
  </si>
  <si>
    <t xml:space="preserve">ראה עמוד-25 </t>
  </si>
  <si>
    <t>קישורים</t>
  </si>
  <si>
    <t>אחזקת נגררים (ביטוח)</t>
  </si>
  <si>
    <t>חשמל ומים בתי ספר</t>
  </si>
  <si>
    <t>דלק ושמנים מרכז ברוך</t>
  </si>
  <si>
    <t xml:space="preserve">שכירות ליסינג חינוך נוער  </t>
  </si>
  <si>
    <t>רווח והפסד מנ"ע כולל שיערוך</t>
  </si>
  <si>
    <t>סעיף הועבר להיטל שמירה</t>
  </si>
  <si>
    <t>מסגרות חינוך בחופשה</t>
  </si>
  <si>
    <t>430+771</t>
  </si>
  <si>
    <t>פיתוח כלכלי האב</t>
  </si>
  <si>
    <t>ניהול ותפעול קייטנות גנים</t>
  </si>
  <si>
    <t>ארגון נוער אור ישראלי</t>
  </si>
  <si>
    <t>קיטנות השתתפות מ.חינוך</t>
  </si>
  <si>
    <t>צמצום פערים</t>
  </si>
  <si>
    <t>העשרה ח.מיוחד - מוסד</t>
  </si>
  <si>
    <t>חופשות לאוטיסטים</t>
  </si>
  <si>
    <t>שרתים ומזכירים חפץ חיים</t>
  </si>
  <si>
    <t xml:space="preserve">מענקי קורונה משרדי ממשלה </t>
  </si>
  <si>
    <t>סיעות כית.בי"ס חריגות</t>
  </si>
  <si>
    <t xml:space="preserve">סייעות כיתתיות </t>
  </si>
  <si>
    <t>סייעות רפואיות</t>
  </si>
  <si>
    <t>חליפת מיגון</t>
  </si>
  <si>
    <t>ועדת תסקירים</t>
  </si>
  <si>
    <t>טיפול בזקנים בסיכון</t>
  </si>
  <si>
    <t>חסידי אומות העולם</t>
  </si>
  <si>
    <t>מועדונים תוכ.העשרה</t>
  </si>
  <si>
    <t>מ.יום טיפולי-עולים</t>
  </si>
  <si>
    <t>ס.במעונות-מש"ה עולים</t>
  </si>
  <si>
    <t>הכנסות מהסדרי פנסיה</t>
  </si>
  <si>
    <t>החזרי צהרונים מ.תמ"ת</t>
  </si>
  <si>
    <t>סייעת לילד חולה בבית</t>
  </si>
  <si>
    <t>שרתים ומזכירים</t>
  </si>
  <si>
    <t>תוכניות קהילה למשפחות</t>
  </si>
  <si>
    <t>הזדקנות מיטבית קהילה</t>
  </si>
  <si>
    <t>מרכז יום ותעסוקה לב</t>
  </si>
  <si>
    <t>נערות חוץ ביתי</t>
  </si>
  <si>
    <t>הכנסות משכ"ע עובדים מושאלים</t>
  </si>
  <si>
    <t>עמלות אכיפה מילגם</t>
  </si>
  <si>
    <t>תיקונים הדברה</t>
  </si>
  <si>
    <t>צמצום פערים קורונה</t>
  </si>
  <si>
    <t>אגרות תלמידי חוץ</t>
  </si>
  <si>
    <t>תרבות יהודית כנגד הכנ' מ.ממשלה</t>
  </si>
  <si>
    <t>הוצאות תמלול חוק הנגשה רווחה</t>
  </si>
  <si>
    <t>הצט' מועדוני נוער כנגד הפקדות</t>
  </si>
  <si>
    <t>פורום נשים כרמיאל-משגב</t>
  </si>
  <si>
    <t xml:space="preserve">חינוך על יסודי -חשמל הורביץ </t>
  </si>
  <si>
    <t>חינוך מיוחד- ניצן</t>
  </si>
  <si>
    <t>חליפות מיגון</t>
  </si>
  <si>
    <t>טיפול במשפחות חירום אוקרינה</t>
  </si>
  <si>
    <t>וועדת תסקירים</t>
  </si>
  <si>
    <t>כיבוד האב</t>
  </si>
  <si>
    <t xml:space="preserve">הוצאות קורונה 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</si>
  <si>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</si>
  <si>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</si>
  <si>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</si>
  <si>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</si>
  <si>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</si>
  <si>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</si>
  <si>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</si>
  <si>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</si>
  <si>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</si>
  <si>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</si>
  <si>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הוצאות קידום נוער כנגד הכנסות משרד החינוך</t>
  </si>
  <si>
    <t>הוצאות שוטפות גזברות</t>
  </si>
  <si>
    <t>קייטנות משרד החינוך גנ"י</t>
  </si>
  <si>
    <t>ק.ק קידום ומדיה דיגיטלית</t>
  </si>
  <si>
    <t>השת' רשויות בהפעלת פיקוד העורף</t>
  </si>
  <si>
    <t>משאית חשמלית זעירה</t>
  </si>
  <si>
    <t>מעונות חסות ממשלתיים</t>
  </si>
  <si>
    <t>מועדונים לבוגרים עם אוטיזם</t>
  </si>
  <si>
    <t>מועדונים לבוגרים עם אוטוזם</t>
  </si>
  <si>
    <t>טיפול במשפחות חירום-אוקרינה</t>
  </si>
  <si>
    <t>תוכניות מעבר</t>
  </si>
  <si>
    <t>הוצאות קבלניות לגינון שטחי העיר (מכרז משכ"ל)</t>
  </si>
  <si>
    <t>הוצאות אגף ספורט עירוני כנגד הכנסות משרדי ממשלה</t>
  </si>
  <si>
    <t xml:space="preserve">הוצאות נכסים, ועדי בתים </t>
  </si>
  <si>
    <t>דמי שתיה עובדי חוץ בגינון</t>
  </si>
  <si>
    <t>ק.ק. מינהלת רובעים - גינון</t>
  </si>
  <si>
    <t>השתתפות עירייה מרכז צעירים (תשלום שכר למתנ"ס)</t>
  </si>
  <si>
    <t>ק.ק אחזקה</t>
  </si>
  <si>
    <t>תרבות יהודית הכנ' ממשלה ועצמיות</t>
  </si>
  <si>
    <t>שוטף האב</t>
  </si>
  <si>
    <t>הכנסות מדמי שירות במטווח</t>
  </si>
  <si>
    <t>עיר הילדים והנוער כנגד מ.החינוך</t>
  </si>
  <si>
    <t>יתד תכניות צעירים</t>
  </si>
  <si>
    <t>לסגור לפי דוח הקצבה</t>
  </si>
  <si>
    <t xml:space="preserve">חשמל ומים מוסדות </t>
  </si>
  <si>
    <t>הוצאות ביטוחים צד ג' וחבויות עפ"י התפלגות פרמיה והשתתפות עצמית</t>
  </si>
  <si>
    <t>קליקה - ריכוז הוצאות והכנסות</t>
  </si>
  <si>
    <t>סה"כ הג"א מקומי וארצי</t>
  </si>
  <si>
    <t xml:space="preserve">הכנסות עצמיות ממרכז צעירים </t>
  </si>
  <si>
    <t>הכנסות מהופעות קונסרבטוריון</t>
  </si>
  <si>
    <t>הכנסות ממשלה תרבות (כללית)</t>
  </si>
  <si>
    <t>סה"כ כולל</t>
  </si>
  <si>
    <t>הכ' מהפקדות הצט' מועדוני נוער</t>
  </si>
  <si>
    <t>עיר הילדים והנוער הכ' מ. החינוך</t>
  </si>
  <si>
    <t>עב' קבלניות לכידת בעלי חיים</t>
  </si>
  <si>
    <t>פיתוח כלכלי (מבקר העירייה)</t>
  </si>
  <si>
    <t>לבטל סעיף</t>
  </si>
  <si>
    <t>הסכמים הסתיימו</t>
  </si>
  <si>
    <t>בתפוסה מלאה</t>
  </si>
  <si>
    <t>כולל קורס בודקי תוכנה שנת 2021 (94)</t>
  </si>
  <si>
    <t>הכנסות מאנטנות כולל פוטו וולטאים שלב א'</t>
  </si>
  <si>
    <t>מנהלי רובע</t>
  </si>
  <si>
    <t>הכנ' חש' אנט' פוטו וולט שלב ב'</t>
  </si>
  <si>
    <t>אחזקת נגררים</t>
  </si>
  <si>
    <t>300-320</t>
  </si>
  <si>
    <t>דלק ושמנים קליטה</t>
  </si>
  <si>
    <t>מבוטל</t>
  </si>
  <si>
    <t>להעביר יתרות ולבטל. כפילות עם סעיף 1812293782</t>
  </si>
  <si>
    <t xml:space="preserve">הוצאות בית ספר  </t>
  </si>
  <si>
    <t>לבטל</t>
  </si>
  <si>
    <t>תקציב כפול- לבטל 23</t>
  </si>
  <si>
    <t>סל רשותי גפ"ן</t>
  </si>
  <si>
    <t>סל מוסדי גפ"ן השתתפות רשות</t>
  </si>
  <si>
    <t>אחזקת בי"ס יסודיים (חשמל ומים ניהול עצמי)</t>
  </si>
  <si>
    <t>השת' עירייה חווידע (תשלום למתנס)</t>
  </si>
  <si>
    <t>פינוי וקליטת פסולת גושית</t>
  </si>
  <si>
    <t>הזנה גנ"י חובה קיזוז משרד החינוך</t>
  </si>
  <si>
    <t>הועבר לסעיף 1312500920, לבטל סעיף</t>
  </si>
  <si>
    <t>מבוטל, מועבר לסעיף 1313200924</t>
  </si>
  <si>
    <t>תוספת סייעת יוח"א גנים</t>
  </si>
  <si>
    <t>לבטל סעיף הוצאות (קיזוז)</t>
  </si>
  <si>
    <t>לבטל, הועבר לסעיף 1313700420</t>
  </si>
  <si>
    <t>לבטל, הועבר לסעיף 1312211920</t>
  </si>
  <si>
    <t xml:space="preserve">לבטל </t>
  </si>
  <si>
    <t xml:space="preserve">גני מועדון וצהרונים (משרד הכלכלה) </t>
  </si>
  <si>
    <t>להעביר להוצאות גנ"י ולבטל</t>
  </si>
  <si>
    <t>להעביר לקייטנות ולבטל</t>
  </si>
  <si>
    <t>להעביר להוצאות בי"ס ולבטל</t>
  </si>
  <si>
    <t xml:space="preserve">פרסומים מינהל כללי </t>
  </si>
  <si>
    <t>שכירות ליסינג ספורט</t>
  </si>
  <si>
    <t>שכירות ליסינג קליטה</t>
  </si>
  <si>
    <t>הוצאות שוטפות מח' קציני ביקור סדיר</t>
  </si>
  <si>
    <t>לצרף לתקציב סעיף אחר</t>
  </si>
  <si>
    <t>נפגעי התמכרויות טיפול בקהילה</t>
  </si>
  <si>
    <r>
      <t>ק.ק. נכסים</t>
    </r>
    <r>
      <rPr>
        <sz val="11"/>
        <color rgb="FFFF0000"/>
        <rFont val="Arial"/>
        <family val="2"/>
        <scheme val="minor"/>
      </rPr>
      <t xml:space="preserve"> </t>
    </r>
  </si>
  <si>
    <r>
      <t>וועדת ערר</t>
    </r>
    <r>
      <rPr>
        <sz val="11"/>
        <rFont val="Arial"/>
        <family val="2"/>
        <scheme val="minor"/>
      </rPr>
      <t xml:space="preserve"> טיפול משפטי</t>
    </r>
  </si>
  <si>
    <t>הוצאות שוטפות גביה</t>
  </si>
  <si>
    <t>הוצאות שוטפות אכיפה</t>
  </si>
  <si>
    <t>קופה קטנה תברואה</t>
  </si>
  <si>
    <t xml:space="preserve">עבר לסעיף </t>
  </si>
  <si>
    <t>עדכון אוטומטי 1.92%+ סקר מדידות</t>
  </si>
  <si>
    <t xml:space="preserve">ת.תקשוב - קיזוז רשויות </t>
  </si>
  <si>
    <t>ת.תקשוב - קיזוז רשויות</t>
  </si>
  <si>
    <t xml:space="preserve">נפתח סעיף חדש של מנהלי רובע </t>
  </si>
  <si>
    <t>פנסיה</t>
  </si>
  <si>
    <t>פנסיונרים</t>
  </si>
  <si>
    <t>קרן לרווחת גמלאים</t>
  </si>
  <si>
    <t>פנסיה רצף זכויות</t>
  </si>
  <si>
    <t>סיכום סעיפי 110</t>
  </si>
  <si>
    <t>סה"כ פרק 999 סעיפים 300-320</t>
  </si>
  <si>
    <t xml:space="preserve">לבטל סעיף  </t>
  </si>
  <si>
    <t>תאום בין סעיפים</t>
  </si>
  <si>
    <t>מעודכן 2022</t>
  </si>
  <si>
    <t>סה"כ כללי</t>
  </si>
  <si>
    <t>סה"כ הוצאות שכר כולל פנסיונרים</t>
  </si>
  <si>
    <t>סה"כ הוצאות שכר כולל פנסיונרים בניכוי מעבר לתברים וקרנות</t>
  </si>
  <si>
    <t>תנועת בנות בית יעקב - בנות בתיה</t>
  </si>
  <si>
    <t>השת' למתנס צעירים בעלי מוגבלויות (מתנס)</t>
  </si>
  <si>
    <t>ראה עמוד 27</t>
  </si>
  <si>
    <t>הוצאות קבלניות לטיאוט רחובות (מכרז משכ"ל שלג לבן+ אשכול בית הכרם)</t>
  </si>
  <si>
    <t>סל מוסדי גפ"ן</t>
  </si>
  <si>
    <t>איחוד סעיפים</t>
  </si>
  <si>
    <t>הוצאות סל ספורט כנגד הכנסות עצמיות</t>
  </si>
  <si>
    <t>בחירות לרשויות מקומיות</t>
  </si>
  <si>
    <t>החזר מזכירים קלפיות</t>
  </si>
  <si>
    <t xml:space="preserve">תקציב מעודכן 2022 והצעת תקציב 2023 </t>
  </si>
  <si>
    <r>
      <t>עדכון תקציב 2022 והצעת תקציב 2023-</t>
    </r>
    <r>
      <rPr>
        <b/>
        <u/>
        <sz val="18"/>
        <rFont val="Arial"/>
        <family val="2"/>
        <scheme val="minor"/>
      </rPr>
      <t xml:space="preserve"> הכנסות</t>
    </r>
    <r>
      <rPr>
        <b/>
        <u/>
        <sz val="18"/>
        <color theme="1"/>
        <rFont val="Arial"/>
        <family val="2"/>
        <scheme val="minor"/>
      </rPr>
      <t xml:space="preserve"> </t>
    </r>
  </si>
  <si>
    <r>
      <t xml:space="preserve">עדכון תקציב 2022 הצעת תקציב 2023 - </t>
    </r>
    <r>
      <rPr>
        <b/>
        <u/>
        <sz val="18"/>
        <rFont val="Arial"/>
        <family val="2"/>
        <scheme val="minor"/>
      </rPr>
      <t>הוצאות</t>
    </r>
    <r>
      <rPr>
        <b/>
        <u/>
        <sz val="18"/>
        <color theme="1"/>
        <rFont val="Arial"/>
        <family val="2"/>
        <scheme val="minor"/>
      </rPr>
      <t xml:space="preserve"> </t>
    </r>
  </si>
  <si>
    <t>פעולות כנגד הכנסות ממשרדי ממשלה מרכז צעירים</t>
  </si>
  <si>
    <t>הערות/ קישורים</t>
  </si>
  <si>
    <t>בשנים 2020-22 בעקבות משבר הקורונה אושרו ונדחה פרעון המלוות בשלושה חודשים</t>
  </si>
  <si>
    <t xml:space="preserve">ביצוע 2021 </t>
  </si>
  <si>
    <t xml:space="preserve">מס' חשבון </t>
  </si>
  <si>
    <t xml:space="preserve">הוצאות אכיפה משפטית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</si>
</sst>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#0"/>
    <numFmt numFmtId="166" formatCode="#,##0_ ;\-#,##0\ "/>
  </numFmts>
  <fonts count="6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Tahoma"/>
      <family val="2"/>
    </font>
    <font>
      <sz val="14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u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8"/>
      <color theme="1"/>
      <name val="Tahoma"/>
      <family val="2"/>
    </font>
    <font>
      <b/>
      <sz val="9"/>
      <color rgb="FFFF0000"/>
      <name val="Tahoma"/>
      <family val="2"/>
    </font>
    <font>
      <sz val="9"/>
      <color rgb="FFFF0000"/>
      <name val="Tahoma"/>
      <family val="2"/>
    </font>
    <font>
      <sz val="9"/>
      <color theme="1"/>
      <name val="Tahoma"/>
      <family val="2"/>
    </font>
    <font>
      <sz val="11"/>
      <color rgb="FFFF000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i/>
      <u/>
      <sz val="16"/>
      <color theme="8" tint="-0.499984740745262"/>
      <name val="Arial"/>
      <family val="2"/>
      <scheme val="minor"/>
    </font>
    <font>
      <b/>
      <sz val="14"/>
      <color theme="8" tint="-0.499984740745262"/>
      <name val="Arial"/>
      <family val="2"/>
      <scheme val="minor"/>
    </font>
    <font>
      <sz val="11"/>
      <color theme="8" tint="-0.499984740745262"/>
      <name val="Arial"/>
      <family val="2"/>
      <scheme val="minor"/>
    </font>
    <font>
      <sz val="14"/>
      <color theme="8" tint="-0.499984740745262"/>
      <name val="Arial"/>
      <family val="2"/>
      <scheme val="minor"/>
    </font>
    <font>
      <sz val="12"/>
      <color theme="8" tint="-0.499984740745262"/>
      <name val="Arial"/>
      <family val="2"/>
      <scheme val="minor"/>
    </font>
    <font>
      <sz val="10.5"/>
      <color theme="1"/>
      <name val="Arial"/>
      <family val="2"/>
      <scheme val="minor"/>
    </font>
    <font>
      <sz val="10.5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u/>
      <sz val="11"/>
      <color theme="8" tint="-0.499984740745262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1"/>
      <color theme="8" tint="-0.499984740745262"/>
      <name val="Arial"/>
      <family val="2"/>
      <scheme val="minor"/>
    </font>
    <font>
      <u/>
      <sz val="11"/>
      <color theme="8" tint="-0.499984740745262"/>
      <name val="Arial"/>
      <family val="2"/>
      <scheme val="minor"/>
    </font>
    <font>
      <b/>
      <sz val="18"/>
      <color theme="8" tint="-0.499984740745262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sz val="12"/>
      <color rgb="FFFF0000"/>
      <name val="Arial"/>
      <family val="2"/>
      <scheme val="minor"/>
    </font>
    <font>
      <u/>
      <sz val="18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1"/>
      <name val="Arial"/>
      <family val="2"/>
      <scheme val="minor"/>
    </font>
    <font>
      <u/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8"/>
      <name val="Arial"/>
      <family val="2"/>
      <scheme val="minor"/>
    </font>
    <font>
      <sz val="10.5"/>
      <name val="Arial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0" borderId="0"/>
    <xf numFmtId="43" fontId="29" fillId="0" borderId="0" applyFont="0" applyFill="0" applyBorder="0" applyAlignment="0" applyProtection="0"/>
    <xf numFmtId="0" fontId="51" fillId="0" borderId="0" applyNumberFormat="0" applyFill="0" applyBorder="0" applyAlignment="0" applyProtection="0"/>
  </cellStyleXfs>
  <cellXfs count="581">
    <xf numFmtId="0" fontId="0" fillId="0" borderId="0" xfId="0"/>
    <xf numFmtId="4" fontId="0" fillId="0" borderId="0" xfId="0" applyNumberFormat="1"/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0" fillId="0" borderId="10" xfId="0" applyBorder="1"/>
    <xf numFmtId="0" fontId="0" fillId="0" borderId="0" xfId="0" applyAlignment="1">
      <alignment horizontal="center"/>
    </xf>
    <xf numFmtId="0" fontId="22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22" fillId="34" borderId="0" xfId="0" applyFont="1" applyFill="1" applyAlignment="1">
      <alignment horizontal="center" vertical="center"/>
    </xf>
    <xf numFmtId="0" fontId="0" fillId="34" borderId="10" xfId="0" applyFill="1" applyBorder="1"/>
    <xf numFmtId="0" fontId="21" fillId="34" borderId="0" xfId="0" applyFont="1" applyFill="1" applyBorder="1" applyAlignment="1">
      <alignment horizontal="center"/>
    </xf>
    <xf numFmtId="9" fontId="21" fillId="34" borderId="0" xfId="2" applyFont="1" applyFill="1" applyBorder="1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/>
    <xf numFmtId="0" fontId="23" fillId="0" borderId="0" xfId="0" applyFont="1"/>
    <xf numFmtId="0" fontId="22" fillId="34" borderId="0" xfId="0" applyFont="1" applyFill="1"/>
    <xf numFmtId="0" fontId="21" fillId="34" borderId="16" xfId="0" applyFont="1" applyFill="1" applyBorder="1"/>
    <xf numFmtId="0" fontId="0" fillId="34" borderId="0" xfId="0" applyFill="1"/>
    <xf numFmtId="0" fontId="21" fillId="34" borderId="0" xfId="0" applyFont="1" applyFill="1" applyAlignment="1">
      <alignment horizontal="center"/>
    </xf>
    <xf numFmtId="3" fontId="21" fillId="34" borderId="0" xfId="0" applyNumberFormat="1" applyFont="1" applyFill="1" applyAlignment="1">
      <alignment horizontal="center"/>
    </xf>
    <xf numFmtId="0" fontId="22" fillId="34" borderId="0" xfId="0" applyFont="1" applyFill="1" applyAlignment="1">
      <alignment horizontal="center"/>
    </xf>
    <xf numFmtId="0" fontId="0" fillId="0" borderId="10" xfId="0" applyBorder="1" applyAlignment="1">
      <alignment wrapText="1"/>
    </xf>
    <xf numFmtId="0" fontId="0" fillId="0" borderId="14" xfId="0" applyBorder="1"/>
    <xf numFmtId="0" fontId="20" fillId="34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4" fontId="21" fillId="0" borderId="0" xfId="0" applyNumberFormat="1" applyFont="1"/>
    <xf numFmtId="0" fontId="0" fillId="0" borderId="0" xfId="0" applyAlignment="1">
      <alignment wrapText="1"/>
    </xf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horizontal="right"/>
    </xf>
    <xf numFmtId="0" fontId="14" fillId="0" borderId="0" xfId="0" applyFont="1"/>
    <xf numFmtId="0" fontId="0" fillId="34" borderId="0" xfId="0" applyFill="1" applyAlignment="1">
      <alignment wrapText="1"/>
    </xf>
    <xf numFmtId="3" fontId="0" fillId="0" borderId="10" xfId="0" applyNumberFormat="1" applyBorder="1"/>
    <xf numFmtId="49" fontId="28" fillId="0" borderId="0" xfId="0" applyNumberFormat="1" applyFont="1"/>
    <xf numFmtId="0" fontId="0" fillId="0" borderId="0" xfId="0" applyAlignment="1">
      <alignment horizontal="center"/>
    </xf>
    <xf numFmtId="0" fontId="22" fillId="34" borderId="0" xfId="0" applyFont="1" applyFill="1" applyAlignment="1">
      <alignment horizontal="center"/>
    </xf>
    <xf numFmtId="0" fontId="0" fillId="0" borderId="0" xfId="0" applyBorder="1"/>
    <xf numFmtId="1" fontId="0" fillId="0" borderId="0" xfId="0" applyNumberFormat="1"/>
    <xf numFmtId="1" fontId="0" fillId="0" borderId="10" xfId="0" applyNumberFormat="1" applyBorder="1"/>
    <xf numFmtId="1" fontId="0" fillId="0" borderId="10" xfId="2" applyNumberFormat="1" applyFont="1" applyBorder="1" applyAlignment="1">
      <alignment horizontal="center"/>
    </xf>
    <xf numFmtId="0" fontId="0" fillId="0" borderId="0" xfId="0" applyFill="1"/>
    <xf numFmtId="4" fontId="0" fillId="0" borderId="10" xfId="0" applyNumberFormat="1" applyBorder="1" applyAlignment="1">
      <alignment wrapText="1"/>
    </xf>
    <xf numFmtId="0" fontId="0" fillId="0" borderId="13" xfId="0" applyBorder="1" applyAlignment="1">
      <alignment wrapText="1"/>
    </xf>
    <xf numFmtId="4" fontId="21" fillId="34" borderId="0" xfId="0" applyNumberFormat="1" applyFont="1" applyFill="1" applyBorder="1" applyAlignment="1">
      <alignment wrapText="1"/>
    </xf>
    <xf numFmtId="4" fontId="0" fillId="0" borderId="0" xfId="0" applyNumberFormat="1" applyAlignment="1">
      <alignment wrapText="1"/>
    </xf>
    <xf numFmtId="3" fontId="0" fillId="0" borderId="10" xfId="0" applyNumberFormat="1" applyBorder="1" applyAlignment="1">
      <alignment wrapText="1"/>
    </xf>
    <xf numFmtId="0" fontId="20" fillId="0" borderId="0" xfId="0" applyFont="1"/>
    <xf numFmtId="0" fontId="0" fillId="34" borderId="14" xfId="0" applyFill="1" applyBorder="1"/>
    <xf numFmtId="0" fontId="34" fillId="0" borderId="0" xfId="0" applyFont="1"/>
    <xf numFmtId="0" fontId="0" fillId="0" borderId="19" xfId="0" applyBorder="1"/>
    <xf numFmtId="0" fontId="0" fillId="36" borderId="0" xfId="0" applyFill="1"/>
    <xf numFmtId="0" fontId="0" fillId="0" borderId="13" xfId="0" applyBorder="1"/>
    <xf numFmtId="1" fontId="21" fillId="38" borderId="10" xfId="0" applyNumberFormat="1" applyFont="1" applyFill="1" applyBorder="1" applyAlignment="1">
      <alignment horizontal="center"/>
    </xf>
    <xf numFmtId="3" fontId="21" fillId="38" borderId="10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3" fontId="2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21" fillId="0" borderId="0" xfId="0" applyNumberFormat="1" applyFont="1"/>
    <xf numFmtId="0" fontId="25" fillId="0" borderId="10" xfId="0" applyFont="1" applyBorder="1"/>
    <xf numFmtId="0" fontId="25" fillId="34" borderId="10" xfId="0" applyFont="1" applyFill="1" applyBorder="1"/>
    <xf numFmtId="0" fontId="35" fillId="0" borderId="0" xfId="0" applyFont="1"/>
    <xf numFmtId="4" fontId="35" fillId="0" borderId="0" xfId="0" applyNumberFormat="1" applyFont="1"/>
    <xf numFmtId="0" fontId="36" fillId="0" borderId="0" xfId="0" applyFont="1"/>
    <xf numFmtId="165" fontId="36" fillId="0" borderId="0" xfId="0" applyNumberFormat="1" applyFont="1"/>
    <xf numFmtId="4" fontId="36" fillId="0" borderId="0" xfId="0" applyNumberFormat="1" applyFont="1"/>
    <xf numFmtId="3" fontId="36" fillId="0" borderId="0" xfId="0" applyNumberFormat="1" applyFont="1"/>
    <xf numFmtId="165" fontId="37" fillId="0" borderId="0" xfId="0" applyNumberFormat="1" applyFont="1"/>
    <xf numFmtId="4" fontId="37" fillId="0" borderId="0" xfId="0" applyNumberFormat="1" applyFont="1"/>
    <xf numFmtId="0" fontId="38" fillId="0" borderId="0" xfId="0" applyFont="1"/>
    <xf numFmtId="165" fontId="36" fillId="34" borderId="0" xfId="0" applyNumberFormat="1" applyFont="1" applyFill="1"/>
    <xf numFmtId="165" fontId="36" fillId="35" borderId="0" xfId="0" applyNumberFormat="1" applyFont="1" applyFill="1"/>
    <xf numFmtId="4" fontId="36" fillId="35" borderId="0" xfId="0" applyNumberFormat="1" applyFont="1" applyFill="1"/>
    <xf numFmtId="3" fontId="36" fillId="35" borderId="0" xfId="0" applyNumberFormat="1" applyFont="1" applyFill="1"/>
    <xf numFmtId="0" fontId="36" fillId="35" borderId="0" xfId="0" applyFont="1" applyFill="1"/>
    <xf numFmtId="0" fontId="39" fillId="35" borderId="0" xfId="0" applyFont="1" applyFill="1"/>
    <xf numFmtId="0" fontId="40" fillId="35" borderId="0" xfId="0" applyFont="1" applyFill="1"/>
    <xf numFmtId="0" fontId="41" fillId="0" borderId="0" xfId="0" applyFont="1"/>
    <xf numFmtId="165" fontId="37" fillId="35" borderId="0" xfId="0" applyNumberFormat="1" applyFont="1" applyFill="1"/>
    <xf numFmtId="4" fontId="37" fillId="35" borderId="0" xfId="0" applyNumberFormat="1" applyFont="1" applyFill="1"/>
    <xf numFmtId="164" fontId="14" fillId="0" borderId="0" xfId="1" applyNumberFormat="1" applyFont="1"/>
    <xf numFmtId="0" fontId="25" fillId="34" borderId="10" xfId="0" applyFont="1" applyFill="1" applyBorder="1" applyAlignment="1">
      <alignment wrapText="1"/>
    </xf>
    <xf numFmtId="0" fontId="25" fillId="0" borderId="10" xfId="0" applyFont="1" applyBorder="1" applyAlignment="1">
      <alignment wrapText="1"/>
    </xf>
    <xf numFmtId="0" fontId="25" fillId="34" borderId="11" xfId="0" applyFont="1" applyFill="1" applyBorder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10" xfId="0" applyFont="1" applyBorder="1" applyAlignment="1">
      <alignment horizontal="right"/>
    </xf>
    <xf numFmtId="0" fontId="0" fillId="34" borderId="10" xfId="0" applyFill="1" applyBorder="1" applyAlignment="1">
      <alignment horizontal="right"/>
    </xf>
    <xf numFmtId="3" fontId="0" fillId="34" borderId="10" xfId="0" applyNumberFormat="1" applyFill="1" applyBorder="1" applyAlignment="1">
      <alignment horizontal="right"/>
    </xf>
    <xf numFmtId="3" fontId="25" fillId="0" borderId="10" xfId="0" applyNumberFormat="1" applyFont="1" applyBorder="1" applyAlignment="1">
      <alignment horizontal="right"/>
    </xf>
    <xf numFmtId="1" fontId="25" fillId="0" borderId="10" xfId="0" applyNumberFormat="1" applyFont="1" applyBorder="1" applyAlignment="1">
      <alignment horizontal="right"/>
    </xf>
    <xf numFmtId="1" fontId="0" fillId="34" borderId="10" xfId="0" applyNumberFormat="1" applyFill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21" fillId="38" borderId="10" xfId="0" applyNumberFormat="1" applyFont="1" applyFill="1" applyBorder="1" applyAlignment="1"/>
    <xf numFmtId="43" fontId="35" fillId="35" borderId="0" xfId="1" applyFont="1" applyFill="1"/>
    <xf numFmtId="43" fontId="36" fillId="35" borderId="0" xfId="1" applyFont="1" applyFill="1"/>
    <xf numFmtId="43" fontId="40" fillId="35" borderId="0" xfId="1" applyFont="1" applyFill="1"/>
    <xf numFmtId="4" fontId="36" fillId="39" borderId="0" xfId="0" applyNumberFormat="1" applyFont="1" applyFill="1"/>
    <xf numFmtId="164" fontId="0" fillId="0" borderId="10" xfId="1" applyNumberFormat="1" applyFont="1" applyBorder="1" applyAlignment="1">
      <alignment horizontal="right"/>
    </xf>
    <xf numFmtId="1" fontId="0" fillId="0" borderId="0" xfId="0" applyNumberFormat="1" applyAlignment="1">
      <alignment horizontal="center"/>
    </xf>
    <xf numFmtId="0" fontId="21" fillId="0" borderId="0" xfId="0" applyFont="1" applyAlignment="1">
      <alignment wrapText="1"/>
    </xf>
    <xf numFmtId="1" fontId="0" fillId="0" borderId="10" xfId="0" applyNumberFormat="1" applyBorder="1" applyAlignment="1">
      <alignment horizontal="right"/>
    </xf>
    <xf numFmtId="0" fontId="21" fillId="38" borderId="10" xfId="0" applyFont="1" applyFill="1" applyBorder="1"/>
    <xf numFmtId="0" fontId="0" fillId="38" borderId="10" xfId="0" applyFill="1" applyBorder="1"/>
    <xf numFmtId="3" fontId="21" fillId="38" borderId="12" xfId="0" applyNumberFormat="1" applyFont="1" applyFill="1" applyBorder="1" applyAlignment="1">
      <alignment horizontal="center"/>
    </xf>
    <xf numFmtId="0" fontId="21" fillId="38" borderId="14" xfId="0" applyFont="1" applyFill="1" applyBorder="1"/>
    <xf numFmtId="0" fontId="21" fillId="38" borderId="10" xfId="0" applyFont="1" applyFill="1" applyBorder="1" applyAlignment="1">
      <alignment horizontal="center"/>
    </xf>
    <xf numFmtId="0" fontId="21" fillId="38" borderId="10" xfId="0" applyFont="1" applyFill="1" applyBorder="1" applyAlignment="1">
      <alignment horizontal="center" wrapText="1"/>
    </xf>
    <xf numFmtId="3" fontId="21" fillId="38" borderId="10" xfId="0" applyNumberFormat="1" applyFont="1" applyFill="1" applyBorder="1" applyAlignment="1">
      <alignment wrapText="1"/>
    </xf>
    <xf numFmtId="0" fontId="0" fillId="0" borderId="10" xfId="0" applyBorder="1" applyAlignment="1">
      <alignment horizontal="right" vertical="center"/>
    </xf>
    <xf numFmtId="0" fontId="44" fillId="0" borderId="0" xfId="0" applyFont="1"/>
    <xf numFmtId="0" fontId="44" fillId="0" borderId="0" xfId="0" applyFont="1" applyAlignment="1">
      <alignment horizontal="right" readingOrder="2"/>
    </xf>
    <xf numFmtId="0" fontId="44" fillId="0" borderId="0" xfId="0" applyFont="1" applyAlignment="1">
      <alignment horizontal="right"/>
    </xf>
    <xf numFmtId="0" fontId="45" fillId="38" borderId="10" xfId="0" applyFont="1" applyFill="1" applyBorder="1" applyAlignment="1">
      <alignment horizontal="right" readingOrder="2"/>
    </xf>
    <xf numFmtId="0" fontId="45" fillId="38" borderId="10" xfId="0" applyFont="1" applyFill="1" applyBorder="1" applyAlignment="1">
      <alignment horizontal="right"/>
    </xf>
    <xf numFmtId="0" fontId="46" fillId="0" borderId="0" xfId="0" applyFont="1"/>
    <xf numFmtId="0" fontId="47" fillId="0" borderId="10" xfId="0" applyFont="1" applyBorder="1"/>
    <xf numFmtId="49" fontId="47" fillId="0" borderId="10" xfId="0" applyNumberFormat="1" applyFont="1" applyBorder="1" applyAlignment="1">
      <alignment horizontal="right" readingOrder="2"/>
    </xf>
    <xf numFmtId="49" fontId="47" fillId="0" borderId="10" xfId="0" applyNumberFormat="1" applyFont="1" applyBorder="1" applyAlignment="1">
      <alignment horizontal="right"/>
    </xf>
    <xf numFmtId="49" fontId="48" fillId="0" borderId="10" xfId="0" applyNumberFormat="1" applyFont="1" applyBorder="1" applyAlignment="1">
      <alignment horizontal="right" readingOrder="2"/>
    </xf>
    <xf numFmtId="49" fontId="46" fillId="0" borderId="0" xfId="0" applyNumberFormat="1" applyFont="1" applyAlignment="1">
      <alignment horizontal="right" readingOrder="2"/>
    </xf>
    <xf numFmtId="49" fontId="46" fillId="0" borderId="0" xfId="0" applyNumberFormat="1" applyFont="1" applyAlignment="1">
      <alignment horizontal="right"/>
    </xf>
    <xf numFmtId="0" fontId="46" fillId="0" borderId="0" xfId="0" applyFont="1" applyAlignment="1">
      <alignment horizontal="right" readingOrder="2"/>
    </xf>
    <xf numFmtId="0" fontId="46" fillId="0" borderId="0" xfId="0" applyFont="1" applyAlignment="1">
      <alignment horizontal="right"/>
    </xf>
    <xf numFmtId="49" fontId="47" fillId="0" borderId="10" xfId="0" applyNumberFormat="1" applyFont="1" applyBorder="1" applyAlignment="1">
      <alignment horizontal="right" wrapText="1" readingOrder="2"/>
    </xf>
    <xf numFmtId="0" fontId="49" fillId="0" borderId="10" xfId="0" applyFont="1" applyBorder="1"/>
    <xf numFmtId="0" fontId="49" fillId="0" borderId="0" xfId="0" applyFont="1"/>
    <xf numFmtId="4" fontId="49" fillId="0" borderId="0" xfId="0" applyNumberFormat="1" applyFont="1"/>
    <xf numFmtId="0" fontId="49" fillId="0" borderId="10" xfId="0" applyFont="1" applyFill="1" applyBorder="1"/>
    <xf numFmtId="1" fontId="49" fillId="0" borderId="10" xfId="0" applyNumberFormat="1" applyFont="1" applyBorder="1" applyAlignment="1">
      <alignment horizontal="center"/>
    </xf>
    <xf numFmtId="0" fontId="50" fillId="0" borderId="0" xfId="0" applyFont="1"/>
    <xf numFmtId="0" fontId="50" fillId="0" borderId="10" xfId="0" applyFont="1" applyBorder="1"/>
    <xf numFmtId="4" fontId="50" fillId="0" borderId="0" xfId="0" applyNumberFormat="1" applyFont="1"/>
    <xf numFmtId="1" fontId="0" fillId="0" borderId="10" xfId="1" applyNumberFormat="1" applyFont="1" applyBorder="1" applyAlignment="1">
      <alignment horizontal="right"/>
    </xf>
    <xf numFmtId="0" fontId="0" fillId="0" borderId="10" xfId="0" applyBorder="1" applyAlignment="1">
      <alignment horizontal="right" wrapText="1"/>
    </xf>
    <xf numFmtId="3" fontId="25" fillId="34" borderId="10" xfId="0" applyNumberFormat="1" applyFont="1" applyFill="1" applyBorder="1" applyAlignment="1">
      <alignment wrapText="1"/>
    </xf>
    <xf numFmtId="3" fontId="25" fillId="34" borderId="10" xfId="0" applyNumberFormat="1" applyFont="1" applyFill="1" applyBorder="1"/>
    <xf numFmtId="0" fontId="50" fillId="0" borderId="10" xfId="0" applyFont="1" applyBorder="1" applyAlignment="1">
      <alignment wrapText="1"/>
    </xf>
    <xf numFmtId="164" fontId="0" fillId="34" borderId="10" xfId="1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1" fontId="0" fillId="0" borderId="10" xfId="2" applyNumberFormat="1" applyFont="1" applyBorder="1" applyAlignment="1">
      <alignment horizontal="right"/>
    </xf>
    <xf numFmtId="3" fontId="18" fillId="38" borderId="10" xfId="0" applyNumberFormat="1" applyFont="1" applyFill="1" applyBorder="1" applyAlignment="1">
      <alignment horizontal="right"/>
    </xf>
    <xf numFmtId="1" fontId="18" fillId="38" borderId="10" xfId="0" applyNumberFormat="1" applyFont="1" applyFill="1" applyBorder="1" applyAlignment="1">
      <alignment horizontal="right"/>
    </xf>
    <xf numFmtId="1" fontId="0" fillId="34" borderId="10" xfId="2" applyNumberFormat="1" applyFont="1" applyFill="1" applyBorder="1" applyAlignment="1">
      <alignment horizontal="right"/>
    </xf>
    <xf numFmtId="1" fontId="25" fillId="0" borderId="10" xfId="0" applyNumberFormat="1" applyFont="1" applyFill="1" applyBorder="1" applyAlignment="1">
      <alignment horizontal="right"/>
    </xf>
    <xf numFmtId="3" fontId="21" fillId="38" borderId="10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3" fontId="21" fillId="37" borderId="10" xfId="0" applyNumberFormat="1" applyFont="1" applyFill="1" applyBorder="1" applyAlignment="1">
      <alignment horizontal="right"/>
    </xf>
    <xf numFmtId="1" fontId="21" fillId="37" borderId="10" xfId="0" applyNumberFormat="1" applyFont="1" applyFill="1" applyBorder="1" applyAlignment="1">
      <alignment horizontal="right"/>
    </xf>
    <xf numFmtId="0" fontId="21" fillId="38" borderId="10" xfId="0" applyFont="1" applyFill="1" applyBorder="1" applyAlignment="1">
      <alignment horizontal="right"/>
    </xf>
    <xf numFmtId="1" fontId="21" fillId="38" borderId="10" xfId="0" applyNumberFormat="1" applyFont="1" applyFill="1" applyBorder="1" applyAlignment="1">
      <alignment horizontal="right"/>
    </xf>
    <xf numFmtId="164" fontId="21" fillId="38" borderId="10" xfId="1" applyNumberFormat="1" applyFont="1" applyFill="1" applyBorder="1" applyAlignment="1">
      <alignment horizontal="right"/>
    </xf>
    <xf numFmtId="0" fontId="0" fillId="0" borderId="10" xfId="0" applyBorder="1" applyAlignment="1"/>
    <xf numFmtId="0" fontId="21" fillId="38" borderId="10" xfId="0" applyFont="1" applyFill="1" applyBorder="1" applyAlignment="1"/>
    <xf numFmtId="1" fontId="21" fillId="38" borderId="10" xfId="2" applyNumberFormat="1" applyFont="1" applyFill="1" applyBorder="1" applyAlignment="1">
      <alignment horizontal="right"/>
    </xf>
    <xf numFmtId="0" fontId="0" fillId="0" borderId="11" xfId="0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3" fontId="0" fillId="34" borderId="11" xfId="0" applyNumberFormat="1" applyFill="1" applyBorder="1" applyAlignment="1">
      <alignment horizontal="right"/>
    </xf>
    <xf numFmtId="1" fontId="0" fillId="34" borderId="10" xfId="1" applyNumberFormat="1" applyFont="1" applyFill="1" applyBorder="1" applyAlignment="1">
      <alignment horizontal="right"/>
    </xf>
    <xf numFmtId="0" fontId="25" fillId="34" borderId="10" xfId="0" applyFont="1" applyFill="1" applyBorder="1" applyAlignment="1"/>
    <xf numFmtId="0" fontId="0" fillId="34" borderId="10" xfId="0" applyFill="1" applyBorder="1" applyAlignment="1"/>
    <xf numFmtId="3" fontId="21" fillId="38" borderId="13" xfId="0" applyNumberFormat="1" applyFont="1" applyFill="1" applyBorder="1" applyAlignment="1"/>
    <xf numFmtId="1" fontId="0" fillId="0" borderId="10" xfId="0" applyNumberFormat="1" applyFill="1" applyBorder="1" applyAlignment="1">
      <alignment horizontal="right"/>
    </xf>
    <xf numFmtId="2" fontId="0" fillId="0" borderId="0" xfId="0" applyNumberFormat="1"/>
    <xf numFmtId="2" fontId="21" fillId="0" borderId="0" xfId="0" applyNumberFormat="1" applyFont="1"/>
    <xf numFmtId="0" fontId="30" fillId="0" borderId="10" xfId="0" applyFont="1" applyBorder="1"/>
    <xf numFmtId="0" fontId="21" fillId="38" borderId="10" xfId="0" applyFont="1" applyFill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 wrapText="1"/>
    </xf>
    <xf numFmtId="0" fontId="18" fillId="38" borderId="13" xfId="0" applyFont="1" applyFill="1" applyBorder="1" applyAlignment="1">
      <alignment horizontal="center" vertical="center" wrapText="1"/>
    </xf>
    <xf numFmtId="0" fontId="0" fillId="0" borderId="11" xfId="0" applyBorder="1"/>
    <xf numFmtId="0" fontId="0" fillId="38" borderId="20" xfId="0" applyFill="1" applyBorder="1"/>
    <xf numFmtId="164" fontId="0" fillId="0" borderId="10" xfId="0" applyNumberFormat="1" applyBorder="1" applyAlignment="1">
      <alignment horizontal="right"/>
    </xf>
    <xf numFmtId="0" fontId="0" fillId="0" borderId="10" xfId="0" applyFill="1" applyBorder="1" applyAlignment="1">
      <alignment wrapText="1"/>
    </xf>
    <xf numFmtId="1" fontId="0" fillId="0" borderId="10" xfId="2" applyNumberFormat="1" applyFont="1" applyFill="1" applyBorder="1" applyAlignment="1">
      <alignment horizontal="right"/>
    </xf>
    <xf numFmtId="0" fontId="0" fillId="0" borderId="0" xfId="0" applyFill="1" applyAlignment="1">
      <alignment wrapText="1"/>
    </xf>
    <xf numFmtId="164" fontId="0" fillId="0" borderId="10" xfId="1" applyNumberFormat="1" applyFont="1" applyBorder="1"/>
    <xf numFmtId="0" fontId="25" fillId="0" borderId="0" xfId="0" applyFont="1" applyAlignment="1">
      <alignment horizontal="right"/>
    </xf>
    <xf numFmtId="0" fontId="21" fillId="38" borderId="10" xfId="0" applyFont="1" applyFill="1" applyBorder="1" applyAlignment="1">
      <alignment horizontal="center"/>
    </xf>
    <xf numFmtId="0" fontId="21" fillId="38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0" fontId="18" fillId="38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22" fillId="38" borderId="10" xfId="0" applyFont="1" applyFill="1" applyBorder="1" applyAlignment="1">
      <alignment horizontal="center" vertical="center"/>
    </xf>
    <xf numFmtId="0" fontId="0" fillId="0" borderId="0" xfId="0" applyFill="1" applyBorder="1"/>
    <xf numFmtId="0" fontId="43" fillId="40" borderId="10" xfId="0" applyFont="1" applyFill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right"/>
    </xf>
    <xf numFmtId="0" fontId="21" fillId="34" borderId="0" xfId="0" applyFont="1" applyFill="1" applyBorder="1"/>
    <xf numFmtId="164" fontId="21" fillId="0" borderId="0" xfId="1" applyNumberFormat="1" applyFont="1" applyFill="1" applyBorder="1" applyAlignment="1">
      <alignment horizontal="right"/>
    </xf>
    <xf numFmtId="0" fontId="21" fillId="38" borderId="14" xfId="0" applyFont="1" applyFill="1" applyBorder="1" applyAlignment="1">
      <alignment horizontal="center" vertical="center"/>
    </xf>
    <xf numFmtId="0" fontId="18" fillId="38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18" fillId="38" borderId="14" xfId="0" applyFont="1" applyFill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58" fillId="0" borderId="0" xfId="1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14" fontId="54" fillId="0" borderId="0" xfId="0" applyNumberFormat="1" applyFont="1" applyAlignment="1">
      <alignment vertical="center"/>
    </xf>
    <xf numFmtId="0" fontId="21" fillId="0" borderId="10" xfId="0" applyFont="1" applyFill="1" applyBorder="1" applyAlignment="1">
      <alignment vertical="center"/>
    </xf>
    <xf numFmtId="164" fontId="0" fillId="0" borderId="10" xfId="1" applyNumberFormat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55" fillId="0" borderId="10" xfId="46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vertical="center" wrapText="1"/>
    </xf>
    <xf numFmtId="3" fontId="55" fillId="0" borderId="10" xfId="46" applyNumberFormat="1" applyFont="1" applyFill="1" applyBorder="1" applyAlignment="1">
      <alignment horizontal="center" vertical="center"/>
    </xf>
    <xf numFmtId="1" fontId="55" fillId="0" borderId="10" xfId="46" applyNumberFormat="1" applyFont="1" applyFill="1" applyBorder="1" applyAlignment="1">
      <alignment horizontal="center" vertical="center"/>
    </xf>
    <xf numFmtId="1" fontId="0" fillId="0" borderId="10" xfId="0" applyNumberFormat="1" applyBorder="1" applyAlignment="1">
      <alignment vertical="center"/>
    </xf>
    <xf numFmtId="2" fontId="55" fillId="0" borderId="10" xfId="46" applyNumberFormat="1" applyFont="1" applyFill="1" applyBorder="1" applyAlignment="1">
      <alignment horizontal="center" vertical="center"/>
    </xf>
    <xf numFmtId="164" fontId="32" fillId="38" borderId="10" xfId="0" applyNumberFormat="1" applyFont="1" applyFill="1" applyBorder="1" applyAlignment="1">
      <alignment horizontal="center" vertical="center"/>
    </xf>
    <xf numFmtId="164" fontId="24" fillId="38" borderId="10" xfId="0" applyNumberFormat="1" applyFont="1" applyFill="1" applyBorder="1" applyAlignment="1">
      <alignment horizontal="right" vertical="center"/>
    </xf>
    <xf numFmtId="164" fontId="24" fillId="38" borderId="10" xfId="0" applyNumberFormat="1" applyFont="1" applyFill="1" applyBorder="1" applyAlignment="1">
      <alignment horizontal="center" vertical="center"/>
    </xf>
    <xf numFmtId="164" fontId="56" fillId="38" borderId="10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43" fontId="21" fillId="0" borderId="0" xfId="1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0" fillId="0" borderId="0" xfId="0" applyNumberFormat="1" applyFill="1" applyAlignment="1">
      <alignment vertical="center"/>
    </xf>
    <xf numFmtId="0" fontId="0" fillId="0" borderId="17" xfId="0" applyBorder="1"/>
    <xf numFmtId="0" fontId="0" fillId="0" borderId="0" xfId="0" applyFill="1" applyAlignment="1">
      <alignment horizontal="right"/>
    </xf>
    <xf numFmtId="0" fontId="0" fillId="0" borderId="10" xfId="0" applyFill="1" applyBorder="1"/>
    <xf numFmtId="3" fontId="0" fillId="0" borderId="13" xfId="0" applyNumberFormat="1" applyBorder="1" applyAlignment="1">
      <alignment wrapText="1"/>
    </xf>
    <xf numFmtId="3" fontId="0" fillId="0" borderId="10" xfId="0" applyNumberFormat="1" applyBorder="1" applyAlignment="1"/>
    <xf numFmtId="3" fontId="25" fillId="0" borderId="10" xfId="0" applyNumberFormat="1" applyFont="1" applyBorder="1"/>
    <xf numFmtId="0" fontId="50" fillId="0" borderId="13" xfId="0" applyFont="1" applyBorder="1"/>
    <xf numFmtId="1" fontId="0" fillId="0" borderId="10" xfId="0" applyNumberFormat="1" applyFill="1" applyBorder="1"/>
    <xf numFmtId="1" fontId="0" fillId="0" borderId="11" xfId="0" applyNumberFormat="1" applyBorder="1"/>
    <xf numFmtId="1" fontId="25" fillId="0" borderId="11" xfId="0" applyNumberFormat="1" applyFont="1" applyFill="1" applyBorder="1" applyAlignment="1">
      <alignment horizontal="right"/>
    </xf>
    <xf numFmtId="0" fontId="0" fillId="35" borderId="10" xfId="0" applyFill="1" applyBorder="1" applyAlignment="1">
      <alignment wrapText="1"/>
    </xf>
    <xf numFmtId="0" fontId="0" fillId="0" borderId="15" xfId="0" applyFill="1" applyBorder="1"/>
    <xf numFmtId="3" fontId="0" fillId="0" borderId="10" xfId="0" applyNumberFormat="1" applyFill="1" applyBorder="1" applyAlignment="1">
      <alignment horizontal="right"/>
    </xf>
    <xf numFmtId="1" fontId="0" fillId="0" borderId="10" xfId="1" applyNumberFormat="1" applyFont="1" applyFill="1" applyBorder="1" applyAlignment="1">
      <alignment horizontal="right"/>
    </xf>
    <xf numFmtId="0" fontId="25" fillId="0" borderId="10" xfId="0" applyFont="1" applyFill="1" applyBorder="1"/>
    <xf numFmtId="0" fontId="14" fillId="0" borderId="0" xfId="0" applyFont="1" applyFill="1"/>
    <xf numFmtId="1" fontId="0" fillId="0" borderId="10" xfId="2" applyNumberFormat="1" applyFont="1" applyBorder="1" applyAlignment="1">
      <alignment horizontal="center" vertical="center"/>
    </xf>
    <xf numFmtId="0" fontId="21" fillId="38" borderId="20" xfId="0" applyFont="1" applyFill="1" applyBorder="1"/>
    <xf numFmtId="0" fontId="60" fillId="0" borderId="0" xfId="0" applyFont="1"/>
    <xf numFmtId="0" fontId="0" fillId="34" borderId="10" xfId="0" applyFill="1" applyBorder="1" applyAlignment="1">
      <alignment vertical="center"/>
    </xf>
    <xf numFmtId="164" fontId="21" fillId="38" borderId="10" xfId="1" applyNumberFormat="1" applyFont="1" applyFill="1" applyBorder="1" applyAlignment="1">
      <alignment horizontal="center" wrapText="1"/>
    </xf>
    <xf numFmtId="1" fontId="0" fillId="38" borderId="20" xfId="0" applyNumberFormat="1" applyFill="1" applyBorder="1"/>
    <xf numFmtId="1" fontId="21" fillId="38" borderId="20" xfId="0" applyNumberFormat="1" applyFont="1" applyFill="1" applyBorder="1"/>
    <xf numFmtId="164" fontId="21" fillId="38" borderId="20" xfId="0" applyNumberFormat="1" applyFont="1" applyFill="1" applyBorder="1"/>
    <xf numFmtId="1" fontId="0" fillId="0" borderId="10" xfId="0" applyNumberFormat="1" applyBorder="1" applyAlignment="1">
      <alignment horizontal="right" vertical="center"/>
    </xf>
    <xf numFmtId="0" fontId="0" fillId="0" borderId="10" xfId="0" applyFill="1" applyBorder="1" applyAlignment="1">
      <alignment vertical="center"/>
    </xf>
    <xf numFmtId="0" fontId="25" fillId="0" borderId="10" xfId="0" applyFont="1" applyFill="1" applyBorder="1" applyAlignment="1">
      <alignment wrapText="1"/>
    </xf>
    <xf numFmtId="164" fontId="25" fillId="34" borderId="10" xfId="1" applyNumberFormat="1" applyFont="1" applyFill="1" applyBorder="1" applyAlignment="1"/>
    <xf numFmtId="164" fontId="25" fillId="0" borderId="10" xfId="1" applyNumberFormat="1" applyFont="1" applyBorder="1" applyAlignment="1"/>
    <xf numFmtId="164" fontId="21" fillId="0" borderId="10" xfId="1" applyNumberFormat="1" applyFont="1" applyBorder="1"/>
    <xf numFmtId="164" fontId="25" fillId="34" borderId="13" xfId="1" applyNumberFormat="1" applyFont="1" applyFill="1" applyBorder="1" applyAlignment="1"/>
    <xf numFmtId="166" fontId="25" fillId="34" borderId="10" xfId="1" applyNumberFormat="1" applyFont="1" applyFill="1" applyBorder="1" applyAlignment="1"/>
    <xf numFmtId="166" fontId="0" fillId="0" borderId="10" xfId="1" applyNumberFormat="1" applyFont="1" applyBorder="1" applyAlignment="1">
      <alignment horizontal="right"/>
    </xf>
    <xf numFmtId="166" fontId="0" fillId="34" borderId="10" xfId="1" applyNumberFormat="1" applyFont="1" applyFill="1" applyBorder="1" applyAlignment="1">
      <alignment horizontal="right"/>
    </xf>
    <xf numFmtId="1" fontId="0" fillId="34" borderId="10" xfId="0" applyNumberFormat="1" applyFill="1" applyBorder="1" applyAlignment="1">
      <alignment horizontal="center"/>
    </xf>
    <xf numFmtId="1" fontId="49" fillId="34" borderId="10" xfId="0" applyNumberFormat="1" applyFont="1" applyFill="1" applyBorder="1"/>
    <xf numFmtId="1" fontId="49" fillId="34" borderId="10" xfId="0" applyNumberFormat="1" applyFont="1" applyFill="1" applyBorder="1" applyAlignment="1">
      <alignment horizontal="center"/>
    </xf>
    <xf numFmtId="1" fontId="49" fillId="0" borderId="10" xfId="0" applyNumberFormat="1" applyFont="1" applyBorder="1"/>
    <xf numFmtId="1" fontId="0" fillId="34" borderId="10" xfId="0" applyNumberForma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164" fontId="14" fillId="0" borderId="0" xfId="1" applyNumberFormat="1" applyFont="1" applyAlignment="1">
      <alignment vertical="center"/>
    </xf>
    <xf numFmtId="1" fontId="0" fillId="0" borderId="10" xfId="0" applyNumberFormat="1" applyBorder="1" applyAlignment="1">
      <alignment horizontal="center" vertical="center"/>
    </xf>
    <xf numFmtId="1" fontId="21" fillId="38" borderId="10" xfId="0" applyNumberFormat="1" applyFont="1" applyFill="1" applyBorder="1" applyAlignment="1">
      <alignment vertical="center"/>
    </xf>
    <xf numFmtId="164" fontId="21" fillId="38" borderId="10" xfId="1" applyNumberFormat="1" applyFont="1" applyFill="1" applyBorder="1" applyAlignment="1">
      <alignment vertical="center"/>
    </xf>
    <xf numFmtId="1" fontId="21" fillId="0" borderId="0" xfId="0" applyNumberFormat="1" applyFont="1" applyFill="1" applyBorder="1" applyAlignment="1">
      <alignment horizontal="right"/>
    </xf>
    <xf numFmtId="1" fontId="61" fillId="38" borderId="10" xfId="0" applyNumberFormat="1" applyFont="1" applyFill="1" applyBorder="1" applyAlignment="1">
      <alignment horizontal="right"/>
    </xf>
    <xf numFmtId="1" fontId="61" fillId="0" borderId="0" xfId="0" applyNumberFormat="1" applyFont="1" applyFill="1" applyBorder="1" applyAlignment="1">
      <alignment horizontal="right"/>
    </xf>
    <xf numFmtId="4" fontId="0" fillId="0" borderId="0" xfId="0" applyNumberFormat="1" applyFill="1"/>
    <xf numFmtId="0" fontId="30" fillId="0" borderId="10" xfId="0" applyFont="1" applyFill="1" applyBorder="1"/>
    <xf numFmtId="0" fontId="50" fillId="0" borderId="10" xfId="0" applyFont="1" applyFill="1" applyBorder="1"/>
    <xf numFmtId="0" fontId="0" fillId="0" borderId="14" xfId="0" applyFill="1" applyBorder="1"/>
    <xf numFmtId="0" fontId="30" fillId="0" borderId="10" xfId="0" applyFont="1" applyBorder="1" applyAlignment="1">
      <alignment horizontal="right"/>
    </xf>
    <xf numFmtId="1" fontId="0" fillId="34" borderId="10" xfId="0" applyNumberFormat="1" applyFill="1" applyBorder="1" applyAlignment="1">
      <alignment horizontal="center" vertical="center"/>
    </xf>
    <xf numFmtId="0" fontId="0" fillId="41" borderId="10" xfId="0" applyFill="1" applyBorder="1"/>
    <xf numFmtId="164" fontId="21" fillId="38" borderId="10" xfId="1" applyNumberFormat="1" applyFont="1" applyFill="1" applyBorder="1" applyAlignment="1">
      <alignment horizontal="center" vertical="center"/>
    </xf>
    <xf numFmtId="164" fontId="21" fillId="38" borderId="10" xfId="1" applyNumberFormat="1" applyFont="1" applyFill="1" applyBorder="1" applyAlignment="1">
      <alignment horizontal="center"/>
    </xf>
    <xf numFmtId="0" fontId="0" fillId="41" borderId="14" xfId="0" applyFill="1" applyBorder="1"/>
    <xf numFmtId="164" fontId="25" fillId="0" borderId="10" xfId="1" applyNumberFormat="1" applyFont="1" applyBorder="1"/>
    <xf numFmtId="2" fontId="62" fillId="0" borderId="0" xfId="0" applyNumberFormat="1" applyFont="1"/>
    <xf numFmtId="0" fontId="62" fillId="0" borderId="0" xfId="0" applyFont="1"/>
    <xf numFmtId="0" fontId="0" fillId="0" borderId="0" xfId="0" applyFill="1" applyAlignment="1">
      <alignment horizontal="right" vertical="center"/>
    </xf>
    <xf numFmtId="0" fontId="25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right" vertical="center"/>
    </xf>
    <xf numFmtId="0" fontId="59" fillId="0" borderId="0" xfId="0" applyFont="1" applyFill="1" applyBorder="1" applyAlignment="1">
      <alignment horizontal="center" vertical="center"/>
    </xf>
    <xf numFmtId="1" fontId="18" fillId="38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Fill="1" applyBorder="1" applyAlignment="1">
      <alignment horizontal="center" vertical="center"/>
    </xf>
    <xf numFmtId="1" fontId="25" fillId="0" borderId="10" xfId="0" applyNumberFormat="1" applyFont="1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right" vertical="center"/>
    </xf>
    <xf numFmtId="1" fontId="0" fillId="0" borderId="10" xfId="0" applyNumberForma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/>
    </xf>
    <xf numFmtId="1" fontId="52" fillId="0" borderId="10" xfId="46" applyNumberFormat="1" applyFont="1" applyFill="1" applyBorder="1" applyAlignment="1">
      <alignment horizontal="center" vertical="center"/>
    </xf>
    <xf numFmtId="1" fontId="0" fillId="38" borderId="10" xfId="0" applyNumberFormat="1" applyFill="1" applyBorder="1" applyAlignment="1">
      <alignment horizontal="center" vertical="center"/>
    </xf>
    <xf numFmtId="1" fontId="26" fillId="38" borderId="10" xfId="0" applyNumberFormat="1" applyFont="1" applyFill="1" applyBorder="1" applyAlignment="1">
      <alignment horizontal="center" vertical="center"/>
    </xf>
    <xf numFmtId="1" fontId="26" fillId="38" borderId="10" xfId="0" applyNumberFormat="1" applyFont="1" applyFill="1" applyBorder="1" applyAlignment="1">
      <alignment horizontal="right" vertical="center"/>
    </xf>
    <xf numFmtId="164" fontId="21" fillId="38" borderId="10" xfId="0" applyNumberFormat="1" applyFont="1" applyFill="1" applyBorder="1" applyAlignment="1">
      <alignment horizontal="center" wrapText="1"/>
    </xf>
    <xf numFmtId="1" fontId="18" fillId="38" borderId="10" xfId="0" applyNumberFormat="1" applyFont="1" applyFill="1" applyBorder="1" applyAlignment="1">
      <alignment horizontal="center" vertical="center"/>
    </xf>
    <xf numFmtId="1" fontId="0" fillId="34" borderId="10" xfId="0" applyNumberFormat="1" applyFill="1" applyBorder="1"/>
    <xf numFmtId="1" fontId="0" fillId="38" borderId="10" xfId="0" applyNumberFormat="1" applyFill="1" applyBorder="1"/>
    <xf numFmtId="1" fontId="0" fillId="0" borderId="10" xfId="1" applyNumberFormat="1" applyFont="1" applyBorder="1" applyAlignment="1">
      <alignment horizontal="center"/>
    </xf>
    <xf numFmtId="1" fontId="0" fillId="34" borderId="10" xfId="1" applyNumberFormat="1" applyFont="1" applyFill="1" applyBorder="1" applyAlignment="1">
      <alignment horizontal="center"/>
    </xf>
    <xf numFmtId="1" fontId="0" fillId="0" borderId="10" xfId="1" applyNumberFormat="1" applyFont="1" applyBorder="1" applyAlignment="1">
      <alignment horizontal="center" vertical="center"/>
    </xf>
    <xf numFmtId="1" fontId="30" fillId="0" borderId="10" xfId="1" applyNumberFormat="1" applyFont="1" applyBorder="1" applyAlignment="1">
      <alignment horizontal="center" vertical="center"/>
    </xf>
    <xf numFmtId="1" fontId="0" fillId="0" borderId="10" xfId="0" applyNumberFormat="1" applyBorder="1" applyAlignment="1">
      <alignment horizontal="right" vertical="center" wrapText="1"/>
    </xf>
    <xf numFmtId="1" fontId="0" fillId="0" borderId="10" xfId="1" applyNumberFormat="1" applyFont="1" applyBorder="1" applyAlignment="1">
      <alignment horizontal="right" vertical="center"/>
    </xf>
    <xf numFmtId="0" fontId="25" fillId="0" borderId="10" xfId="0" applyFont="1" applyFill="1" applyBorder="1" applyAlignment="1">
      <alignment horizontal="right" wrapText="1"/>
    </xf>
    <xf numFmtId="164" fontId="0" fillId="0" borderId="10" xfId="1" applyNumberFormat="1" applyFont="1" applyFill="1" applyBorder="1" applyAlignment="1">
      <alignment horizontal="right"/>
    </xf>
    <xf numFmtId="166" fontId="0" fillId="0" borderId="10" xfId="1" applyNumberFormat="1" applyFont="1" applyFill="1" applyBorder="1" applyAlignment="1">
      <alignment horizontal="right"/>
    </xf>
    <xf numFmtId="1" fontId="25" fillId="0" borderId="10" xfId="0" applyNumberFormat="1" applyFont="1" applyBorder="1"/>
    <xf numFmtId="166" fontId="0" fillId="0" borderId="10" xfId="1" applyNumberFormat="1" applyFont="1" applyBorder="1"/>
    <xf numFmtId="0" fontId="25" fillId="41" borderId="11" xfId="0" applyFont="1" applyFill="1" applyBorder="1"/>
    <xf numFmtId="0" fontId="23" fillId="0" borderId="10" xfId="0" applyFont="1" applyBorder="1"/>
    <xf numFmtId="0" fontId="63" fillId="0" borderId="10" xfId="0" applyFont="1" applyBorder="1"/>
    <xf numFmtId="0" fontId="0" fillId="41" borderId="10" xfId="0" applyFill="1" applyBorder="1" applyAlignment="1">
      <alignment horizontal="right"/>
    </xf>
    <xf numFmtId="0" fontId="0" fillId="41" borderId="10" xfId="0" applyFill="1" applyBorder="1" applyAlignment="1">
      <alignment wrapText="1"/>
    </xf>
    <xf numFmtId="0" fontId="0" fillId="41" borderId="14" xfId="0" applyFill="1" applyBorder="1" applyAlignment="1">
      <alignment wrapText="1"/>
    </xf>
    <xf numFmtId="0" fontId="0" fillId="41" borderId="0" xfId="0" applyFill="1" applyAlignment="1">
      <alignment wrapText="1"/>
    </xf>
    <xf numFmtId="1" fontId="49" fillId="0" borderId="10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vertical="center"/>
    </xf>
    <xf numFmtId="4" fontId="49" fillId="0" borderId="0" xfId="0" applyNumberFormat="1" applyFont="1" applyAlignment="1">
      <alignment vertical="center"/>
    </xf>
    <xf numFmtId="0" fontId="49" fillId="41" borderId="10" xfId="0" applyFont="1" applyFill="1" applyBorder="1"/>
    <xf numFmtId="0" fontId="0" fillId="41" borderId="12" xfId="0" applyFill="1" applyBorder="1" applyAlignment="1">
      <alignment wrapText="1"/>
    </xf>
    <xf numFmtId="0" fontId="63" fillId="0" borderId="10" xfId="0" applyFont="1" applyBorder="1" applyAlignment="1">
      <alignment horizontal="right"/>
    </xf>
    <xf numFmtId="0" fontId="63" fillId="0" borderId="10" xfId="0" applyFont="1" applyBorder="1" applyAlignment="1">
      <alignment wrapText="1"/>
    </xf>
    <xf numFmtId="0" fontId="25" fillId="0" borderId="10" xfId="0" applyFont="1" applyFill="1" applyBorder="1" applyAlignment="1">
      <alignment vertical="center"/>
    </xf>
    <xf numFmtId="0" fontId="25" fillId="0" borderId="10" xfId="0" applyFont="1" applyFill="1" applyBorder="1" applyAlignment="1">
      <alignment horizontal="right" vertical="center" wrapText="1"/>
    </xf>
    <xf numFmtId="0" fontId="25" fillId="0" borderId="0" xfId="0" applyFont="1" applyFill="1" applyAlignment="1">
      <alignment vertical="center"/>
    </xf>
    <xf numFmtId="166" fontId="0" fillId="0" borderId="10" xfId="1" applyNumberFormat="1" applyFont="1" applyBorder="1" applyAlignment="1"/>
    <xf numFmtId="1" fontId="0" fillId="0" borderId="14" xfId="0" applyNumberFormat="1" applyFill="1" applyBorder="1"/>
    <xf numFmtId="164" fontId="0" fillId="42" borderId="10" xfId="0" applyNumberFormat="1" applyFill="1" applyBorder="1"/>
    <xf numFmtId="4" fontId="0" fillId="0" borderId="22" xfId="0" applyNumberFormat="1" applyFill="1" applyBorder="1" applyAlignment="1">
      <alignment vertical="center" wrapText="1"/>
    </xf>
    <xf numFmtId="2" fontId="25" fillId="42" borderId="10" xfId="0" applyNumberFormat="1" applyFont="1" applyFill="1" applyBorder="1"/>
    <xf numFmtId="3" fontId="0" fillId="41" borderId="10" xfId="0" applyNumberFormat="1" applyFill="1" applyBorder="1" applyAlignment="1">
      <alignment horizontal="right"/>
    </xf>
    <xf numFmtId="0" fontId="0" fillId="41" borderId="0" xfId="0" applyFill="1"/>
    <xf numFmtId="3" fontId="25" fillId="0" borderId="10" xfId="0" applyNumberFormat="1" applyFont="1" applyFill="1" applyBorder="1"/>
    <xf numFmtId="3" fontId="0" fillId="0" borderId="10" xfId="0" applyNumberFormat="1" applyFill="1" applyBorder="1"/>
    <xf numFmtId="164" fontId="0" fillId="0" borderId="10" xfId="1" applyNumberFormat="1" applyFont="1" applyFill="1" applyBorder="1"/>
    <xf numFmtId="0" fontId="57" fillId="0" borderId="0" xfId="0" applyFont="1" applyAlignment="1">
      <alignment vertical="center" wrapText="1"/>
    </xf>
    <xf numFmtId="0" fontId="65" fillId="0" borderId="0" xfId="0" applyFont="1"/>
    <xf numFmtId="0" fontId="25" fillId="0" borderId="10" xfId="0" applyFont="1" applyFill="1" applyBorder="1" applyAlignment="1">
      <alignment horizontal="right"/>
    </xf>
    <xf numFmtId="3" fontId="43" fillId="40" borderId="13" xfId="1" applyNumberFormat="1" applyFont="1" applyFill="1" applyBorder="1" applyAlignment="1">
      <alignment horizontal="center" vertical="center" wrapText="1"/>
    </xf>
    <xf numFmtId="3" fontId="43" fillId="40" borderId="10" xfId="1" applyNumberFormat="1" applyFont="1" applyFill="1" applyBorder="1" applyAlignment="1">
      <alignment horizontal="center" vertical="center" wrapText="1"/>
    </xf>
    <xf numFmtId="3" fontId="0" fillId="0" borderId="10" xfId="1" applyNumberFormat="1" applyFont="1" applyBorder="1" applyAlignment="1">
      <alignment horizontal="right"/>
    </xf>
    <xf numFmtId="3" fontId="21" fillId="37" borderId="10" xfId="1" applyNumberFormat="1" applyFont="1" applyFill="1" applyBorder="1" applyAlignment="1">
      <alignment horizontal="right"/>
    </xf>
    <xf numFmtId="3" fontId="0" fillId="0" borderId="10" xfId="1" applyNumberFormat="1" applyFont="1" applyFill="1" applyBorder="1" applyAlignment="1">
      <alignment horizontal="right"/>
    </xf>
    <xf numFmtId="3" fontId="25" fillId="0" borderId="10" xfId="1" applyNumberFormat="1" applyFont="1" applyBorder="1" applyAlignment="1">
      <alignment horizontal="right"/>
    </xf>
    <xf numFmtId="3" fontId="25" fillId="0" borderId="10" xfId="1" applyNumberFormat="1" applyFont="1" applyFill="1" applyBorder="1" applyAlignment="1">
      <alignment horizontal="right"/>
    </xf>
    <xf numFmtId="3" fontId="0" fillId="0" borderId="10" xfId="1" applyNumberFormat="1" applyFont="1" applyBorder="1"/>
    <xf numFmtId="3" fontId="0" fillId="0" borderId="0" xfId="1" applyNumberFormat="1" applyFont="1"/>
    <xf numFmtId="3" fontId="23" fillId="0" borderId="0" xfId="1" applyNumberFormat="1" applyFont="1"/>
    <xf numFmtId="3" fontId="21" fillId="0" borderId="0" xfId="1" applyNumberFormat="1" applyFont="1"/>
    <xf numFmtId="3" fontId="28" fillId="0" borderId="0" xfId="1" applyNumberFormat="1" applyFont="1"/>
    <xf numFmtId="1" fontId="21" fillId="0" borderId="10" xfId="0" applyNumberFormat="1" applyFont="1" applyFill="1" applyBorder="1" applyAlignment="1">
      <alignment horizontal="right"/>
    </xf>
    <xf numFmtId="0" fontId="25" fillId="0" borderId="17" xfId="0" applyFont="1" applyFill="1" applyBorder="1" applyAlignment="1"/>
    <xf numFmtId="0" fontId="25" fillId="0" borderId="0" xfId="0" applyFont="1" applyFill="1" applyAlignment="1">
      <alignment horizontal="right"/>
    </xf>
    <xf numFmtId="0" fontId="25" fillId="0" borderId="0" xfId="0" applyFont="1" applyFill="1"/>
    <xf numFmtId="1" fontId="25" fillId="37" borderId="10" xfId="0" applyNumberFormat="1" applyFont="1" applyFill="1" applyBorder="1" applyAlignment="1">
      <alignment horizontal="right"/>
    </xf>
    <xf numFmtId="0" fontId="25" fillId="0" borderId="17" xfId="0" applyFont="1" applyFill="1" applyBorder="1" applyAlignment="1">
      <alignment horizontal="right"/>
    </xf>
    <xf numFmtId="3" fontId="61" fillId="37" borderId="10" xfId="0" applyNumberFormat="1" applyFont="1" applyFill="1" applyBorder="1" applyAlignment="1">
      <alignment horizontal="right"/>
    </xf>
    <xf numFmtId="166" fontId="0" fillId="0" borderId="10" xfId="1" applyNumberFormat="1" applyFont="1" applyFill="1" applyBorder="1" applyAlignment="1">
      <alignment horizontal="center" vertical="center"/>
    </xf>
    <xf numFmtId="166" fontId="25" fillId="0" borderId="10" xfId="1" applyNumberFormat="1" applyFont="1" applyFill="1" applyBorder="1" applyAlignment="1">
      <alignment horizontal="center" vertical="center"/>
    </xf>
    <xf numFmtId="166" fontId="0" fillId="0" borderId="10" xfId="1" applyNumberFormat="1" applyFont="1" applyBorder="1" applyAlignment="1">
      <alignment horizontal="center" vertical="center"/>
    </xf>
    <xf numFmtId="1" fontId="49" fillId="41" borderId="10" xfId="0" applyNumberFormat="1" applyFont="1" applyFill="1" applyBorder="1"/>
    <xf numFmtId="1" fontId="49" fillId="41" borderId="10" xfId="1" applyNumberFormat="1" applyFont="1" applyFill="1" applyBorder="1" applyAlignment="1">
      <alignment horizontal="center" vertical="center"/>
    </xf>
    <xf numFmtId="1" fontId="49" fillId="41" borderId="10" xfId="0" applyNumberFormat="1" applyFont="1" applyFill="1" applyBorder="1" applyAlignment="1">
      <alignment vertical="center"/>
    </xf>
    <xf numFmtId="1" fontId="49" fillId="41" borderId="10" xfId="1" applyNumberFormat="1" applyFont="1" applyFill="1" applyBorder="1" applyAlignment="1">
      <alignment vertical="center"/>
    </xf>
    <xf numFmtId="1" fontId="49" fillId="0" borderId="10" xfId="1" applyNumberFormat="1" applyFont="1" applyBorder="1" applyAlignment="1">
      <alignment horizontal="center" vertical="center"/>
    </xf>
    <xf numFmtId="1" fontId="49" fillId="34" borderId="10" xfId="0" applyNumberFormat="1" applyFont="1" applyFill="1" applyBorder="1" applyAlignment="1">
      <alignment vertical="center"/>
    </xf>
    <xf numFmtId="1" fontId="49" fillId="0" borderId="10" xfId="0" applyNumberFormat="1" applyFont="1" applyBorder="1" applyAlignment="1">
      <alignment vertical="center"/>
    </xf>
    <xf numFmtId="1" fontId="49" fillId="0" borderId="10" xfId="1" applyNumberFormat="1" applyFont="1" applyBorder="1" applyAlignment="1">
      <alignment vertical="center"/>
    </xf>
    <xf numFmtId="1" fontId="49" fillId="41" borderId="10" xfId="0" applyNumberFormat="1" applyFont="1" applyFill="1" applyBorder="1" applyAlignment="1">
      <alignment horizontal="center"/>
    </xf>
    <xf numFmtId="1" fontId="0" fillId="41" borderId="10" xfId="0" applyNumberFormat="1" applyFill="1" applyBorder="1" applyAlignment="1">
      <alignment horizontal="right"/>
    </xf>
    <xf numFmtId="1" fontId="0" fillId="0" borderId="11" xfId="0" applyNumberFormat="1" applyFill="1" applyBorder="1" applyAlignment="1">
      <alignment horizontal="right"/>
    </xf>
    <xf numFmtId="166" fontId="49" fillId="0" borderId="10" xfId="0" applyNumberFormat="1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1" fontId="49" fillId="41" borderId="10" xfId="0" applyNumberFormat="1" applyFont="1" applyFill="1" applyBorder="1" applyAlignment="1">
      <alignment horizontal="center" vertical="center"/>
    </xf>
    <xf numFmtId="166" fontId="49" fillId="41" borderId="10" xfId="0" applyNumberFormat="1" applyFont="1" applyFill="1" applyBorder="1" applyAlignment="1">
      <alignment horizontal="center"/>
    </xf>
    <xf numFmtId="0" fontId="0" fillId="41" borderId="10" xfId="0" applyFill="1" applyBorder="1" applyAlignment="1">
      <alignment horizontal="center"/>
    </xf>
    <xf numFmtId="1" fontId="0" fillId="41" borderId="10" xfId="1" applyNumberFormat="1" applyFont="1" applyFill="1" applyBorder="1" applyAlignment="1">
      <alignment horizontal="right"/>
    </xf>
    <xf numFmtId="0" fontId="21" fillId="37" borderId="17" xfId="0" applyFont="1" applyFill="1" applyBorder="1" applyAlignment="1">
      <alignment horizontal="center"/>
    </xf>
    <xf numFmtId="3" fontId="21" fillId="0" borderId="10" xfId="1" applyNumberFormat="1" applyFont="1" applyFill="1" applyBorder="1" applyAlignment="1">
      <alignment horizontal="right"/>
    </xf>
    <xf numFmtId="166" fontId="21" fillId="38" borderId="10" xfId="1" applyNumberFormat="1" applyFont="1" applyFill="1" applyBorder="1" applyAlignment="1">
      <alignment horizontal="right"/>
    </xf>
    <xf numFmtId="1" fontId="0" fillId="0" borderId="10" xfId="2" applyNumberFormat="1" applyFont="1" applyFill="1" applyBorder="1" applyAlignment="1">
      <alignment horizontal="right" vertical="center"/>
    </xf>
    <xf numFmtId="0" fontId="50" fillId="0" borderId="10" xfId="0" applyFont="1" applyBorder="1" applyAlignment="1">
      <alignment vertical="center"/>
    </xf>
    <xf numFmtId="3" fontId="21" fillId="38" borderId="12" xfId="0" applyNumberFormat="1" applyFont="1" applyFill="1" applyBorder="1" applyAlignment="1">
      <alignment vertical="center"/>
    </xf>
    <xf numFmtId="164" fontId="25" fillId="0" borderId="10" xfId="1" applyNumberFormat="1" applyFont="1" applyFill="1" applyBorder="1"/>
    <xf numFmtId="166" fontId="0" fillId="0" borderId="10" xfId="1" applyNumberFormat="1" applyFont="1" applyFill="1" applyBorder="1"/>
    <xf numFmtId="1" fontId="14" fillId="0" borderId="10" xfId="0" applyNumberFormat="1" applyFont="1" applyFill="1" applyBorder="1" applyAlignment="1">
      <alignment horizontal="center" vertical="center"/>
    </xf>
    <xf numFmtId="1" fontId="50" fillId="0" borderId="10" xfId="0" applyNumberFormat="1" applyFont="1" applyFill="1" applyBorder="1"/>
    <xf numFmtId="3" fontId="21" fillId="0" borderId="10" xfId="1" applyNumberFormat="1" applyFont="1" applyBorder="1"/>
    <xf numFmtId="0" fontId="0" fillId="0" borderId="10" xfId="0" applyFill="1" applyBorder="1" applyAlignment="1"/>
    <xf numFmtId="164" fontId="21" fillId="34" borderId="10" xfId="1" applyNumberFormat="1" applyFont="1" applyFill="1" applyBorder="1"/>
    <xf numFmtId="3" fontId="0" fillId="0" borderId="10" xfId="1" applyNumberFormat="1" applyFont="1" applyFill="1" applyBorder="1"/>
    <xf numFmtId="3" fontId="61" fillId="0" borderId="10" xfId="1" applyNumberFormat="1" applyFont="1" applyBorder="1"/>
    <xf numFmtId="1" fontId="0" fillId="0" borderId="11" xfId="0" applyNumberFormat="1" applyFill="1" applyBorder="1" applyAlignment="1">
      <alignment horizontal="center" vertical="center"/>
    </xf>
    <xf numFmtId="0" fontId="21" fillId="38" borderId="1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1" fontId="63" fillId="0" borderId="10" xfId="0" applyNumberFormat="1" applyFont="1" applyFill="1" applyBorder="1" applyAlignment="1">
      <alignment horizontal="right" vertical="center"/>
    </xf>
    <xf numFmtId="1" fontId="0" fillId="0" borderId="10" xfId="0" applyNumberFormat="1" applyFill="1" applyBorder="1" applyAlignment="1">
      <alignment horizontal="center" vertical="center"/>
    </xf>
    <xf numFmtId="166" fontId="63" fillId="0" borderId="10" xfId="1" applyNumberFormat="1" applyFont="1" applyFill="1" applyBorder="1" applyAlignment="1">
      <alignment horizontal="center" vertical="center"/>
    </xf>
    <xf numFmtId="166" fontId="63" fillId="0" borderId="13" xfId="1" applyNumberFormat="1" applyFont="1" applyFill="1" applyBorder="1" applyAlignment="1">
      <alignment horizontal="center" vertical="center"/>
    </xf>
    <xf numFmtId="1" fontId="63" fillId="0" borderId="14" xfId="0" applyNumberFormat="1" applyFont="1" applyFill="1" applyBorder="1" applyAlignment="1">
      <alignment horizontal="right" vertical="center"/>
    </xf>
    <xf numFmtId="1" fontId="63" fillId="0" borderId="0" xfId="0" applyNumberFormat="1" applyFont="1" applyFill="1"/>
    <xf numFmtId="164" fontId="55" fillId="0" borderId="10" xfId="46" applyNumberFormat="1" applyFont="1" applyFill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center" vertical="center"/>
    </xf>
    <xf numFmtId="0" fontId="67" fillId="0" borderId="10" xfId="0" applyFont="1" applyBorder="1"/>
    <xf numFmtId="1" fontId="67" fillId="0" borderId="10" xfId="1" applyNumberFormat="1" applyFont="1" applyBorder="1" applyAlignment="1">
      <alignment horizontal="center"/>
    </xf>
    <xf numFmtId="164" fontId="67" fillId="0" borderId="10" xfId="1" applyNumberFormat="1" applyFont="1" applyBorder="1" applyAlignment="1">
      <alignment horizontal="center"/>
    </xf>
    <xf numFmtId="1" fontId="67" fillId="0" borderId="10" xfId="0" applyNumberFormat="1" applyFont="1" applyFill="1" applyBorder="1"/>
    <xf numFmtId="1" fontId="67" fillId="0" borderId="10" xfId="1" applyNumberFormat="1" applyFont="1" applyFill="1" applyBorder="1" applyAlignment="1">
      <alignment horizontal="center"/>
    </xf>
    <xf numFmtId="0" fontId="63" fillId="0" borderId="0" xfId="0" applyFont="1" applyFill="1"/>
    <xf numFmtId="1" fontId="67" fillId="34" borderId="10" xfId="0" applyNumberFormat="1" applyFont="1" applyFill="1" applyBorder="1"/>
    <xf numFmtId="0" fontId="67" fillId="0" borderId="10" xfId="0" applyFont="1" applyBorder="1" applyAlignment="1">
      <alignment vertical="center"/>
    </xf>
    <xf numFmtId="0" fontId="67" fillId="0" borderId="10" xfId="0" applyFont="1" applyFill="1" applyBorder="1" applyAlignment="1">
      <alignment vertical="center" wrapText="1"/>
    </xf>
    <xf numFmtId="1" fontId="67" fillId="0" borderId="10" xfId="0" applyNumberFormat="1" applyFont="1" applyFill="1" applyBorder="1" applyAlignment="1">
      <alignment vertical="center"/>
    </xf>
    <xf numFmtId="0" fontId="67" fillId="0" borderId="10" xfId="0" applyFont="1" applyFill="1" applyBorder="1"/>
    <xf numFmtId="1" fontId="67" fillId="0" borderId="10" xfId="0" applyNumberFormat="1" applyFont="1" applyBorder="1"/>
    <xf numFmtId="0" fontId="63" fillId="0" borderId="0" xfId="0" applyFont="1"/>
    <xf numFmtId="1" fontId="67" fillId="0" borderId="10" xfId="1" applyNumberFormat="1" applyFont="1" applyBorder="1" applyAlignment="1">
      <alignment horizontal="right"/>
    </xf>
    <xf numFmtId="166" fontId="67" fillId="0" borderId="10" xfId="0" applyNumberFormat="1" applyFont="1" applyBorder="1"/>
    <xf numFmtId="1" fontId="67" fillId="0" borderId="11" xfId="0" applyNumberFormat="1" applyFont="1" applyBorder="1"/>
    <xf numFmtId="164" fontId="67" fillId="0" borderId="11" xfId="0" applyNumberFormat="1" applyFont="1" applyBorder="1"/>
    <xf numFmtId="1" fontId="67" fillId="34" borderId="13" xfId="0" applyNumberFormat="1" applyFont="1" applyFill="1" applyBorder="1"/>
    <xf numFmtId="1" fontId="67" fillId="0" borderId="18" xfId="0" applyNumberFormat="1" applyFont="1" applyBorder="1"/>
    <xf numFmtId="164" fontId="67" fillId="0" borderId="18" xfId="0" applyNumberFormat="1" applyFont="1" applyBorder="1"/>
    <xf numFmtId="164" fontId="67" fillId="0" borderId="10" xfId="0" applyNumberFormat="1" applyFont="1" applyBorder="1"/>
    <xf numFmtId="1" fontId="67" fillId="34" borderId="21" xfId="0" applyNumberFormat="1" applyFont="1" applyFill="1" applyBorder="1"/>
    <xf numFmtId="1" fontId="67" fillId="0" borderId="12" xfId="0" applyNumberFormat="1" applyFont="1" applyBorder="1"/>
    <xf numFmtId="164" fontId="67" fillId="0" borderId="12" xfId="0" applyNumberFormat="1" applyFont="1" applyBorder="1"/>
    <xf numFmtId="164" fontId="67" fillId="0" borderId="12" xfId="0" applyNumberFormat="1" applyFont="1" applyFill="1" applyBorder="1"/>
    <xf numFmtId="166" fontId="67" fillId="0" borderId="12" xfId="0" applyNumberFormat="1" applyFont="1" applyBorder="1"/>
    <xf numFmtId="166" fontId="67" fillId="0" borderId="12" xfId="0" applyNumberFormat="1" applyFont="1" applyFill="1" applyBorder="1"/>
    <xf numFmtId="3" fontId="63" fillId="0" borderId="10" xfId="1" applyNumberFormat="1" applyFont="1" applyBorder="1" applyAlignment="1">
      <alignment horizontal="right"/>
    </xf>
    <xf numFmtId="0" fontId="26" fillId="0" borderId="10" xfId="0" applyFont="1" applyBorder="1"/>
    <xf numFmtId="3" fontId="30" fillId="0" borderId="10" xfId="1" applyNumberFormat="1" applyFont="1" applyBorder="1" applyAlignment="1">
      <alignment horizontal="right"/>
    </xf>
    <xf numFmtId="1" fontId="30" fillId="0" borderId="10" xfId="1" applyNumberFormat="1" applyFont="1" applyBorder="1" applyAlignment="1">
      <alignment horizontal="right"/>
    </xf>
    <xf numFmtId="0" fontId="63" fillId="0" borderId="10" xfId="0" applyFont="1" applyFill="1" applyBorder="1" applyAlignment="1">
      <alignment vertical="center" wrapText="1"/>
    </xf>
    <xf numFmtId="3" fontId="0" fillId="0" borderId="10" xfId="0" applyNumberFormat="1" applyFill="1" applyBorder="1" applyAlignment="1">
      <alignment horizontal="right" vertical="center"/>
    </xf>
    <xf numFmtId="0" fontId="30" fillId="0" borderId="10" xfId="0" applyFont="1" applyFill="1" applyBorder="1" applyAlignment="1">
      <alignment horizontal="right"/>
    </xf>
    <xf numFmtId="0" fontId="63" fillId="0" borderId="10" xfId="0" applyFont="1" applyFill="1" applyBorder="1"/>
    <xf numFmtId="0" fontId="63" fillId="0" borderId="14" xfId="0" applyFont="1" applyFill="1" applyBorder="1"/>
    <xf numFmtId="0" fontId="63" fillId="0" borderId="10" xfId="0" applyFont="1" applyFill="1" applyBorder="1" applyAlignment="1">
      <alignment wrapText="1"/>
    </xf>
    <xf numFmtId="0" fontId="63" fillId="0" borderId="10" xfId="0" applyFont="1" applyFill="1" applyBorder="1" applyAlignment="1">
      <alignment horizontal="right"/>
    </xf>
    <xf numFmtId="3" fontId="63" fillId="0" borderId="10" xfId="0" applyNumberFormat="1" applyFont="1" applyFill="1" applyBorder="1" applyAlignment="1">
      <alignment horizontal="right"/>
    </xf>
    <xf numFmtId="4" fontId="63" fillId="0" borderId="0" xfId="0" applyNumberFormat="1" applyFont="1" applyFill="1"/>
    <xf numFmtId="164" fontId="63" fillId="0" borderId="0" xfId="1" applyNumberFormat="1" applyFont="1" applyFill="1"/>
    <xf numFmtId="0" fontId="63" fillId="0" borderId="10" xfId="0" applyFont="1" applyFill="1" applyBorder="1" applyAlignment="1">
      <alignment vertical="center"/>
    </xf>
    <xf numFmtId="0" fontId="63" fillId="0" borderId="14" xfId="0" applyFont="1" applyFill="1" applyBorder="1" applyAlignment="1">
      <alignment vertical="center"/>
    </xf>
    <xf numFmtId="3" fontId="63" fillId="0" borderId="10" xfId="0" applyNumberFormat="1" applyFont="1" applyFill="1" applyBorder="1" applyAlignment="1">
      <alignment horizontal="right" vertical="center"/>
    </xf>
    <xf numFmtId="166" fontId="63" fillId="0" borderId="10" xfId="1" applyNumberFormat="1" applyFont="1" applyFill="1" applyBorder="1" applyAlignment="1">
      <alignment horizontal="right" vertical="center"/>
    </xf>
    <xf numFmtId="164" fontId="63" fillId="0" borderId="10" xfId="1" applyNumberFormat="1" applyFont="1" applyFill="1" applyBorder="1" applyAlignment="1">
      <alignment horizontal="right" vertical="center"/>
    </xf>
    <xf numFmtId="4" fontId="63" fillId="0" borderId="0" xfId="0" applyNumberFormat="1" applyFont="1" applyFill="1" applyAlignment="1">
      <alignment vertical="center"/>
    </xf>
    <xf numFmtId="0" fontId="63" fillId="0" borderId="0" xfId="0" applyFont="1" applyFill="1" applyAlignment="1">
      <alignment vertical="center"/>
    </xf>
    <xf numFmtId="164" fontId="63" fillId="0" borderId="0" xfId="1" applyNumberFormat="1" applyFont="1" applyFill="1" applyAlignment="1">
      <alignment vertical="center"/>
    </xf>
    <xf numFmtId="1" fontId="63" fillId="0" borderId="10" xfId="2" applyNumberFormat="1" applyFont="1" applyFill="1" applyBorder="1" applyAlignment="1">
      <alignment horizontal="right"/>
    </xf>
    <xf numFmtId="1" fontId="63" fillId="0" borderId="10" xfId="0" applyNumberFormat="1" applyFont="1" applyFill="1" applyBorder="1" applyAlignment="1">
      <alignment horizontal="right"/>
    </xf>
    <xf numFmtId="1" fontId="63" fillId="0" borderId="15" xfId="0" applyNumberFormat="1" applyFont="1" applyFill="1" applyBorder="1" applyAlignment="1">
      <alignment horizontal="right"/>
    </xf>
    <xf numFmtId="164" fontId="63" fillId="0" borderId="10" xfId="1" applyNumberFormat="1" applyFont="1" applyFill="1" applyBorder="1" applyAlignment="1">
      <alignment horizontal="right"/>
    </xf>
    <xf numFmtId="166" fontId="63" fillId="0" borderId="10" xfId="1" applyNumberFormat="1" applyFont="1" applyFill="1" applyBorder="1" applyAlignment="1">
      <alignment horizontal="right"/>
    </xf>
    <xf numFmtId="0" fontId="63" fillId="0" borderId="11" xfId="0" applyFont="1" applyFill="1" applyBorder="1" applyAlignment="1">
      <alignment wrapText="1"/>
    </xf>
    <xf numFmtId="1" fontId="30" fillId="34" borderId="10" xfId="0" applyNumberFormat="1" applyFont="1" applyFill="1" applyBorder="1" applyAlignment="1">
      <alignment horizontal="right"/>
    </xf>
    <xf numFmtId="0" fontId="0" fillId="0" borderId="12" xfId="0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18" xfId="0" applyFill="1" applyBorder="1"/>
    <xf numFmtId="1" fontId="63" fillId="0" borderId="10" xfId="0" applyNumberFormat="1" applyFont="1" applyFill="1" applyBorder="1"/>
    <xf numFmtId="0" fontId="63" fillId="0" borderId="0" xfId="0" applyFont="1" applyFill="1" applyAlignment="1">
      <alignment wrapText="1"/>
    </xf>
    <xf numFmtId="1" fontId="30" fillId="0" borderId="10" xfId="0" applyNumberFormat="1" applyFont="1" applyFill="1" applyBorder="1" applyAlignment="1">
      <alignment horizontal="right"/>
    </xf>
    <xf numFmtId="1" fontId="30" fillId="0" borderId="10" xfId="2" applyNumberFormat="1" applyFont="1" applyFill="1" applyBorder="1" applyAlignment="1">
      <alignment horizontal="right"/>
    </xf>
    <xf numFmtId="0" fontId="30" fillId="0" borderId="10" xfId="0" applyFont="1" applyBorder="1" applyAlignment="1">
      <alignment vertical="center" wrapText="1"/>
    </xf>
    <xf numFmtId="3" fontId="30" fillId="0" borderId="10" xfId="0" applyNumberFormat="1" applyFont="1" applyBorder="1" applyAlignment="1">
      <alignment horizontal="right" vertical="center"/>
    </xf>
    <xf numFmtId="1" fontId="30" fillId="0" borderId="10" xfId="1" applyNumberFormat="1" applyFont="1" applyBorder="1" applyAlignment="1">
      <alignment horizontal="right" vertical="center"/>
    </xf>
    <xf numFmtId="1" fontId="30" fillId="34" borderId="10" xfId="0" applyNumberFormat="1" applyFont="1" applyFill="1" applyBorder="1" applyAlignment="1">
      <alignment vertical="center"/>
    </xf>
    <xf numFmtId="0" fontId="30" fillId="0" borderId="10" xfId="0" applyFont="1" applyBorder="1" applyAlignment="1">
      <alignment wrapText="1"/>
    </xf>
    <xf numFmtId="3" fontId="30" fillId="0" borderId="10" xfId="0" applyNumberFormat="1" applyFont="1" applyBorder="1" applyAlignment="1">
      <alignment horizontal="right"/>
    </xf>
    <xf numFmtId="1" fontId="30" fillId="0" borderId="10" xfId="0" applyNumberFormat="1" applyFont="1" applyBorder="1" applyAlignment="1">
      <alignment horizontal="right"/>
    </xf>
    <xf numFmtId="1" fontId="30" fillId="34" borderId="10" xfId="0" applyNumberFormat="1" applyFont="1" applyFill="1" applyBorder="1"/>
    <xf numFmtId="0" fontId="30" fillId="34" borderId="10" xfId="0" applyFont="1" applyFill="1" applyBorder="1"/>
    <xf numFmtId="164" fontId="30" fillId="0" borderId="10" xfId="1" applyNumberFormat="1" applyFont="1" applyBorder="1" applyAlignment="1">
      <alignment horizontal="right"/>
    </xf>
    <xf numFmtId="3" fontId="30" fillId="34" borderId="10" xfId="0" applyNumberFormat="1" applyFont="1" applyFill="1" applyBorder="1" applyAlignment="1">
      <alignment horizontal="right"/>
    </xf>
    <xf numFmtId="3" fontId="63" fillId="0" borderId="10" xfId="0" applyNumberFormat="1" applyFont="1" applyBorder="1" applyAlignment="1">
      <alignment horizontal="right"/>
    </xf>
    <xf numFmtId="1" fontId="63" fillId="0" borderId="10" xfId="0" applyNumberFormat="1" applyFont="1" applyBorder="1" applyAlignment="1">
      <alignment horizontal="right"/>
    </xf>
    <xf numFmtId="0" fontId="0" fillId="0" borderId="10" xfId="0" applyFill="1" applyBorder="1" applyAlignment="1">
      <alignment vertical="center" wrapText="1"/>
    </xf>
    <xf numFmtId="0" fontId="63" fillId="0" borderId="10" xfId="0" applyFont="1" applyFill="1" applyBorder="1" applyAlignment="1">
      <alignment horizontal="right" vertical="center"/>
    </xf>
    <xf numFmtId="0" fontId="63" fillId="34" borderId="10" xfId="0" applyFont="1" applyFill="1" applyBorder="1" applyAlignment="1">
      <alignment wrapText="1"/>
    </xf>
    <xf numFmtId="164" fontId="63" fillId="0" borderId="10" xfId="1" applyNumberFormat="1" applyFont="1" applyFill="1" applyBorder="1"/>
    <xf numFmtId="164" fontId="63" fillId="0" borderId="10" xfId="1" applyNumberFormat="1" applyFont="1" applyBorder="1"/>
    <xf numFmtId="166" fontId="63" fillId="0" borderId="10" xfId="1" applyNumberFormat="1" applyFont="1" applyFill="1" applyBorder="1"/>
    <xf numFmtId="166" fontId="63" fillId="34" borderId="10" xfId="1" applyNumberFormat="1" applyFont="1" applyFill="1" applyBorder="1" applyAlignment="1"/>
    <xf numFmtId="166" fontId="63" fillId="0" borderId="10" xfId="1" applyNumberFormat="1" applyFont="1" applyBorder="1"/>
    <xf numFmtId="1" fontId="63" fillId="0" borderId="10" xfId="1" applyNumberFormat="1" applyFont="1" applyFill="1" applyBorder="1"/>
    <xf numFmtId="164" fontId="63" fillId="0" borderId="10" xfId="1" applyNumberFormat="1" applyFont="1" applyBorder="1" applyAlignment="1"/>
    <xf numFmtId="164" fontId="63" fillId="34" borderId="10" xfId="1" applyNumberFormat="1" applyFont="1" applyFill="1" applyBorder="1" applyAlignment="1"/>
    <xf numFmtId="0" fontId="63" fillId="34" borderId="10" xfId="0" applyFont="1" applyFill="1" applyBorder="1"/>
    <xf numFmtId="164" fontId="0" fillId="38" borderId="20" xfId="0" applyNumberFormat="1" applyFill="1" applyBorder="1" applyAlignment="1">
      <alignment horizontal="right"/>
    </xf>
    <xf numFmtId="0" fontId="21" fillId="0" borderId="15" xfId="0" applyFont="1" applyFill="1" applyBorder="1" applyAlignment="1">
      <alignment horizontal="right"/>
    </xf>
    <xf numFmtId="164" fontId="21" fillId="0" borderId="15" xfId="1" applyNumberFormat="1" applyFont="1" applyFill="1" applyBorder="1" applyAlignment="1">
      <alignment horizontal="right"/>
    </xf>
    <xf numFmtId="0" fontId="0" fillId="0" borderId="15" xfId="0" applyBorder="1" applyAlignment="1">
      <alignment horizontal="right"/>
    </xf>
    <xf numFmtId="164" fontId="21" fillId="38" borderId="2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 wrapText="1"/>
    </xf>
    <xf numFmtId="1" fontId="25" fillId="0" borderId="10" xfId="0" applyNumberFormat="1" applyFont="1" applyFill="1" applyBorder="1" applyAlignment="1">
      <alignment wrapText="1"/>
    </xf>
    <xf numFmtId="1" fontId="25" fillId="0" borderId="10" xfId="0" applyNumberFormat="1" applyFont="1" applyFill="1" applyBorder="1" applyAlignment="1">
      <alignment vertical="center" wrapText="1"/>
    </xf>
    <xf numFmtId="164" fontId="22" fillId="0" borderId="10" xfId="1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horizontal="center" vertical="center"/>
    </xf>
    <xf numFmtId="164" fontId="25" fillId="0" borderId="0" xfId="0" applyNumberFormat="1" applyFont="1" applyFill="1" applyAlignment="1">
      <alignment horizontal="center" vertical="center"/>
    </xf>
    <xf numFmtId="0" fontId="22" fillId="0" borderId="10" xfId="0" applyFont="1" applyFill="1" applyBorder="1" applyAlignment="1">
      <alignment horizontal="right" vertical="center"/>
    </xf>
    <xf numFmtId="164" fontId="26" fillId="38" borderId="10" xfId="1" applyNumberFormat="1" applyFont="1" applyFill="1" applyBorder="1" applyAlignment="1">
      <alignment horizontal="right" vertical="center"/>
    </xf>
    <xf numFmtId="0" fontId="57" fillId="0" borderId="0" xfId="0" applyFont="1" applyFill="1" applyAlignment="1">
      <alignment vertical="center"/>
    </xf>
    <xf numFmtId="1" fontId="53" fillId="0" borderId="10" xfId="0" applyNumberFormat="1" applyFont="1" applyFill="1" applyBorder="1" applyAlignment="1">
      <alignment horizontal="right" vertical="center"/>
    </xf>
    <xf numFmtId="1" fontId="53" fillId="0" borderId="10" xfId="1" applyNumberFormat="1" applyFont="1" applyFill="1" applyBorder="1" applyAlignment="1">
      <alignment horizontal="right" vertical="center"/>
    </xf>
    <xf numFmtId="0" fontId="57" fillId="0" borderId="0" xfId="0" applyFont="1" applyAlignment="1"/>
    <xf numFmtId="1" fontId="63" fillId="0" borderId="10" xfId="0" applyNumberFormat="1" applyFont="1" applyBorder="1"/>
    <xf numFmtId="0" fontId="64" fillId="0" borderId="0" xfId="0" applyFont="1" applyFill="1" applyAlignment="1">
      <alignment horizontal="right"/>
    </xf>
    <xf numFmtId="0" fontId="64" fillId="0" borderId="0" xfId="0" applyFont="1" applyFill="1"/>
    <xf numFmtId="0" fontId="61" fillId="43" borderId="17" xfId="0" applyFont="1" applyFill="1" applyBorder="1" applyAlignment="1">
      <alignment horizontal="center"/>
    </xf>
    <xf numFmtId="0" fontId="61" fillId="43" borderId="17" xfId="0" applyFont="1" applyFill="1" applyBorder="1" applyAlignment="1"/>
    <xf numFmtId="3" fontId="61" fillId="43" borderId="10" xfId="0" applyNumberFormat="1" applyFont="1" applyFill="1" applyBorder="1" applyAlignment="1">
      <alignment horizontal="right"/>
    </xf>
    <xf numFmtId="1" fontId="61" fillId="43" borderId="10" xfId="0" applyNumberFormat="1" applyFont="1" applyFill="1" applyBorder="1" applyAlignment="1">
      <alignment horizontal="right"/>
    </xf>
    <xf numFmtId="0" fontId="21" fillId="37" borderId="10" xfId="0" applyFont="1" applyFill="1" applyBorder="1" applyAlignment="1">
      <alignment horizontal="center"/>
    </xf>
    <xf numFmtId="3" fontId="26" fillId="43" borderId="10" xfId="1" applyNumberFormat="1" applyFont="1" applyFill="1" applyBorder="1"/>
    <xf numFmtId="0" fontId="57" fillId="34" borderId="0" xfId="0" applyFont="1" applyFill="1" applyAlignment="1">
      <alignment vertical="center"/>
    </xf>
    <xf numFmtId="0" fontId="57" fillId="0" borderId="0" xfId="0" applyFont="1" applyAlignment="1">
      <alignment vertical="center"/>
    </xf>
    <xf numFmtId="166" fontId="22" fillId="0" borderId="10" xfId="1" applyNumberFormat="1" applyFont="1" applyFill="1" applyBorder="1" applyAlignment="1">
      <alignment horizontal="right" vertical="center"/>
    </xf>
    <xf numFmtId="1" fontId="0" fillId="0" borderId="15" xfId="2" applyNumberFormat="1" applyFont="1" applyFill="1" applyBorder="1" applyAlignment="1">
      <alignment horizontal="right"/>
    </xf>
    <xf numFmtId="0" fontId="47" fillId="0" borderId="11" xfId="0" applyFont="1" applyBorder="1" applyAlignment="1">
      <alignment horizontal="right" vertical="center"/>
    </xf>
    <xf numFmtId="0" fontId="47" fillId="0" borderId="15" xfId="0" applyFont="1" applyBorder="1" applyAlignment="1">
      <alignment horizontal="right" vertical="center"/>
    </xf>
    <xf numFmtId="0" fontId="47" fillId="0" borderId="12" xfId="0" applyFont="1" applyBorder="1" applyAlignment="1">
      <alignment horizontal="right" vertical="center"/>
    </xf>
    <xf numFmtId="49" fontId="47" fillId="0" borderId="11" xfId="0" applyNumberFormat="1" applyFont="1" applyBorder="1" applyAlignment="1">
      <alignment horizontal="right" vertical="center"/>
    </xf>
    <xf numFmtId="49" fontId="47" fillId="0" borderId="15" xfId="0" applyNumberFormat="1" applyFont="1" applyBorder="1" applyAlignment="1">
      <alignment horizontal="right" vertical="center"/>
    </xf>
    <xf numFmtId="49" fontId="47" fillId="0" borderId="12" xfId="0" applyNumberFormat="1" applyFont="1" applyBorder="1" applyAlignment="1">
      <alignment horizontal="right" vertical="center"/>
    </xf>
    <xf numFmtId="0" fontId="57" fillId="0" borderId="0" xfId="0" applyFont="1" applyFill="1" applyAlignment="1">
      <alignment horizontal="center" vertical="center"/>
    </xf>
    <xf numFmtId="166" fontId="63" fillId="0" borderId="11" xfId="1" applyNumberFormat="1" applyFont="1" applyFill="1" applyBorder="1" applyAlignment="1">
      <alignment horizontal="center" vertical="center"/>
    </xf>
    <xf numFmtId="166" fontId="63" fillId="0" borderId="12" xfId="1" applyNumberFormat="1" applyFont="1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 vertical="center"/>
    </xf>
    <xf numFmtId="1" fontId="0" fillId="0" borderId="12" xfId="0" applyNumberFormat="1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1" fontId="0" fillId="0" borderId="15" xfId="0" applyNumberFormat="1" applyFill="1" applyBorder="1" applyAlignment="1">
      <alignment horizontal="center" vertical="center"/>
    </xf>
    <xf numFmtId="0" fontId="24" fillId="38" borderId="10" xfId="0" applyFont="1" applyFill="1" applyBorder="1" applyAlignment="1">
      <alignment horizontal="center" vertical="center"/>
    </xf>
    <xf numFmtId="0" fontId="21" fillId="38" borderId="10" xfId="0" applyFont="1" applyFill="1" applyBorder="1" applyAlignment="1">
      <alignment horizontal="center"/>
    </xf>
    <xf numFmtId="0" fontId="57" fillId="0" borderId="0" xfId="0" applyFont="1" applyAlignment="1">
      <alignment horizontal="center"/>
    </xf>
    <xf numFmtId="0" fontId="18" fillId="38" borderId="10" xfId="0" applyFont="1" applyFill="1" applyBorder="1" applyAlignment="1">
      <alignment horizontal="center"/>
    </xf>
    <xf numFmtId="0" fontId="57" fillId="34" borderId="0" xfId="0" applyFont="1" applyFill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1" fillId="37" borderId="17" xfId="0" applyFont="1" applyFill="1" applyBorder="1" applyAlignment="1">
      <alignment horizontal="center"/>
    </xf>
    <xf numFmtId="0" fontId="21" fillId="37" borderId="14" xfId="0" applyFont="1" applyFill="1" applyBorder="1" applyAlignment="1">
      <alignment horizontal="center"/>
    </xf>
    <xf numFmtId="0" fontId="57" fillId="0" borderId="0" xfId="0" applyFont="1" applyAlignment="1">
      <alignment horizontal="center" vertical="center"/>
    </xf>
    <xf numFmtId="0" fontId="21" fillId="37" borderId="13" xfId="0" applyFont="1" applyFill="1" applyBorder="1" applyAlignment="1">
      <alignment horizontal="center"/>
    </xf>
    <xf numFmtId="0" fontId="26" fillId="0" borderId="10" xfId="0" applyFont="1" applyBorder="1" applyAlignment="1">
      <alignment horizontal="center" vertical="center" wrapText="1"/>
    </xf>
    <xf numFmtId="0" fontId="26" fillId="34" borderId="10" xfId="0" applyFont="1" applyFill="1" applyBorder="1" applyAlignment="1">
      <alignment horizontal="center" wrapText="1"/>
    </xf>
    <xf numFmtId="0" fontId="57" fillId="34" borderId="0" xfId="0" applyFont="1" applyFill="1" applyAlignment="1">
      <alignment horizontal="center" vertical="center"/>
    </xf>
    <xf numFmtId="0" fontId="21" fillId="38" borderId="13" xfId="0" applyFont="1" applyFill="1" applyBorder="1" applyAlignment="1">
      <alignment horizontal="center" vertical="center" wrapText="1"/>
    </xf>
    <xf numFmtId="0" fontId="21" fillId="38" borderId="14" xfId="0" applyFont="1" applyFill="1" applyBorder="1" applyAlignment="1">
      <alignment horizontal="center" vertical="center" wrapText="1"/>
    </xf>
    <xf numFmtId="4" fontId="0" fillId="0" borderId="22" xfId="0" applyNumberFormat="1" applyFill="1" applyBorder="1" applyAlignment="1">
      <alignment horizontal="center" vertical="center" wrapText="1"/>
    </xf>
    <xf numFmtId="1" fontId="21" fillId="38" borderId="10" xfId="0" applyNumberFormat="1" applyFont="1" applyFill="1" applyBorder="1" applyAlignment="1">
      <alignment horizontal="center"/>
    </xf>
    <xf numFmtId="1" fontId="21" fillId="38" borderId="13" xfId="0" applyNumberFormat="1" applyFont="1" applyFill="1" applyBorder="1" applyAlignment="1">
      <alignment horizontal="center" vertical="center" wrapText="1"/>
    </xf>
    <xf numFmtId="1" fontId="21" fillId="38" borderId="14" xfId="0" applyNumberFormat="1" applyFont="1" applyFill="1" applyBorder="1" applyAlignment="1">
      <alignment horizontal="center" vertical="center" wrapText="1"/>
    </xf>
    <xf numFmtId="0" fontId="21" fillId="38" borderId="13" xfId="0" applyFont="1" applyFill="1" applyBorder="1" applyAlignment="1">
      <alignment horizontal="center"/>
    </xf>
    <xf numFmtId="0" fontId="21" fillId="38" borderId="14" xfId="0" applyFont="1" applyFill="1" applyBorder="1" applyAlignment="1">
      <alignment horizontal="center"/>
    </xf>
    <xf numFmtId="0" fontId="57" fillId="0" borderId="0" xfId="0" applyFont="1" applyAlignment="1">
      <alignment horizontal="center" vertical="center" wrapText="1"/>
    </xf>
    <xf numFmtId="0" fontId="21" fillId="38" borderId="13" xfId="0" applyFont="1" applyFill="1" applyBorder="1" applyAlignment="1">
      <alignment horizontal="center" wrapText="1"/>
    </xf>
    <xf numFmtId="0" fontId="21" fillId="38" borderId="14" xfId="0" applyFont="1" applyFill="1" applyBorder="1" applyAlignment="1">
      <alignment horizontal="center" wrapText="1"/>
    </xf>
    <xf numFmtId="0" fontId="66" fillId="0" borderId="0" xfId="0" applyFont="1" applyBorder="1" applyAlignment="1">
      <alignment horizontal="center" wrapText="1"/>
    </xf>
    <xf numFmtId="0" fontId="57" fillId="34" borderId="0" xfId="0" applyFont="1" applyFill="1" applyBorder="1" applyAlignment="1">
      <alignment horizontal="center" vertical="center" wrapText="1"/>
    </xf>
    <xf numFmtId="0" fontId="0" fillId="38" borderId="23" xfId="0" applyFill="1" applyBorder="1" applyAlignment="1">
      <alignment horizontal="center" vertical="center"/>
    </xf>
    <xf numFmtId="0" fontId="0" fillId="38" borderId="20" xfId="0" applyFill="1" applyBorder="1" applyAlignment="1">
      <alignment horizontal="center" vertical="center"/>
    </xf>
    <xf numFmtId="0" fontId="0" fillId="38" borderId="23" xfId="0" applyFill="1" applyBorder="1" applyAlignment="1">
      <alignment horizontal="center"/>
    </xf>
    <xf numFmtId="0" fontId="0" fillId="38" borderId="20" xfId="0" applyFill="1" applyBorder="1" applyAlignment="1">
      <alignment horizontal="center"/>
    </xf>
    <xf numFmtId="0" fontId="21" fillId="38" borderId="23" xfId="0" applyFont="1" applyFill="1" applyBorder="1" applyAlignment="1">
      <alignment horizontal="center"/>
    </xf>
    <xf numFmtId="0" fontId="21" fillId="38" borderId="20" xfId="0" applyFont="1" applyFill="1" applyBorder="1" applyAlignment="1">
      <alignment horizontal="center"/>
    </xf>
    <xf numFmtId="0" fontId="57" fillId="34" borderId="0" xfId="0" applyFont="1" applyFill="1" applyAlignment="1">
      <alignment horizontal="center" vertical="center" wrapText="1"/>
    </xf>
  </cellXfs>
  <cellStyles count="47">
    <cellStyle name="20% - הדגשה1" xfId="21" builtinId="30" customBuiltin="1"/>
    <cellStyle name="20% - הדגשה2" xfId="25" builtinId="34" customBuiltin="1"/>
    <cellStyle name="20% - הדגשה3" xfId="29" builtinId="38" customBuiltin="1"/>
    <cellStyle name="20% - הדגשה4" xfId="33" builtinId="42" customBuiltin="1"/>
    <cellStyle name="20% - הדגשה5" xfId="37" builtinId="46" customBuiltin="1"/>
    <cellStyle name="20% - הדגשה6" xfId="41" builtinId="50" customBuiltin="1"/>
    <cellStyle name="40% - הדגשה1" xfId="22" builtinId="31" customBuiltin="1"/>
    <cellStyle name="40% - הדגשה2" xfId="26" builtinId="35" customBuiltin="1"/>
    <cellStyle name="40% - הדגשה3" xfId="30" builtinId="39" customBuiltin="1"/>
    <cellStyle name="40% - הדגשה4" xfId="34" builtinId="43" customBuiltin="1"/>
    <cellStyle name="40% - הדגשה5" xfId="38" builtinId="47" customBuiltin="1"/>
    <cellStyle name="40% - הדגשה6" xfId="42" builtinId="51" customBuiltin="1"/>
    <cellStyle name="60% - הדגשה1" xfId="23" builtinId="32" customBuiltin="1"/>
    <cellStyle name="60% - הדגשה2" xfId="27" builtinId="36" customBuiltin="1"/>
    <cellStyle name="60% - הדגשה3" xfId="31" builtinId="40" customBuiltin="1"/>
    <cellStyle name="60% - הדגשה4" xfId="35" builtinId="44" customBuiltin="1"/>
    <cellStyle name="60% - הדגשה5" xfId="39" builtinId="48" customBuiltin="1"/>
    <cellStyle name="60% - הדגשה6" xfId="43" builtinId="52" customBuiltin="1"/>
    <cellStyle name="Comma" xfId="1" builtinId="3"/>
    <cellStyle name="Comma 2" xfId="45" xr:uid="{00000000-0005-0000-0000-000013000000}"/>
    <cellStyle name="Normal" xfId="0" builtinId="0"/>
    <cellStyle name="Normal 2" xfId="44" xr:uid="{00000000-0005-0000-0000-000015000000}"/>
    <cellStyle name="Percent" xfId="2" builtinId="5"/>
    <cellStyle name="הדגשה1" xfId="20" builtinId="29" customBuiltin="1"/>
    <cellStyle name="הדגשה2" xfId="24" builtinId="33" customBuiltin="1"/>
    <cellStyle name="הדגשה3" xfId="28" builtinId="37" customBuiltin="1"/>
    <cellStyle name="הדגשה4" xfId="32" builtinId="41" customBuiltin="1"/>
    <cellStyle name="הדגשה5" xfId="36" builtinId="45" customBuiltin="1"/>
    <cellStyle name="הדגשה6" xfId="40" builtinId="49" customBuiltin="1"/>
    <cellStyle name="היפר-קישור" xfId="46" builtinId="8"/>
    <cellStyle name="הערה" xfId="17" builtinId="10" customBuiltin="1"/>
    <cellStyle name="חישוב" xfId="13" builtinId="22" customBuiltin="1"/>
    <cellStyle name="טוב" xfId="8" builtinId="26" customBuiltin="1"/>
    <cellStyle name="טקסט אזהרה" xfId="16" builtinId="11" customBuiltin="1"/>
    <cellStyle name="טקסט הסברי" xfId="18" builtinId="53" customBuiltin="1"/>
    <cellStyle name="כותרת" xfId="3" builtinId="15" customBuiltin="1"/>
    <cellStyle name="כותרת 1" xfId="4" builtinId="16" customBuiltin="1"/>
    <cellStyle name="כותרת 2" xfId="5" builtinId="17" customBuiltin="1"/>
    <cellStyle name="כותרת 3" xfId="6" builtinId="18" customBuiltin="1"/>
    <cellStyle name="כותרת 4" xfId="7" builtinId="19" customBuiltin="1"/>
    <cellStyle name="ניטראלי" xfId="10" builtinId="28" customBuiltin="1"/>
    <cellStyle name="סה&quot;כ" xfId="19" builtinId="25" customBuiltin="1"/>
    <cellStyle name="פלט" xfId="12" builtinId="21" customBuiltin="1"/>
    <cellStyle name="קלט" xfId="11" builtinId="20" customBuiltin="1"/>
    <cellStyle name="רע" xfId="9" builtinId="27" customBuiltin="1"/>
    <cellStyle name="תא מסומן" xfId="15" builtinId="23" customBuiltin="1"/>
    <cellStyle name="תא מקושר" xfId="14" builtinId="24" customBuiltin="1"/>
  </cellStyles>
  <dxfs count="0"/>
  <tableStyles count="0" defaultTableStyle="TableStyleMedium2" defaultPivotStyle="PivotStyleLight16"/>
  <colors>
    <mruColors>
      <color rgb="FFCC99FF"/>
      <color rgb="FFFF66FF"/>
      <color rgb="FFFF99FF"/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tl/Documents/&#8207;&#8207;&#1514;&#1497;&#1511;&#1497;&#1492;%20&#1495;&#1491;&#1513;&#1492;/&#1514;&#1511;&#1510;&#1497;&#1489;%202022/&#1506;&#1491;&#1499;&#1493;&#1503;%20&#1514;&#1511;&#1510;&#1497;&#1489;%202022%20&#1504;&#1493;&#1513;&#1488;%20&#1513;&#1499;&#1512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וכן עניינים"/>
      <sheetName val="הכנסות 1"/>
      <sheetName val="גיליון1"/>
      <sheetName val="הוצאות 2"/>
      <sheetName val="הכנסות חינוך 3"/>
      <sheetName val="הכנסות תרבות 4"/>
      <sheetName val="הכנסות רווחה 5"/>
      <sheetName val="הוצאות שכר 6"/>
      <sheetName val="שכד ביטוחים עיתונים ומשלחות 7  "/>
      <sheetName val=" הוצאות רווחה  8"/>
      <sheetName val="קליקה 9"/>
      <sheetName val="סעיפי קורונה 10"/>
      <sheetName val="ציוד משרדי וכיבוד 11"/>
      <sheetName val="חשמל ומים 12"/>
      <sheetName val="דלק ורכב 13"/>
      <sheetName val="תיקונים ורישוי 14"/>
      <sheetName val="ליסינג 15"/>
      <sheetName val="תקשורת פרסום ומחשוב 16"/>
      <sheetName val="ריבית ועמלות ופרעון 17"/>
      <sheetName val="עבודות קבלניות 18"/>
      <sheetName val="הג&quot;א"/>
      <sheetName val="19-780"/>
      <sheetName val="20-782"/>
      <sheetName val="תמיכות 21"/>
      <sheetName val="מאזן ארנונה "/>
      <sheetName val="ביצוע 2020"/>
      <sheetName val="שכר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F13">
            <v>2.458333333333333</v>
          </cell>
        </row>
        <row r="14">
          <cell r="C14">
            <v>1899309.04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59"/>
  <sheetViews>
    <sheetView rightToLeft="1" tabSelected="1" zoomScaleNormal="100" zoomScalePageLayoutView="51" workbookViewId="0">
      <selection activeCell="B15" sqref="B15"/>
    </sheetView>
  </sheetViews>
  <sheetFormatPr defaultColWidth="9" defaultRowHeight="13.8" x14ac:dyDescent="0.25"/>
  <cols>
    <col min="1" max="1" width="6.09765625" style="113" customWidth="1"/>
    <col min="2" max="2" width="40.8984375" style="120" customWidth="1"/>
    <col min="3" max="3" width="12.3984375" style="121" customWidth="1"/>
    <col min="4" max="16384" width="9" style="113"/>
  </cols>
  <sheetData>
    <row r="2" spans="1:3" s="108" customFormat="1" ht="20.399999999999999" x14ac:dyDescent="0.35">
      <c r="A2" s="109" t="s">
        <v>1244</v>
      </c>
      <c r="C2" s="110"/>
    </row>
    <row r="5" spans="1:3" ht="24.75" customHeight="1" x14ac:dyDescent="0.3">
      <c r="A5" s="111" t="s">
        <v>623</v>
      </c>
      <c r="B5" s="111" t="s">
        <v>622</v>
      </c>
      <c r="C5" s="112" t="s">
        <v>621</v>
      </c>
    </row>
    <row r="6" spans="1:3" ht="28.35" customHeight="1" x14ac:dyDescent="0.3">
      <c r="A6" s="114">
        <v>1</v>
      </c>
      <c r="B6" s="115" t="s">
        <v>958</v>
      </c>
      <c r="C6" s="116" t="s">
        <v>628</v>
      </c>
    </row>
    <row r="7" spans="1:3" ht="28.35" customHeight="1" x14ac:dyDescent="0.3">
      <c r="A7" s="114">
        <v>2</v>
      </c>
      <c r="B7" s="115" t="s">
        <v>968</v>
      </c>
      <c r="C7" s="116" t="s">
        <v>629</v>
      </c>
    </row>
    <row r="8" spans="1:3" ht="28.35" customHeight="1" x14ac:dyDescent="0.3">
      <c r="A8" s="114">
        <v>3</v>
      </c>
      <c r="B8" s="115" t="s">
        <v>969</v>
      </c>
      <c r="C8" s="116" t="s">
        <v>630</v>
      </c>
    </row>
    <row r="9" spans="1:3" ht="28.35" customHeight="1" x14ac:dyDescent="0.3">
      <c r="A9" s="114">
        <v>4</v>
      </c>
      <c r="B9" s="115" t="s">
        <v>970</v>
      </c>
      <c r="C9" s="116" t="s">
        <v>631</v>
      </c>
    </row>
    <row r="10" spans="1:3" ht="28.35" customHeight="1" x14ac:dyDescent="0.3">
      <c r="A10" s="114">
        <v>5</v>
      </c>
      <c r="B10" s="115" t="s">
        <v>971</v>
      </c>
      <c r="C10" s="116" t="s">
        <v>1129</v>
      </c>
    </row>
    <row r="11" spans="1:3" ht="28.35" customHeight="1" x14ac:dyDescent="0.3">
      <c r="A11" s="114">
        <v>6</v>
      </c>
      <c r="B11" s="115" t="s">
        <v>972</v>
      </c>
      <c r="C11" s="116" t="s">
        <v>1130</v>
      </c>
    </row>
    <row r="12" spans="1:3" ht="18" customHeight="1" x14ac:dyDescent="0.3">
      <c r="A12" s="534">
        <v>7</v>
      </c>
      <c r="B12" s="115" t="s">
        <v>959</v>
      </c>
      <c r="C12" s="537" t="s">
        <v>1131</v>
      </c>
    </row>
    <row r="13" spans="1:3" ht="13.5" customHeight="1" x14ac:dyDescent="0.25">
      <c r="A13" s="535"/>
      <c r="B13" s="117" t="s">
        <v>961</v>
      </c>
      <c r="C13" s="538"/>
    </row>
    <row r="14" spans="1:3" ht="13.5" customHeight="1" x14ac:dyDescent="0.25">
      <c r="A14" s="535"/>
      <c r="B14" s="117" t="s">
        <v>960</v>
      </c>
      <c r="C14" s="538"/>
    </row>
    <row r="15" spans="1:3" ht="13.5" customHeight="1" x14ac:dyDescent="0.25">
      <c r="A15" s="535"/>
      <c r="B15" s="117" t="s">
        <v>962</v>
      </c>
      <c r="C15" s="538"/>
    </row>
    <row r="16" spans="1:3" ht="13.5" customHeight="1" x14ac:dyDescent="0.25">
      <c r="A16" s="536"/>
      <c r="B16" s="117" t="s">
        <v>963</v>
      </c>
      <c r="C16" s="539"/>
    </row>
    <row r="17" spans="1:3" ht="28.35" customHeight="1" x14ac:dyDescent="0.3">
      <c r="A17" s="114">
        <v>8</v>
      </c>
      <c r="B17" s="115" t="s">
        <v>973</v>
      </c>
      <c r="C17" s="116" t="s">
        <v>1132</v>
      </c>
    </row>
    <row r="18" spans="1:3" ht="28.35" customHeight="1" x14ac:dyDescent="0.3">
      <c r="A18" s="114">
        <v>9</v>
      </c>
      <c r="B18" s="115" t="s">
        <v>974</v>
      </c>
      <c r="C18" s="116" t="s">
        <v>1133</v>
      </c>
    </row>
    <row r="19" spans="1:3" ht="28.35" customHeight="1" x14ac:dyDescent="0.3">
      <c r="A19" s="114">
        <v>10</v>
      </c>
      <c r="B19" s="115" t="s">
        <v>975</v>
      </c>
      <c r="C19" s="116" t="s">
        <v>1134</v>
      </c>
    </row>
    <row r="20" spans="1:3" ht="28.35" customHeight="1" x14ac:dyDescent="0.3">
      <c r="A20" s="114">
        <v>11</v>
      </c>
      <c r="B20" s="115" t="s">
        <v>491</v>
      </c>
      <c r="C20" s="116" t="s">
        <v>1135</v>
      </c>
    </row>
    <row r="21" spans="1:3" ht="28.35" customHeight="1" x14ac:dyDescent="0.3">
      <c r="A21" s="114">
        <v>12</v>
      </c>
      <c r="B21" s="115" t="s">
        <v>408</v>
      </c>
      <c r="C21" s="116" t="s">
        <v>1135</v>
      </c>
    </row>
    <row r="22" spans="1:3" ht="28.35" customHeight="1" x14ac:dyDescent="0.3">
      <c r="A22" s="114">
        <v>13</v>
      </c>
      <c r="B22" s="115" t="s">
        <v>976</v>
      </c>
      <c r="C22" s="116" t="s">
        <v>632</v>
      </c>
    </row>
    <row r="23" spans="1:3" ht="28.35" customHeight="1" x14ac:dyDescent="0.3">
      <c r="A23" s="114">
        <v>14</v>
      </c>
      <c r="B23" s="115" t="s">
        <v>977</v>
      </c>
      <c r="C23" s="116" t="s">
        <v>1136</v>
      </c>
    </row>
    <row r="24" spans="1:3" ht="28.35" customHeight="1" x14ac:dyDescent="0.3">
      <c r="A24" s="114">
        <v>15</v>
      </c>
      <c r="B24" s="115" t="s">
        <v>984</v>
      </c>
      <c r="C24" s="116" t="s">
        <v>1137</v>
      </c>
    </row>
    <row r="25" spans="1:3" ht="28.35" customHeight="1" x14ac:dyDescent="0.3">
      <c r="A25" s="114">
        <v>16</v>
      </c>
      <c r="B25" s="115" t="s">
        <v>986</v>
      </c>
      <c r="C25" s="116" t="s">
        <v>1137</v>
      </c>
    </row>
    <row r="26" spans="1:3" ht="28.35" customHeight="1" x14ac:dyDescent="0.3">
      <c r="A26" s="114">
        <v>17</v>
      </c>
      <c r="B26" s="115" t="s">
        <v>978</v>
      </c>
      <c r="C26" s="116" t="s">
        <v>1138</v>
      </c>
    </row>
    <row r="27" spans="1:3" ht="40.5" customHeight="1" x14ac:dyDescent="0.3">
      <c r="A27" s="114">
        <v>18</v>
      </c>
      <c r="B27" s="122" t="s">
        <v>987</v>
      </c>
      <c r="C27" s="116" t="s">
        <v>964</v>
      </c>
    </row>
    <row r="28" spans="1:3" ht="28.35" customHeight="1" x14ac:dyDescent="0.3">
      <c r="A28" s="114">
        <v>19</v>
      </c>
      <c r="B28" s="115" t="s">
        <v>988</v>
      </c>
      <c r="C28" s="116" t="s">
        <v>965</v>
      </c>
    </row>
    <row r="29" spans="1:3" ht="43.2" customHeight="1" x14ac:dyDescent="0.3">
      <c r="A29" s="114">
        <v>20</v>
      </c>
      <c r="B29" s="122" t="s">
        <v>1037</v>
      </c>
      <c r="C29" s="116" t="s">
        <v>982</v>
      </c>
    </row>
    <row r="30" spans="1:3" ht="35.25" customHeight="1" x14ac:dyDescent="0.3">
      <c r="A30" s="114">
        <v>21</v>
      </c>
      <c r="B30" s="122" t="s">
        <v>1038</v>
      </c>
      <c r="C30" s="116" t="s">
        <v>983</v>
      </c>
    </row>
    <row r="31" spans="1:3" ht="28.35" customHeight="1" x14ac:dyDescent="0.3">
      <c r="A31" s="114">
        <v>22</v>
      </c>
      <c r="B31" s="115" t="s">
        <v>979</v>
      </c>
      <c r="C31" s="116" t="s">
        <v>966</v>
      </c>
    </row>
    <row r="32" spans="1:3" ht="28.35" customHeight="1" x14ac:dyDescent="0.3">
      <c r="A32" s="114">
        <v>23</v>
      </c>
      <c r="B32" s="115" t="s">
        <v>980</v>
      </c>
      <c r="C32" s="116" t="s">
        <v>967</v>
      </c>
    </row>
    <row r="33" spans="1:3" ht="28.35" customHeight="1" x14ac:dyDescent="0.3">
      <c r="A33" s="114">
        <v>24</v>
      </c>
      <c r="B33" s="115" t="s">
        <v>981</v>
      </c>
      <c r="C33" s="116" t="s">
        <v>985</v>
      </c>
    </row>
    <row r="34" spans="1:3" x14ac:dyDescent="0.25">
      <c r="B34" s="118"/>
      <c r="C34" s="119"/>
    </row>
    <row r="35" spans="1:3" x14ac:dyDescent="0.25">
      <c r="B35" s="118"/>
      <c r="C35" s="119"/>
    </row>
    <row r="36" spans="1:3" x14ac:dyDescent="0.25">
      <c r="B36" s="118"/>
      <c r="C36" s="119"/>
    </row>
    <row r="37" spans="1:3" x14ac:dyDescent="0.25">
      <c r="B37" s="118"/>
      <c r="C37" s="119"/>
    </row>
    <row r="38" spans="1:3" x14ac:dyDescent="0.25">
      <c r="B38" s="118"/>
      <c r="C38" s="119"/>
    </row>
    <row r="39" spans="1:3" x14ac:dyDescent="0.25">
      <c r="B39" s="118"/>
      <c r="C39" s="119"/>
    </row>
    <row r="40" spans="1:3" x14ac:dyDescent="0.25">
      <c r="B40" s="118"/>
      <c r="C40" s="119"/>
    </row>
    <row r="41" spans="1:3" x14ac:dyDescent="0.25">
      <c r="B41" s="118"/>
      <c r="C41" s="119"/>
    </row>
    <row r="42" spans="1:3" x14ac:dyDescent="0.25">
      <c r="B42" s="118"/>
      <c r="C42" s="119"/>
    </row>
    <row r="43" spans="1:3" x14ac:dyDescent="0.25">
      <c r="B43" s="118"/>
      <c r="C43" s="119"/>
    </row>
    <row r="44" spans="1:3" x14ac:dyDescent="0.25">
      <c r="B44" s="118"/>
      <c r="C44" s="119"/>
    </row>
    <row r="45" spans="1:3" x14ac:dyDescent="0.25">
      <c r="B45" s="118"/>
      <c r="C45" s="119"/>
    </row>
    <row r="46" spans="1:3" x14ac:dyDescent="0.25">
      <c r="B46" s="118"/>
      <c r="C46" s="119"/>
    </row>
    <row r="47" spans="1:3" x14ac:dyDescent="0.25">
      <c r="B47" s="118"/>
      <c r="C47" s="119"/>
    </row>
    <row r="48" spans="1:3" x14ac:dyDescent="0.25">
      <c r="B48" s="118"/>
      <c r="C48" s="119"/>
    </row>
    <row r="49" spans="2:3" x14ac:dyDescent="0.25">
      <c r="B49" s="118"/>
      <c r="C49" s="119"/>
    </row>
    <row r="50" spans="2:3" x14ac:dyDescent="0.25">
      <c r="B50" s="118"/>
      <c r="C50" s="119"/>
    </row>
    <row r="51" spans="2:3" x14ac:dyDescent="0.25">
      <c r="B51" s="118"/>
      <c r="C51" s="119"/>
    </row>
    <row r="52" spans="2:3" x14ac:dyDescent="0.25">
      <c r="B52" s="118"/>
      <c r="C52" s="119"/>
    </row>
    <row r="53" spans="2:3" x14ac:dyDescent="0.25">
      <c r="B53" s="118"/>
      <c r="C53" s="119"/>
    </row>
    <row r="54" spans="2:3" x14ac:dyDescent="0.25">
      <c r="B54" s="118"/>
      <c r="C54" s="119"/>
    </row>
    <row r="55" spans="2:3" x14ac:dyDescent="0.25">
      <c r="B55" s="118"/>
      <c r="C55" s="119"/>
    </row>
    <row r="56" spans="2:3" x14ac:dyDescent="0.25">
      <c r="B56" s="118"/>
      <c r="C56" s="119"/>
    </row>
    <row r="57" spans="2:3" x14ac:dyDescent="0.25">
      <c r="B57" s="118"/>
      <c r="C57" s="119"/>
    </row>
    <row r="58" spans="2:3" x14ac:dyDescent="0.25">
      <c r="B58" s="118"/>
      <c r="C58" s="119"/>
    </row>
    <row r="59" spans="2:3" x14ac:dyDescent="0.25">
      <c r="B59" s="118"/>
      <c r="C59" s="119"/>
    </row>
  </sheetData>
  <sheetProtection algorithmName="SHA-512" hashValue="tVac6RavnqcQ+8UeXBRg35qlc2WhPFe/WzKTBPlhoxttMoC9o5nXjhIhDbnZiFVdvATkyk98+N/QEHat9yWpkA==" saltValue="YcBSswFphchFVFQryrUqrQ==" spinCount="100000" sheet="1" objects="1" scenarios="1"/>
  <mergeCells count="2">
    <mergeCell ref="A12:A16"/>
    <mergeCell ref="C12:C16"/>
  </mergeCells>
  <pageMargins left="0.38" right="0.7" top="0.75" bottom="0.26" header="0.3" footer="0.3"/>
  <pageSetup paperSize="9" scale="93" fitToWidth="0" orientation="portrait" r:id="rId1"/>
  <ignoredErrors>
    <ignoredError sqref="C6:C9 C13: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0884B-E335-4FBC-B517-DCFDBD6FDA37}">
  <dimension ref="A1:XEW55"/>
  <sheetViews>
    <sheetView rightToLeft="1" topLeftCell="A45" workbookViewId="0">
      <selection activeCell="L56" sqref="A1:L56"/>
    </sheetView>
  </sheetViews>
  <sheetFormatPr defaultRowHeight="13.8" x14ac:dyDescent="0.25"/>
  <cols>
    <col min="1" max="2" width="10.8984375" bestFit="1" customWidth="1"/>
    <col min="3" max="3" width="26.19921875" bestFit="1" customWidth="1"/>
  </cols>
  <sheetData>
    <row r="1" spans="1:16377" s="195" customFormat="1" ht="47.1" customHeight="1" x14ac:dyDescent="0.25">
      <c r="A1" s="194" t="s">
        <v>623</v>
      </c>
      <c r="B1" s="194" t="s">
        <v>0</v>
      </c>
      <c r="C1" s="194" t="s">
        <v>1</v>
      </c>
      <c r="D1" s="165" t="s">
        <v>1070</v>
      </c>
      <c r="E1" s="165" t="s">
        <v>1071</v>
      </c>
      <c r="F1" s="165" t="s">
        <v>1061</v>
      </c>
      <c r="G1" s="165" t="s">
        <v>1059</v>
      </c>
      <c r="H1" s="165" t="s">
        <v>1060</v>
      </c>
      <c r="I1" s="165" t="s">
        <v>1058</v>
      </c>
      <c r="J1" s="165" t="s">
        <v>890</v>
      </c>
    </row>
    <row r="2" spans="1:16377" s="124" customFormat="1" ht="13.5" customHeight="1" x14ac:dyDescent="0.25">
      <c r="A2" s="123">
        <v>7</v>
      </c>
      <c r="B2" s="126">
        <v>1312500990</v>
      </c>
      <c r="C2" s="126" t="s">
        <v>1203</v>
      </c>
      <c r="D2" s="379">
        <v>126</v>
      </c>
      <c r="E2" s="378">
        <v>541</v>
      </c>
      <c r="F2" s="376">
        <v>300</v>
      </c>
      <c r="G2" s="380">
        <v>0</v>
      </c>
      <c r="H2" s="374">
        <v>0</v>
      </c>
      <c r="I2" s="377">
        <v>0</v>
      </c>
      <c r="J2" s="331" t="s">
        <v>1196</v>
      </c>
      <c r="M2" s="125"/>
      <c r="N2" s="125"/>
      <c r="O2" s="125"/>
    </row>
    <row r="3" spans="1:16377" s="124" customFormat="1" ht="13.5" customHeight="1" x14ac:dyDescent="0.25">
      <c r="A3" s="123">
        <v>20</v>
      </c>
      <c r="B3" s="126">
        <v>1313212920</v>
      </c>
      <c r="C3" s="126" t="s">
        <v>37</v>
      </c>
      <c r="D3" s="379">
        <v>0</v>
      </c>
      <c r="E3" s="378">
        <v>0</v>
      </c>
      <c r="F3" s="375">
        <v>100</v>
      </c>
      <c r="G3" s="378">
        <v>0</v>
      </c>
      <c r="H3" s="386">
        <v>0</v>
      </c>
      <c r="I3" s="328">
        <v>0</v>
      </c>
      <c r="J3" s="331" t="s">
        <v>1218</v>
      </c>
      <c r="M3" s="125"/>
      <c r="N3" s="125"/>
      <c r="O3" s="125"/>
    </row>
    <row r="4" spans="1:16377" s="124" customFormat="1" ht="13.5" customHeight="1" x14ac:dyDescent="0.25">
      <c r="A4" s="123">
        <v>18</v>
      </c>
      <c r="B4" s="123">
        <v>1313201921</v>
      </c>
      <c r="C4" s="123" t="s">
        <v>889</v>
      </c>
      <c r="D4" s="127">
        <v>80</v>
      </c>
      <c r="E4" s="266">
        <v>0</v>
      </c>
      <c r="F4" s="373">
        <v>-200</v>
      </c>
      <c r="G4" s="266">
        <v>0</v>
      </c>
      <c r="H4" s="381">
        <v>0</v>
      </c>
      <c r="I4" s="267">
        <v>0</v>
      </c>
      <c r="J4" s="331" t="s">
        <v>1197</v>
      </c>
      <c r="M4" s="125"/>
      <c r="N4" s="125"/>
      <c r="O4" s="125"/>
    </row>
    <row r="5" spans="1:16377" s="124" customFormat="1" ht="13.5" customHeight="1" x14ac:dyDescent="0.25">
      <c r="A5" s="123">
        <v>33</v>
      </c>
      <c r="B5" s="123">
        <v>1313290920</v>
      </c>
      <c r="C5" s="123" t="s">
        <v>735</v>
      </c>
      <c r="D5" s="127">
        <v>0</v>
      </c>
      <c r="E5" s="266">
        <v>-31</v>
      </c>
      <c r="F5" s="373">
        <v>-40</v>
      </c>
      <c r="G5" s="268">
        <v>4</v>
      </c>
      <c r="H5" s="387">
        <v>0</v>
      </c>
      <c r="I5" s="384">
        <v>0</v>
      </c>
      <c r="J5" s="331" t="s">
        <v>1199</v>
      </c>
      <c r="M5" s="125"/>
      <c r="N5" s="125"/>
      <c r="O5" s="125"/>
    </row>
    <row r="6" spans="1:16377" s="124" customFormat="1" ht="13.5" customHeight="1" x14ac:dyDescent="0.25">
      <c r="A6" s="123">
        <v>42</v>
      </c>
      <c r="B6" s="4">
        <v>1313330920</v>
      </c>
      <c r="C6" s="123" t="s">
        <v>1091</v>
      </c>
      <c r="D6" s="127">
        <v>0</v>
      </c>
      <c r="E6" s="266">
        <v>21</v>
      </c>
      <c r="F6" s="373">
        <f t="shared" ref="F6" si="0">E6*1.02</f>
        <v>21.42</v>
      </c>
      <c r="G6" s="268">
        <v>0</v>
      </c>
      <c r="H6" s="387">
        <v>0</v>
      </c>
      <c r="I6" s="384">
        <v>0</v>
      </c>
      <c r="J6" s="331" t="s">
        <v>1185</v>
      </c>
      <c r="M6" s="125"/>
      <c r="N6" s="125"/>
      <c r="O6" s="125"/>
    </row>
    <row r="7" spans="1:16377" s="124" customFormat="1" ht="13.5" customHeight="1" x14ac:dyDescent="0.25">
      <c r="A7" s="123">
        <v>49</v>
      </c>
      <c r="B7" s="126">
        <v>1313700990</v>
      </c>
      <c r="C7" s="123" t="s">
        <v>45</v>
      </c>
      <c r="D7" s="267">
        <v>0</v>
      </c>
      <c r="E7" s="266">
        <v>0</v>
      </c>
      <c r="F7" s="373">
        <v>50</v>
      </c>
      <c r="G7" s="268">
        <v>0</v>
      </c>
      <c r="H7" s="387">
        <v>0</v>
      </c>
      <c r="I7" s="384">
        <v>0</v>
      </c>
      <c r="J7" s="331" t="s">
        <v>1200</v>
      </c>
      <c r="M7" s="125"/>
      <c r="N7" s="125"/>
      <c r="O7" s="125"/>
    </row>
    <row r="8" spans="1:16377" s="124" customFormat="1" ht="13.5" customHeight="1" x14ac:dyDescent="0.25">
      <c r="A8" s="123">
        <v>52</v>
      </c>
      <c r="B8" s="123">
        <v>1317199921</v>
      </c>
      <c r="C8" s="123" t="s">
        <v>748</v>
      </c>
      <c r="D8" s="127">
        <v>0</v>
      </c>
      <c r="E8" s="266">
        <v>0</v>
      </c>
      <c r="F8" s="373">
        <v>90</v>
      </c>
      <c r="G8" s="268">
        <v>25</v>
      </c>
      <c r="H8" s="387">
        <v>0</v>
      </c>
      <c r="I8" s="384">
        <v>0</v>
      </c>
      <c r="J8" s="331" t="s">
        <v>1201</v>
      </c>
      <c r="M8" s="125"/>
      <c r="N8" s="125"/>
      <c r="O8" s="125"/>
    </row>
    <row r="9" spans="1:16377" x14ac:dyDescent="0.25">
      <c r="A9" s="4">
        <v>15</v>
      </c>
      <c r="B9" s="38">
        <v>1342230930</v>
      </c>
      <c r="C9" s="38" t="s">
        <v>63</v>
      </c>
      <c r="D9" s="99">
        <v>50</v>
      </c>
      <c r="E9" s="142">
        <v>2</v>
      </c>
      <c r="F9" s="382">
        <v>2.04</v>
      </c>
      <c r="G9" s="233">
        <v>0</v>
      </c>
      <c r="H9" s="388">
        <v>0</v>
      </c>
      <c r="I9" s="385">
        <v>0</v>
      </c>
      <c r="J9" s="284" t="s">
        <v>1229</v>
      </c>
    </row>
    <row r="10" spans="1:16377" x14ac:dyDescent="0.25">
      <c r="A10" s="4">
        <v>40</v>
      </c>
      <c r="B10" s="38">
        <v>1343520930</v>
      </c>
      <c r="C10" s="38" t="s">
        <v>79</v>
      </c>
      <c r="D10" s="99">
        <v>60</v>
      </c>
      <c r="E10" s="142">
        <v>59</v>
      </c>
      <c r="F10" s="382">
        <v>123</v>
      </c>
      <c r="G10" s="233">
        <v>0</v>
      </c>
      <c r="H10" s="388">
        <v>0</v>
      </c>
      <c r="I10" s="385">
        <v>0</v>
      </c>
      <c r="J10" s="284" t="s">
        <v>1229</v>
      </c>
    </row>
    <row r="11" spans="1:16377" x14ac:dyDescent="0.25">
      <c r="A11" s="4">
        <v>54</v>
      </c>
      <c r="B11" s="4">
        <v>1844450840</v>
      </c>
      <c r="C11" s="4" t="s">
        <v>91</v>
      </c>
      <c r="D11" s="90">
        <v>82</v>
      </c>
      <c r="E11" s="90">
        <v>76</v>
      </c>
      <c r="F11" s="343">
        <v>80.239999999999995</v>
      </c>
      <c r="G11" s="244">
        <v>0</v>
      </c>
      <c r="H11" s="389">
        <v>0</v>
      </c>
      <c r="I11" s="279">
        <v>0</v>
      </c>
      <c r="J11" s="38" t="s">
        <v>1162</v>
      </c>
    </row>
    <row r="12" spans="1:16377" x14ac:dyDescent="0.25">
      <c r="A12" s="4">
        <v>58</v>
      </c>
      <c r="B12" s="4">
        <v>1844480840</v>
      </c>
      <c r="C12" s="4" t="s">
        <v>93</v>
      </c>
      <c r="D12" s="90">
        <v>19</v>
      </c>
      <c r="E12" s="90">
        <v>5</v>
      </c>
      <c r="F12" s="343">
        <v>13.6</v>
      </c>
      <c r="G12" s="244">
        <v>0</v>
      </c>
      <c r="H12" s="389">
        <v>0</v>
      </c>
      <c r="I12" s="279">
        <v>0</v>
      </c>
      <c r="J12" s="38" t="s">
        <v>1162</v>
      </c>
    </row>
    <row r="13" spans="1:16377" x14ac:dyDescent="0.25">
      <c r="A13" s="4">
        <v>63</v>
      </c>
      <c r="B13" s="4">
        <v>1844494840</v>
      </c>
      <c r="C13" s="4" t="s">
        <v>874</v>
      </c>
      <c r="D13" s="90">
        <v>0</v>
      </c>
      <c r="E13" s="90">
        <v>42</v>
      </c>
      <c r="F13" s="343">
        <v>70.72</v>
      </c>
      <c r="G13" s="244">
        <v>0</v>
      </c>
      <c r="H13" s="389">
        <v>0</v>
      </c>
      <c r="I13" s="279">
        <v>0</v>
      </c>
      <c r="J13" s="238" t="s">
        <v>1162</v>
      </c>
    </row>
    <row r="14" spans="1:16377" x14ac:dyDescent="0.25">
      <c r="A14" s="4">
        <v>65</v>
      </c>
      <c r="B14" s="4">
        <v>1844498840</v>
      </c>
      <c r="C14" s="4" t="s">
        <v>896</v>
      </c>
      <c r="D14" s="90">
        <v>0</v>
      </c>
      <c r="E14" s="90">
        <v>0</v>
      </c>
      <c r="F14" s="343">
        <v>61.199999999999996</v>
      </c>
      <c r="G14" s="244">
        <v>0</v>
      </c>
      <c r="H14" s="389">
        <v>0</v>
      </c>
      <c r="I14" s="279">
        <v>0</v>
      </c>
      <c r="J14" s="38" t="s">
        <v>1162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30"/>
      <c r="AMI14" s="30"/>
      <c r="AMJ14" s="30"/>
      <c r="AMK14" s="30"/>
      <c r="AML14" s="30"/>
      <c r="AMM14" s="30"/>
      <c r="AMN14" s="30"/>
      <c r="AMO14" s="30"/>
      <c r="AMP14" s="30"/>
      <c r="AMQ14" s="30"/>
      <c r="AMR14" s="30"/>
      <c r="AMS14" s="30"/>
      <c r="AMT14" s="30"/>
      <c r="AMU14" s="30"/>
      <c r="AMV14" s="30"/>
      <c r="AMW14" s="30"/>
      <c r="AMX14" s="30"/>
      <c r="AMY14" s="30"/>
      <c r="AMZ14" s="30"/>
      <c r="ANA14" s="30"/>
      <c r="ANB14" s="30"/>
      <c r="ANC14" s="30"/>
      <c r="AND14" s="30"/>
      <c r="ANE14" s="30"/>
      <c r="ANF14" s="30"/>
      <c r="ANG14" s="30"/>
      <c r="ANH14" s="30"/>
      <c r="ANI14" s="30"/>
      <c r="ANJ14" s="30"/>
      <c r="ANK14" s="30"/>
      <c r="ANL14" s="30"/>
      <c r="ANM14" s="30"/>
      <c r="ANN14" s="30"/>
      <c r="ANO14" s="30"/>
      <c r="ANP14" s="30"/>
      <c r="ANQ14" s="30"/>
      <c r="ANR14" s="30"/>
      <c r="ANS14" s="30"/>
      <c r="ANT14" s="30"/>
      <c r="ANU14" s="30"/>
      <c r="ANV14" s="30"/>
      <c r="ANW14" s="30"/>
      <c r="ANX14" s="30"/>
      <c r="ANY14" s="30"/>
      <c r="ANZ14" s="30"/>
      <c r="AOA14" s="30"/>
      <c r="AOB14" s="30"/>
      <c r="AOC14" s="30"/>
      <c r="AOD14" s="30"/>
      <c r="AOE14" s="30"/>
      <c r="AOF14" s="30"/>
      <c r="AOG14" s="30"/>
      <c r="AOH14" s="30"/>
      <c r="AOI14" s="30"/>
      <c r="AOJ14" s="30"/>
      <c r="AOK14" s="30"/>
      <c r="AOL14" s="30"/>
      <c r="AOM14" s="30"/>
      <c r="AON14" s="30"/>
      <c r="AOO14" s="30"/>
      <c r="AOP14" s="30"/>
      <c r="AOQ14" s="30"/>
      <c r="AOR14" s="30"/>
      <c r="AOS14" s="30"/>
      <c r="AOT14" s="30"/>
      <c r="AOU14" s="30"/>
      <c r="AOV14" s="30"/>
      <c r="AOW14" s="30"/>
      <c r="AOX14" s="30"/>
      <c r="AOY14" s="30"/>
      <c r="AOZ14" s="30"/>
      <c r="APA14" s="30"/>
      <c r="APB14" s="30"/>
      <c r="APC14" s="30"/>
      <c r="APD14" s="30"/>
      <c r="APE14" s="30"/>
      <c r="APF14" s="30"/>
      <c r="APG14" s="30"/>
      <c r="APH14" s="30"/>
      <c r="API14" s="30"/>
      <c r="APJ14" s="30"/>
      <c r="APK14" s="30"/>
      <c r="APL14" s="30"/>
      <c r="APM14" s="30"/>
      <c r="APN14" s="30"/>
      <c r="APO14" s="30"/>
      <c r="APP14" s="30"/>
      <c r="APQ14" s="30"/>
      <c r="APR14" s="30"/>
      <c r="APS14" s="30"/>
      <c r="APT14" s="30"/>
      <c r="APU14" s="30"/>
      <c r="APV14" s="30"/>
      <c r="APW14" s="30"/>
      <c r="APX14" s="30"/>
      <c r="APY14" s="30"/>
      <c r="APZ14" s="30"/>
      <c r="AQA14" s="30"/>
      <c r="AQB14" s="30"/>
      <c r="AQC14" s="30"/>
      <c r="AQD14" s="30"/>
      <c r="AQE14" s="30"/>
      <c r="AQF14" s="30"/>
      <c r="AQG14" s="30"/>
      <c r="AQH14" s="30"/>
      <c r="AQI14" s="30"/>
      <c r="AQJ14" s="30"/>
      <c r="AQK14" s="30"/>
      <c r="AQL14" s="30"/>
      <c r="AQM14" s="30"/>
      <c r="AQN14" s="30"/>
      <c r="AQO14" s="30"/>
      <c r="AQP14" s="30"/>
      <c r="AQQ14" s="30"/>
      <c r="AQR14" s="30"/>
      <c r="AQS14" s="30"/>
      <c r="AQT14" s="30"/>
      <c r="AQU14" s="30"/>
      <c r="AQV14" s="30"/>
      <c r="AQW14" s="30"/>
      <c r="AQX14" s="30"/>
      <c r="AQY14" s="30"/>
      <c r="AQZ14" s="30"/>
      <c r="ARA14" s="30"/>
      <c r="ARB14" s="30"/>
      <c r="ARC14" s="30"/>
      <c r="ARD14" s="30"/>
      <c r="ARE14" s="30"/>
      <c r="ARF14" s="30"/>
      <c r="ARG14" s="30"/>
      <c r="ARH14" s="30"/>
      <c r="ARI14" s="30"/>
      <c r="ARJ14" s="30"/>
      <c r="ARK14" s="30"/>
      <c r="ARL14" s="30"/>
      <c r="ARM14" s="30"/>
      <c r="ARN14" s="30"/>
      <c r="ARO14" s="30"/>
      <c r="ARP14" s="30"/>
      <c r="ARQ14" s="30"/>
      <c r="ARR14" s="30"/>
      <c r="ARS14" s="30"/>
      <c r="ART14" s="30"/>
      <c r="ARU14" s="30"/>
      <c r="ARV14" s="30"/>
      <c r="ARW14" s="30"/>
      <c r="ARX14" s="30"/>
      <c r="ARY14" s="30"/>
      <c r="ARZ14" s="30"/>
      <c r="ASA14" s="30"/>
      <c r="ASB14" s="30"/>
      <c r="ASC14" s="30"/>
      <c r="ASD14" s="30"/>
      <c r="ASE14" s="30"/>
      <c r="ASF14" s="30"/>
      <c r="ASG14" s="30"/>
      <c r="ASH14" s="30"/>
      <c r="ASI14" s="30"/>
      <c r="ASJ14" s="30"/>
      <c r="ASK14" s="30"/>
      <c r="ASL14" s="30"/>
      <c r="ASM14" s="30"/>
      <c r="ASN14" s="30"/>
      <c r="ASO14" s="30"/>
      <c r="ASP14" s="30"/>
      <c r="ASQ14" s="30"/>
      <c r="ASR14" s="30"/>
      <c r="ASS14" s="30"/>
      <c r="AST14" s="30"/>
      <c r="ASU14" s="30"/>
      <c r="ASV14" s="30"/>
      <c r="ASW14" s="30"/>
      <c r="ASX14" s="30"/>
      <c r="ASY14" s="30"/>
      <c r="ASZ14" s="30"/>
      <c r="ATA14" s="30"/>
      <c r="ATB14" s="30"/>
      <c r="ATC14" s="30"/>
      <c r="ATD14" s="30"/>
      <c r="ATE14" s="30"/>
      <c r="ATF14" s="30"/>
      <c r="ATG14" s="30"/>
      <c r="ATH14" s="30"/>
      <c r="ATI14" s="30"/>
      <c r="ATJ14" s="30"/>
      <c r="ATK14" s="30"/>
      <c r="ATL14" s="30"/>
      <c r="ATM14" s="30"/>
      <c r="ATN14" s="30"/>
      <c r="ATO14" s="30"/>
      <c r="ATP14" s="30"/>
      <c r="ATQ14" s="30"/>
      <c r="ATR14" s="30"/>
      <c r="ATS14" s="30"/>
      <c r="ATT14" s="30"/>
      <c r="ATU14" s="30"/>
      <c r="ATV14" s="30"/>
      <c r="ATW14" s="30"/>
      <c r="ATX14" s="30"/>
      <c r="ATY14" s="30"/>
      <c r="ATZ14" s="30"/>
      <c r="AUA14" s="30"/>
      <c r="AUB14" s="30"/>
      <c r="AUC14" s="30"/>
      <c r="AUD14" s="30"/>
      <c r="AUE14" s="30"/>
      <c r="AUF14" s="30"/>
      <c r="AUG14" s="30"/>
      <c r="AUH14" s="30"/>
      <c r="AUI14" s="30"/>
      <c r="AUJ14" s="30"/>
      <c r="AUK14" s="30"/>
      <c r="AUL14" s="30"/>
      <c r="AUM14" s="30"/>
      <c r="AUN14" s="30"/>
      <c r="AUO14" s="30"/>
      <c r="AUP14" s="30"/>
      <c r="AUQ14" s="30"/>
      <c r="AUR14" s="30"/>
      <c r="AUS14" s="30"/>
      <c r="AUT14" s="30"/>
      <c r="AUU14" s="30"/>
      <c r="AUV14" s="30"/>
      <c r="AUW14" s="30"/>
      <c r="AUX14" s="30"/>
      <c r="AUY14" s="30"/>
      <c r="AUZ14" s="30"/>
      <c r="AVA14" s="30"/>
      <c r="AVB14" s="30"/>
      <c r="AVC14" s="30"/>
      <c r="AVD14" s="30"/>
      <c r="AVE14" s="30"/>
      <c r="AVF14" s="30"/>
      <c r="AVG14" s="30"/>
      <c r="AVH14" s="30"/>
      <c r="AVI14" s="30"/>
      <c r="AVJ14" s="30"/>
      <c r="AVK14" s="30"/>
      <c r="AVL14" s="30"/>
      <c r="AVM14" s="30"/>
      <c r="AVN14" s="30"/>
      <c r="AVO14" s="30"/>
      <c r="AVP14" s="30"/>
      <c r="AVQ14" s="30"/>
      <c r="AVR14" s="30"/>
      <c r="AVS14" s="30"/>
      <c r="AVT14" s="30"/>
      <c r="AVU14" s="30"/>
      <c r="AVV14" s="30"/>
      <c r="AVW14" s="30"/>
      <c r="AVX14" s="30"/>
      <c r="AVY14" s="30"/>
      <c r="AVZ14" s="30"/>
      <c r="AWA14" s="30"/>
      <c r="AWB14" s="30"/>
      <c r="AWC14" s="30"/>
      <c r="AWD14" s="30"/>
      <c r="AWE14" s="30"/>
      <c r="AWF14" s="30"/>
      <c r="AWG14" s="30"/>
      <c r="AWH14" s="30"/>
      <c r="AWI14" s="30"/>
      <c r="AWJ14" s="30"/>
      <c r="AWK14" s="30"/>
      <c r="AWL14" s="30"/>
      <c r="AWM14" s="30"/>
      <c r="AWN14" s="30"/>
      <c r="AWO14" s="30"/>
      <c r="AWP14" s="30"/>
      <c r="AWQ14" s="30"/>
      <c r="AWR14" s="30"/>
      <c r="AWS14" s="30"/>
      <c r="AWT14" s="30"/>
      <c r="AWU14" s="30"/>
      <c r="AWV14" s="30"/>
      <c r="AWW14" s="30"/>
      <c r="AWX14" s="30"/>
      <c r="AWY14" s="30"/>
      <c r="AWZ14" s="30"/>
      <c r="AXA14" s="30"/>
      <c r="AXB14" s="30"/>
      <c r="AXC14" s="30"/>
      <c r="AXD14" s="30"/>
      <c r="AXE14" s="30"/>
      <c r="AXF14" s="30"/>
      <c r="AXG14" s="30"/>
      <c r="AXH14" s="30"/>
      <c r="AXI14" s="30"/>
      <c r="AXJ14" s="30"/>
      <c r="AXK14" s="30"/>
      <c r="AXL14" s="30"/>
      <c r="AXM14" s="30"/>
      <c r="AXN14" s="30"/>
      <c r="AXO14" s="30"/>
      <c r="AXP14" s="30"/>
      <c r="AXQ14" s="30"/>
      <c r="AXR14" s="30"/>
      <c r="AXS14" s="30"/>
      <c r="AXT14" s="30"/>
      <c r="AXU14" s="30"/>
      <c r="AXV14" s="30"/>
      <c r="AXW14" s="30"/>
      <c r="AXX14" s="30"/>
      <c r="AXY14" s="30"/>
      <c r="AXZ14" s="30"/>
      <c r="AYA14" s="30"/>
      <c r="AYB14" s="30"/>
      <c r="AYC14" s="30"/>
      <c r="AYD14" s="30"/>
      <c r="AYE14" s="30"/>
      <c r="AYF14" s="30"/>
      <c r="AYG14" s="30"/>
      <c r="AYH14" s="30"/>
      <c r="AYI14" s="30"/>
      <c r="AYJ14" s="30"/>
      <c r="AYK14" s="30"/>
      <c r="AYL14" s="30"/>
      <c r="AYM14" s="30"/>
      <c r="AYN14" s="30"/>
      <c r="AYO14" s="30"/>
      <c r="AYP14" s="30"/>
      <c r="AYQ14" s="30"/>
      <c r="AYR14" s="30"/>
      <c r="AYS14" s="30"/>
      <c r="AYT14" s="30"/>
      <c r="AYU14" s="30"/>
      <c r="AYV14" s="30"/>
      <c r="AYW14" s="30"/>
      <c r="AYX14" s="30"/>
      <c r="AYY14" s="30"/>
      <c r="AYZ14" s="30"/>
      <c r="AZA14" s="30"/>
      <c r="AZB14" s="30"/>
      <c r="AZC14" s="30"/>
      <c r="AZD14" s="30"/>
      <c r="AZE14" s="30"/>
      <c r="AZF14" s="30"/>
      <c r="AZG14" s="30"/>
      <c r="AZH14" s="30"/>
      <c r="AZI14" s="30"/>
      <c r="AZJ14" s="30"/>
      <c r="AZK14" s="30"/>
      <c r="AZL14" s="30"/>
      <c r="AZM14" s="30"/>
      <c r="AZN14" s="30"/>
      <c r="AZO14" s="30"/>
      <c r="AZP14" s="30"/>
      <c r="AZQ14" s="30"/>
      <c r="AZR14" s="30"/>
      <c r="AZS14" s="30"/>
      <c r="AZT14" s="30"/>
      <c r="AZU14" s="30"/>
      <c r="AZV14" s="30"/>
      <c r="AZW14" s="30"/>
      <c r="AZX14" s="30"/>
      <c r="AZY14" s="30"/>
      <c r="AZZ14" s="30"/>
      <c r="BAA14" s="30"/>
      <c r="BAB14" s="30"/>
      <c r="BAC14" s="30"/>
      <c r="BAD14" s="30"/>
      <c r="BAE14" s="30"/>
      <c r="BAF14" s="30"/>
      <c r="BAG14" s="30"/>
      <c r="BAH14" s="30"/>
      <c r="BAI14" s="30"/>
      <c r="BAJ14" s="30"/>
      <c r="BAK14" s="30"/>
      <c r="BAL14" s="30"/>
      <c r="BAM14" s="30"/>
      <c r="BAN14" s="30"/>
      <c r="BAO14" s="30"/>
      <c r="BAP14" s="30"/>
      <c r="BAQ14" s="30"/>
      <c r="BAR14" s="30"/>
      <c r="BAS14" s="30"/>
      <c r="BAT14" s="30"/>
      <c r="BAU14" s="30"/>
      <c r="BAV14" s="30"/>
      <c r="BAW14" s="30"/>
      <c r="BAX14" s="30"/>
      <c r="BAY14" s="30"/>
      <c r="BAZ14" s="30"/>
      <c r="BBA14" s="30"/>
      <c r="BBB14" s="30"/>
      <c r="BBC14" s="30"/>
      <c r="BBD14" s="30"/>
      <c r="BBE14" s="30"/>
      <c r="BBF14" s="30"/>
      <c r="BBG14" s="30"/>
      <c r="BBH14" s="30"/>
      <c r="BBI14" s="30"/>
      <c r="BBJ14" s="30"/>
      <c r="BBK14" s="30"/>
      <c r="BBL14" s="30"/>
      <c r="BBM14" s="30"/>
      <c r="BBN14" s="30"/>
      <c r="BBO14" s="30"/>
      <c r="BBP14" s="30"/>
      <c r="BBQ14" s="30"/>
      <c r="BBR14" s="30"/>
      <c r="BBS14" s="30"/>
      <c r="BBT14" s="30"/>
      <c r="BBU14" s="30"/>
      <c r="BBV14" s="30"/>
      <c r="BBW14" s="30"/>
      <c r="BBX14" s="30"/>
      <c r="BBY14" s="30"/>
      <c r="BBZ14" s="30"/>
      <c r="BCA14" s="30"/>
      <c r="BCB14" s="30"/>
      <c r="BCC14" s="30"/>
      <c r="BCD14" s="30"/>
      <c r="BCE14" s="30"/>
      <c r="BCF14" s="30"/>
      <c r="BCG14" s="30"/>
      <c r="BCH14" s="30"/>
      <c r="BCI14" s="30"/>
      <c r="BCJ14" s="30"/>
      <c r="BCK14" s="30"/>
      <c r="BCL14" s="30"/>
      <c r="BCM14" s="30"/>
      <c r="BCN14" s="30"/>
      <c r="BCO14" s="30"/>
      <c r="BCP14" s="30"/>
      <c r="BCQ14" s="30"/>
      <c r="BCR14" s="30"/>
      <c r="BCS14" s="30"/>
      <c r="BCT14" s="30"/>
      <c r="BCU14" s="30"/>
      <c r="BCV14" s="30"/>
      <c r="BCW14" s="30"/>
      <c r="BCX14" s="30"/>
      <c r="BCY14" s="30"/>
      <c r="BCZ14" s="30"/>
      <c r="BDA14" s="30"/>
      <c r="BDB14" s="30"/>
      <c r="BDC14" s="30"/>
      <c r="BDD14" s="30"/>
      <c r="BDE14" s="30"/>
      <c r="BDF14" s="30"/>
      <c r="BDG14" s="30"/>
      <c r="BDH14" s="30"/>
      <c r="BDI14" s="30"/>
      <c r="BDJ14" s="30"/>
      <c r="BDK14" s="30"/>
      <c r="BDL14" s="30"/>
      <c r="BDM14" s="30"/>
      <c r="BDN14" s="30"/>
      <c r="BDO14" s="30"/>
      <c r="BDP14" s="30"/>
      <c r="BDQ14" s="30"/>
      <c r="BDR14" s="30"/>
      <c r="BDS14" s="30"/>
      <c r="BDT14" s="30"/>
      <c r="BDU14" s="30"/>
      <c r="BDV14" s="30"/>
      <c r="BDW14" s="30"/>
      <c r="BDX14" s="30"/>
      <c r="BDY14" s="30"/>
      <c r="BDZ14" s="30"/>
      <c r="BEA14" s="30"/>
      <c r="BEB14" s="30"/>
      <c r="BEC14" s="30"/>
      <c r="BED14" s="30"/>
      <c r="BEE14" s="30"/>
      <c r="BEF14" s="30"/>
      <c r="BEG14" s="30"/>
      <c r="BEH14" s="30"/>
      <c r="BEI14" s="30"/>
      <c r="BEJ14" s="30"/>
      <c r="BEK14" s="30"/>
      <c r="BEL14" s="30"/>
      <c r="BEM14" s="30"/>
      <c r="BEN14" s="30"/>
      <c r="BEO14" s="30"/>
      <c r="BEP14" s="30"/>
      <c r="BEQ14" s="30"/>
      <c r="BER14" s="30"/>
      <c r="BES14" s="30"/>
      <c r="BET14" s="30"/>
      <c r="BEU14" s="30"/>
      <c r="BEV14" s="30"/>
      <c r="BEW14" s="30"/>
      <c r="BEX14" s="30"/>
      <c r="BEY14" s="30"/>
      <c r="BEZ14" s="30"/>
      <c r="BFA14" s="30"/>
      <c r="BFB14" s="30"/>
      <c r="BFC14" s="30"/>
      <c r="BFD14" s="30"/>
      <c r="BFE14" s="30"/>
      <c r="BFF14" s="30"/>
      <c r="BFG14" s="30"/>
      <c r="BFH14" s="30"/>
      <c r="BFI14" s="30"/>
      <c r="BFJ14" s="30"/>
      <c r="BFK14" s="30"/>
      <c r="BFL14" s="30"/>
      <c r="BFM14" s="30"/>
      <c r="BFN14" s="30"/>
      <c r="BFO14" s="30"/>
      <c r="BFP14" s="30"/>
      <c r="BFQ14" s="30"/>
      <c r="BFR14" s="30"/>
      <c r="BFS14" s="30"/>
      <c r="BFT14" s="30"/>
      <c r="BFU14" s="30"/>
      <c r="BFV14" s="30"/>
      <c r="BFW14" s="30"/>
      <c r="BFX14" s="30"/>
      <c r="BFY14" s="30"/>
      <c r="BFZ14" s="30"/>
      <c r="BGA14" s="30"/>
      <c r="BGB14" s="30"/>
      <c r="BGC14" s="30"/>
      <c r="BGD14" s="30"/>
      <c r="BGE14" s="30"/>
      <c r="BGF14" s="30"/>
      <c r="BGG14" s="30"/>
      <c r="BGH14" s="30"/>
      <c r="BGI14" s="30"/>
      <c r="BGJ14" s="30"/>
      <c r="BGK14" s="30"/>
      <c r="BGL14" s="30"/>
      <c r="BGM14" s="30"/>
      <c r="BGN14" s="30"/>
      <c r="BGO14" s="30"/>
      <c r="BGP14" s="30"/>
      <c r="BGQ14" s="30"/>
      <c r="BGR14" s="30"/>
      <c r="BGS14" s="30"/>
      <c r="BGT14" s="30"/>
      <c r="BGU14" s="30"/>
      <c r="BGV14" s="30"/>
      <c r="BGW14" s="30"/>
      <c r="BGX14" s="30"/>
      <c r="BGY14" s="30"/>
      <c r="BGZ14" s="30"/>
      <c r="BHA14" s="30"/>
      <c r="BHB14" s="30"/>
      <c r="BHC14" s="30"/>
      <c r="BHD14" s="30"/>
      <c r="BHE14" s="30"/>
      <c r="BHF14" s="30"/>
      <c r="BHG14" s="30"/>
      <c r="BHH14" s="30"/>
      <c r="BHI14" s="30"/>
      <c r="BHJ14" s="30"/>
      <c r="BHK14" s="30"/>
      <c r="BHL14" s="30"/>
      <c r="BHM14" s="30"/>
      <c r="BHN14" s="30"/>
      <c r="BHO14" s="30"/>
      <c r="BHP14" s="30"/>
      <c r="BHQ14" s="30"/>
      <c r="BHR14" s="30"/>
      <c r="BHS14" s="30"/>
      <c r="BHT14" s="30"/>
      <c r="BHU14" s="30"/>
      <c r="BHV14" s="30"/>
      <c r="BHW14" s="30"/>
      <c r="BHX14" s="30"/>
      <c r="BHY14" s="30"/>
      <c r="BHZ14" s="30"/>
      <c r="BIA14" s="30"/>
      <c r="BIB14" s="30"/>
      <c r="BIC14" s="30"/>
      <c r="BID14" s="30"/>
      <c r="BIE14" s="30"/>
      <c r="BIF14" s="30"/>
      <c r="BIG14" s="30"/>
      <c r="BIH14" s="30"/>
      <c r="BII14" s="30"/>
      <c r="BIJ14" s="30"/>
      <c r="BIK14" s="30"/>
      <c r="BIL14" s="30"/>
      <c r="BIM14" s="30"/>
      <c r="BIN14" s="30"/>
      <c r="BIO14" s="30"/>
      <c r="BIP14" s="30"/>
      <c r="BIQ14" s="30"/>
      <c r="BIR14" s="30"/>
      <c r="BIS14" s="30"/>
      <c r="BIT14" s="30"/>
      <c r="BIU14" s="30"/>
      <c r="BIV14" s="30"/>
      <c r="BIW14" s="30"/>
      <c r="BIX14" s="30"/>
      <c r="BIY14" s="30"/>
      <c r="BIZ14" s="30"/>
      <c r="BJA14" s="30"/>
      <c r="BJB14" s="30"/>
      <c r="BJC14" s="30"/>
      <c r="BJD14" s="30"/>
      <c r="BJE14" s="30"/>
      <c r="BJF14" s="30"/>
      <c r="BJG14" s="30"/>
      <c r="BJH14" s="30"/>
      <c r="BJI14" s="30"/>
      <c r="BJJ14" s="30"/>
      <c r="BJK14" s="30"/>
      <c r="BJL14" s="30"/>
      <c r="BJM14" s="30"/>
      <c r="BJN14" s="30"/>
      <c r="BJO14" s="30"/>
      <c r="BJP14" s="30"/>
      <c r="BJQ14" s="30"/>
      <c r="BJR14" s="30"/>
      <c r="BJS14" s="30"/>
      <c r="BJT14" s="30"/>
      <c r="BJU14" s="30"/>
      <c r="BJV14" s="30"/>
      <c r="BJW14" s="30"/>
      <c r="BJX14" s="30"/>
      <c r="BJY14" s="30"/>
      <c r="BJZ14" s="30"/>
      <c r="BKA14" s="30"/>
      <c r="BKB14" s="30"/>
      <c r="BKC14" s="30"/>
      <c r="BKD14" s="30"/>
      <c r="BKE14" s="30"/>
      <c r="BKF14" s="30"/>
      <c r="BKG14" s="30"/>
      <c r="BKH14" s="30"/>
      <c r="BKI14" s="30"/>
      <c r="BKJ14" s="30"/>
      <c r="BKK14" s="30"/>
      <c r="BKL14" s="30"/>
      <c r="BKM14" s="30"/>
      <c r="BKN14" s="30"/>
      <c r="BKO14" s="30"/>
      <c r="BKP14" s="30"/>
      <c r="BKQ14" s="30"/>
      <c r="BKR14" s="30"/>
      <c r="BKS14" s="30"/>
      <c r="BKT14" s="30"/>
      <c r="BKU14" s="30"/>
      <c r="BKV14" s="30"/>
      <c r="BKW14" s="30"/>
      <c r="BKX14" s="30"/>
      <c r="BKY14" s="30"/>
      <c r="BKZ14" s="30"/>
      <c r="BLA14" s="30"/>
      <c r="BLB14" s="30"/>
      <c r="BLC14" s="30"/>
      <c r="BLD14" s="30"/>
      <c r="BLE14" s="30"/>
      <c r="BLF14" s="30"/>
      <c r="BLG14" s="30"/>
      <c r="BLH14" s="30"/>
      <c r="BLI14" s="30"/>
      <c r="BLJ14" s="30"/>
      <c r="BLK14" s="30"/>
      <c r="BLL14" s="30"/>
      <c r="BLM14" s="30"/>
      <c r="BLN14" s="30"/>
      <c r="BLO14" s="30"/>
      <c r="BLP14" s="30"/>
      <c r="BLQ14" s="30"/>
      <c r="BLR14" s="30"/>
      <c r="BLS14" s="30"/>
      <c r="BLT14" s="30"/>
      <c r="BLU14" s="30"/>
      <c r="BLV14" s="30"/>
      <c r="BLW14" s="30"/>
      <c r="BLX14" s="30"/>
      <c r="BLY14" s="30"/>
      <c r="BLZ14" s="30"/>
      <c r="BMA14" s="30"/>
      <c r="BMB14" s="30"/>
      <c r="BMC14" s="30"/>
      <c r="BMD14" s="30"/>
      <c r="BME14" s="30"/>
      <c r="BMF14" s="30"/>
      <c r="BMG14" s="30"/>
      <c r="BMH14" s="30"/>
      <c r="BMI14" s="30"/>
      <c r="BMJ14" s="30"/>
      <c r="BMK14" s="30"/>
      <c r="BML14" s="30"/>
      <c r="BMM14" s="30"/>
      <c r="BMN14" s="30"/>
      <c r="BMO14" s="30"/>
      <c r="BMP14" s="30"/>
      <c r="BMQ14" s="30"/>
      <c r="BMR14" s="30"/>
      <c r="BMS14" s="30"/>
      <c r="BMT14" s="30"/>
      <c r="BMU14" s="30"/>
      <c r="BMV14" s="30"/>
      <c r="BMW14" s="30"/>
      <c r="BMX14" s="30"/>
      <c r="BMY14" s="30"/>
      <c r="BMZ14" s="30"/>
      <c r="BNA14" s="30"/>
      <c r="BNB14" s="30"/>
      <c r="BNC14" s="30"/>
      <c r="BND14" s="30"/>
      <c r="BNE14" s="30"/>
      <c r="BNF14" s="30"/>
      <c r="BNG14" s="30"/>
      <c r="BNH14" s="30"/>
      <c r="BNI14" s="30"/>
      <c r="BNJ14" s="30"/>
      <c r="BNK14" s="30"/>
      <c r="BNL14" s="30"/>
      <c r="BNM14" s="30"/>
      <c r="BNN14" s="30"/>
      <c r="BNO14" s="30"/>
      <c r="BNP14" s="30"/>
      <c r="BNQ14" s="30"/>
      <c r="BNR14" s="30"/>
      <c r="BNS14" s="30"/>
      <c r="BNT14" s="30"/>
      <c r="BNU14" s="30"/>
      <c r="BNV14" s="30"/>
      <c r="BNW14" s="30"/>
      <c r="BNX14" s="30"/>
      <c r="BNY14" s="30"/>
      <c r="BNZ14" s="30"/>
      <c r="BOA14" s="30"/>
      <c r="BOB14" s="30"/>
      <c r="BOC14" s="30"/>
      <c r="BOD14" s="30"/>
      <c r="BOE14" s="30"/>
      <c r="BOF14" s="30"/>
      <c r="BOG14" s="30"/>
      <c r="BOH14" s="30"/>
      <c r="BOI14" s="30"/>
      <c r="BOJ14" s="30"/>
      <c r="BOK14" s="30"/>
      <c r="BOL14" s="30"/>
      <c r="BOM14" s="30"/>
      <c r="BON14" s="30"/>
      <c r="BOO14" s="30"/>
      <c r="BOP14" s="30"/>
      <c r="BOQ14" s="30"/>
      <c r="BOR14" s="30"/>
      <c r="BOS14" s="30"/>
      <c r="BOT14" s="30"/>
      <c r="BOU14" s="30"/>
      <c r="BOV14" s="30"/>
      <c r="BOW14" s="30"/>
      <c r="BOX14" s="30"/>
      <c r="BOY14" s="30"/>
      <c r="BOZ14" s="30"/>
      <c r="BPA14" s="30"/>
      <c r="BPB14" s="30"/>
      <c r="BPC14" s="30"/>
      <c r="BPD14" s="30"/>
      <c r="BPE14" s="30"/>
      <c r="BPF14" s="30"/>
      <c r="BPG14" s="30"/>
      <c r="BPH14" s="30"/>
      <c r="BPI14" s="30"/>
      <c r="BPJ14" s="30"/>
      <c r="BPK14" s="30"/>
      <c r="BPL14" s="30"/>
      <c r="BPM14" s="30"/>
      <c r="BPN14" s="30"/>
      <c r="BPO14" s="30"/>
      <c r="BPP14" s="30"/>
      <c r="BPQ14" s="30"/>
      <c r="BPR14" s="30"/>
      <c r="BPS14" s="30"/>
      <c r="BPT14" s="30"/>
      <c r="BPU14" s="30"/>
      <c r="BPV14" s="30"/>
      <c r="BPW14" s="30"/>
      <c r="BPX14" s="30"/>
      <c r="BPY14" s="30"/>
      <c r="BPZ14" s="30"/>
      <c r="BQA14" s="30"/>
      <c r="BQB14" s="30"/>
      <c r="BQC14" s="30"/>
      <c r="BQD14" s="30"/>
      <c r="BQE14" s="30"/>
      <c r="BQF14" s="30"/>
      <c r="BQG14" s="30"/>
      <c r="BQH14" s="30"/>
      <c r="BQI14" s="30"/>
      <c r="BQJ14" s="30"/>
      <c r="BQK14" s="30"/>
      <c r="BQL14" s="30"/>
      <c r="BQM14" s="30"/>
      <c r="BQN14" s="30"/>
      <c r="BQO14" s="30"/>
      <c r="BQP14" s="30"/>
      <c r="BQQ14" s="30"/>
      <c r="BQR14" s="30"/>
      <c r="BQS14" s="30"/>
      <c r="BQT14" s="30"/>
      <c r="BQU14" s="30"/>
      <c r="BQV14" s="30"/>
      <c r="BQW14" s="30"/>
      <c r="BQX14" s="30"/>
      <c r="BQY14" s="30"/>
      <c r="BQZ14" s="30"/>
      <c r="BRA14" s="30"/>
      <c r="BRB14" s="30"/>
      <c r="BRC14" s="30"/>
      <c r="BRD14" s="30"/>
      <c r="BRE14" s="30"/>
      <c r="BRF14" s="30"/>
      <c r="BRG14" s="30"/>
      <c r="BRH14" s="30"/>
      <c r="BRI14" s="30"/>
      <c r="BRJ14" s="30"/>
      <c r="BRK14" s="30"/>
      <c r="BRL14" s="30"/>
      <c r="BRM14" s="30"/>
      <c r="BRN14" s="30"/>
      <c r="BRO14" s="30"/>
      <c r="BRP14" s="30"/>
      <c r="BRQ14" s="30"/>
      <c r="BRR14" s="30"/>
      <c r="BRS14" s="30"/>
      <c r="BRT14" s="30"/>
      <c r="BRU14" s="30"/>
      <c r="BRV14" s="30"/>
      <c r="BRW14" s="30"/>
      <c r="BRX14" s="30"/>
      <c r="BRY14" s="30"/>
      <c r="BRZ14" s="30"/>
      <c r="BSA14" s="30"/>
      <c r="BSB14" s="30"/>
      <c r="BSC14" s="30"/>
      <c r="BSD14" s="30"/>
      <c r="BSE14" s="30"/>
      <c r="BSF14" s="30"/>
      <c r="BSG14" s="30"/>
      <c r="BSH14" s="30"/>
      <c r="BSI14" s="30"/>
      <c r="BSJ14" s="30"/>
      <c r="BSK14" s="30"/>
      <c r="BSL14" s="30"/>
      <c r="BSM14" s="30"/>
      <c r="BSN14" s="30"/>
      <c r="BSO14" s="30"/>
      <c r="BSP14" s="30"/>
      <c r="BSQ14" s="30"/>
      <c r="BSR14" s="30"/>
      <c r="BSS14" s="30"/>
      <c r="BST14" s="30"/>
      <c r="BSU14" s="30"/>
      <c r="BSV14" s="30"/>
      <c r="BSW14" s="30"/>
      <c r="BSX14" s="30"/>
      <c r="BSY14" s="30"/>
      <c r="BSZ14" s="30"/>
      <c r="BTA14" s="30"/>
      <c r="BTB14" s="30"/>
      <c r="BTC14" s="30"/>
      <c r="BTD14" s="30"/>
      <c r="BTE14" s="30"/>
      <c r="BTF14" s="30"/>
      <c r="BTG14" s="30"/>
      <c r="BTH14" s="30"/>
      <c r="BTI14" s="30"/>
      <c r="BTJ14" s="30"/>
      <c r="BTK14" s="30"/>
      <c r="BTL14" s="30"/>
      <c r="BTM14" s="30"/>
      <c r="BTN14" s="30"/>
      <c r="BTO14" s="30"/>
      <c r="BTP14" s="30"/>
      <c r="BTQ14" s="30"/>
      <c r="BTR14" s="30"/>
      <c r="BTS14" s="30"/>
      <c r="BTT14" s="30"/>
      <c r="BTU14" s="30"/>
      <c r="BTV14" s="30"/>
      <c r="BTW14" s="30"/>
      <c r="BTX14" s="30"/>
      <c r="BTY14" s="30"/>
      <c r="BTZ14" s="30"/>
      <c r="BUA14" s="30"/>
      <c r="BUB14" s="30"/>
      <c r="BUC14" s="30"/>
      <c r="BUD14" s="30"/>
      <c r="BUE14" s="30"/>
      <c r="BUF14" s="30"/>
      <c r="BUG14" s="30"/>
      <c r="BUH14" s="30"/>
      <c r="BUI14" s="30"/>
      <c r="BUJ14" s="30"/>
      <c r="BUK14" s="30"/>
      <c r="BUL14" s="30"/>
      <c r="BUM14" s="30"/>
      <c r="BUN14" s="30"/>
      <c r="BUO14" s="30"/>
      <c r="BUP14" s="30"/>
      <c r="BUQ14" s="30"/>
      <c r="BUR14" s="30"/>
      <c r="BUS14" s="30"/>
      <c r="BUT14" s="30"/>
      <c r="BUU14" s="30"/>
      <c r="BUV14" s="30"/>
      <c r="BUW14" s="30"/>
      <c r="BUX14" s="30"/>
      <c r="BUY14" s="30"/>
      <c r="BUZ14" s="30"/>
      <c r="BVA14" s="30"/>
      <c r="BVB14" s="30"/>
      <c r="BVC14" s="30"/>
      <c r="BVD14" s="30"/>
      <c r="BVE14" s="30"/>
      <c r="BVF14" s="30"/>
      <c r="BVG14" s="30"/>
      <c r="BVH14" s="30"/>
      <c r="BVI14" s="30"/>
      <c r="BVJ14" s="30"/>
      <c r="BVK14" s="30"/>
      <c r="BVL14" s="30"/>
      <c r="BVM14" s="30"/>
      <c r="BVN14" s="30"/>
      <c r="BVO14" s="30"/>
      <c r="BVP14" s="30"/>
      <c r="BVQ14" s="30"/>
      <c r="BVR14" s="30"/>
      <c r="BVS14" s="30"/>
      <c r="BVT14" s="30"/>
      <c r="BVU14" s="30"/>
      <c r="BVV14" s="30"/>
      <c r="BVW14" s="30"/>
      <c r="BVX14" s="30"/>
      <c r="BVY14" s="30"/>
      <c r="BVZ14" s="30"/>
      <c r="BWA14" s="30"/>
      <c r="BWB14" s="30"/>
      <c r="BWC14" s="30"/>
      <c r="BWD14" s="30"/>
      <c r="BWE14" s="30"/>
      <c r="BWF14" s="30"/>
      <c r="BWG14" s="30"/>
      <c r="BWH14" s="30"/>
      <c r="BWI14" s="30"/>
      <c r="BWJ14" s="30"/>
      <c r="BWK14" s="30"/>
      <c r="BWL14" s="30"/>
      <c r="BWM14" s="30"/>
      <c r="BWN14" s="30"/>
      <c r="BWO14" s="30"/>
      <c r="BWP14" s="30"/>
      <c r="BWQ14" s="30"/>
      <c r="BWR14" s="30"/>
      <c r="BWS14" s="30"/>
      <c r="BWT14" s="30"/>
      <c r="BWU14" s="30"/>
      <c r="BWV14" s="30"/>
      <c r="BWW14" s="30"/>
      <c r="BWX14" s="30"/>
      <c r="BWY14" s="30"/>
      <c r="BWZ14" s="30"/>
      <c r="BXA14" s="30"/>
      <c r="BXB14" s="30"/>
      <c r="BXC14" s="30"/>
      <c r="BXD14" s="30"/>
      <c r="BXE14" s="30"/>
      <c r="BXF14" s="30"/>
      <c r="BXG14" s="30"/>
      <c r="BXH14" s="30"/>
      <c r="BXI14" s="30"/>
      <c r="BXJ14" s="30"/>
      <c r="BXK14" s="30"/>
      <c r="BXL14" s="30"/>
      <c r="BXM14" s="30"/>
      <c r="BXN14" s="30"/>
      <c r="BXO14" s="30"/>
      <c r="BXP14" s="30"/>
      <c r="BXQ14" s="30"/>
      <c r="BXR14" s="30"/>
      <c r="BXS14" s="30"/>
      <c r="BXT14" s="30"/>
      <c r="BXU14" s="30"/>
      <c r="BXV14" s="30"/>
      <c r="BXW14" s="30"/>
      <c r="BXX14" s="30"/>
      <c r="BXY14" s="30"/>
      <c r="BXZ14" s="30"/>
      <c r="BYA14" s="30"/>
      <c r="BYB14" s="30"/>
      <c r="BYC14" s="30"/>
      <c r="BYD14" s="30"/>
      <c r="BYE14" s="30"/>
      <c r="BYF14" s="30"/>
      <c r="BYG14" s="30"/>
      <c r="BYH14" s="30"/>
      <c r="BYI14" s="30"/>
      <c r="BYJ14" s="30"/>
      <c r="BYK14" s="30"/>
      <c r="BYL14" s="30"/>
      <c r="BYM14" s="30"/>
      <c r="BYN14" s="30"/>
      <c r="BYO14" s="30"/>
      <c r="BYP14" s="30"/>
      <c r="BYQ14" s="30"/>
      <c r="BYR14" s="30"/>
      <c r="BYS14" s="30"/>
      <c r="BYT14" s="30"/>
      <c r="BYU14" s="30"/>
      <c r="BYV14" s="30"/>
      <c r="BYW14" s="30"/>
      <c r="BYX14" s="30"/>
      <c r="BYY14" s="30"/>
      <c r="BYZ14" s="30"/>
      <c r="BZA14" s="30"/>
      <c r="BZB14" s="30"/>
      <c r="BZC14" s="30"/>
      <c r="BZD14" s="30"/>
      <c r="BZE14" s="30"/>
      <c r="BZF14" s="30"/>
      <c r="BZG14" s="30"/>
      <c r="BZH14" s="30"/>
      <c r="BZI14" s="30"/>
      <c r="BZJ14" s="30"/>
      <c r="BZK14" s="30"/>
      <c r="BZL14" s="30"/>
      <c r="BZM14" s="30"/>
      <c r="BZN14" s="30"/>
      <c r="BZO14" s="30"/>
      <c r="BZP14" s="30"/>
      <c r="BZQ14" s="30"/>
      <c r="BZR14" s="30"/>
      <c r="BZS14" s="30"/>
      <c r="BZT14" s="30"/>
      <c r="BZU14" s="30"/>
      <c r="BZV14" s="30"/>
      <c r="BZW14" s="30"/>
      <c r="BZX14" s="30"/>
      <c r="BZY14" s="30"/>
      <c r="BZZ14" s="30"/>
      <c r="CAA14" s="30"/>
      <c r="CAB14" s="30"/>
      <c r="CAC14" s="30"/>
      <c r="CAD14" s="30"/>
      <c r="CAE14" s="30"/>
      <c r="CAF14" s="30"/>
      <c r="CAG14" s="30"/>
      <c r="CAH14" s="30"/>
      <c r="CAI14" s="30"/>
      <c r="CAJ14" s="30"/>
      <c r="CAK14" s="30"/>
      <c r="CAL14" s="30"/>
      <c r="CAM14" s="30"/>
      <c r="CAN14" s="30"/>
      <c r="CAO14" s="30"/>
      <c r="CAP14" s="30"/>
      <c r="CAQ14" s="30"/>
      <c r="CAR14" s="30"/>
      <c r="CAS14" s="30"/>
      <c r="CAT14" s="30"/>
      <c r="CAU14" s="30"/>
      <c r="CAV14" s="30"/>
      <c r="CAW14" s="30"/>
      <c r="CAX14" s="30"/>
      <c r="CAY14" s="30"/>
      <c r="CAZ14" s="30"/>
      <c r="CBA14" s="30"/>
      <c r="CBB14" s="30"/>
      <c r="CBC14" s="30"/>
      <c r="CBD14" s="30"/>
      <c r="CBE14" s="30"/>
      <c r="CBF14" s="30"/>
      <c r="CBG14" s="30"/>
      <c r="CBH14" s="30"/>
      <c r="CBI14" s="30"/>
      <c r="CBJ14" s="30"/>
      <c r="CBK14" s="30"/>
      <c r="CBL14" s="30"/>
      <c r="CBM14" s="30"/>
      <c r="CBN14" s="30"/>
      <c r="CBO14" s="30"/>
      <c r="CBP14" s="30"/>
      <c r="CBQ14" s="30"/>
      <c r="CBR14" s="30"/>
      <c r="CBS14" s="30"/>
      <c r="CBT14" s="30"/>
      <c r="CBU14" s="30"/>
      <c r="CBV14" s="30"/>
      <c r="CBW14" s="30"/>
      <c r="CBX14" s="30"/>
      <c r="CBY14" s="30"/>
      <c r="CBZ14" s="30"/>
      <c r="CCA14" s="30"/>
      <c r="CCB14" s="30"/>
      <c r="CCC14" s="30"/>
      <c r="CCD14" s="30"/>
      <c r="CCE14" s="30"/>
      <c r="CCF14" s="30"/>
      <c r="CCG14" s="30"/>
      <c r="CCH14" s="30"/>
      <c r="CCI14" s="30"/>
      <c r="CCJ14" s="30"/>
      <c r="CCK14" s="30"/>
      <c r="CCL14" s="30"/>
      <c r="CCM14" s="30"/>
      <c r="CCN14" s="30"/>
      <c r="CCO14" s="30"/>
      <c r="CCP14" s="30"/>
      <c r="CCQ14" s="30"/>
      <c r="CCR14" s="30"/>
      <c r="CCS14" s="30"/>
      <c r="CCT14" s="30"/>
      <c r="CCU14" s="30"/>
      <c r="CCV14" s="30"/>
      <c r="CCW14" s="30"/>
      <c r="CCX14" s="30"/>
      <c r="CCY14" s="30"/>
      <c r="CCZ14" s="30"/>
      <c r="CDA14" s="30"/>
      <c r="CDB14" s="30"/>
      <c r="CDC14" s="30"/>
      <c r="CDD14" s="30"/>
      <c r="CDE14" s="30"/>
      <c r="CDF14" s="30"/>
      <c r="CDG14" s="30"/>
      <c r="CDH14" s="30"/>
      <c r="CDI14" s="30"/>
      <c r="CDJ14" s="30"/>
      <c r="CDK14" s="30"/>
      <c r="CDL14" s="30"/>
      <c r="CDM14" s="30"/>
      <c r="CDN14" s="30"/>
      <c r="CDO14" s="30"/>
      <c r="CDP14" s="30"/>
      <c r="CDQ14" s="30"/>
      <c r="CDR14" s="30"/>
      <c r="CDS14" s="30"/>
      <c r="CDT14" s="30"/>
      <c r="CDU14" s="30"/>
      <c r="CDV14" s="30"/>
      <c r="CDW14" s="30"/>
      <c r="CDX14" s="30"/>
      <c r="CDY14" s="30"/>
      <c r="CDZ14" s="30"/>
      <c r="CEA14" s="30"/>
      <c r="CEB14" s="30"/>
      <c r="CEC14" s="30"/>
      <c r="CED14" s="30"/>
      <c r="CEE14" s="30"/>
      <c r="CEF14" s="30"/>
      <c r="CEG14" s="30"/>
      <c r="CEH14" s="30"/>
      <c r="CEI14" s="30"/>
      <c r="CEJ14" s="30"/>
      <c r="CEK14" s="30"/>
      <c r="CEL14" s="30"/>
      <c r="CEM14" s="30"/>
      <c r="CEN14" s="30"/>
      <c r="CEO14" s="30"/>
      <c r="CEP14" s="30"/>
      <c r="CEQ14" s="30"/>
      <c r="CER14" s="30"/>
      <c r="CES14" s="30"/>
      <c r="CET14" s="30"/>
      <c r="CEU14" s="30"/>
      <c r="CEV14" s="30"/>
      <c r="CEW14" s="30"/>
      <c r="CEX14" s="30"/>
      <c r="CEY14" s="30"/>
      <c r="CEZ14" s="30"/>
      <c r="CFA14" s="30"/>
      <c r="CFB14" s="30"/>
      <c r="CFC14" s="30"/>
      <c r="CFD14" s="30"/>
      <c r="CFE14" s="30"/>
      <c r="CFF14" s="30"/>
      <c r="CFG14" s="30"/>
      <c r="CFH14" s="30"/>
      <c r="CFI14" s="30"/>
      <c r="CFJ14" s="30"/>
      <c r="CFK14" s="30"/>
      <c r="CFL14" s="30"/>
      <c r="CFM14" s="30"/>
      <c r="CFN14" s="30"/>
      <c r="CFO14" s="30"/>
      <c r="CFP14" s="30"/>
      <c r="CFQ14" s="30"/>
      <c r="CFR14" s="30"/>
      <c r="CFS14" s="30"/>
      <c r="CFT14" s="30"/>
      <c r="CFU14" s="30"/>
      <c r="CFV14" s="30"/>
      <c r="CFW14" s="30"/>
      <c r="CFX14" s="30"/>
      <c r="CFY14" s="30"/>
      <c r="CFZ14" s="30"/>
      <c r="CGA14" s="30"/>
      <c r="CGB14" s="30"/>
      <c r="CGC14" s="30"/>
      <c r="CGD14" s="30"/>
      <c r="CGE14" s="30"/>
      <c r="CGF14" s="30"/>
      <c r="CGG14" s="30"/>
      <c r="CGH14" s="30"/>
      <c r="CGI14" s="30"/>
      <c r="CGJ14" s="30"/>
      <c r="CGK14" s="30"/>
      <c r="CGL14" s="30"/>
      <c r="CGM14" s="30"/>
      <c r="CGN14" s="30"/>
      <c r="CGO14" s="30"/>
      <c r="CGP14" s="30"/>
      <c r="CGQ14" s="30"/>
      <c r="CGR14" s="30"/>
      <c r="CGS14" s="30"/>
      <c r="CGT14" s="30"/>
      <c r="CGU14" s="30"/>
      <c r="CGV14" s="30"/>
      <c r="CGW14" s="30"/>
      <c r="CGX14" s="30"/>
      <c r="CGY14" s="30"/>
      <c r="CGZ14" s="30"/>
      <c r="CHA14" s="30"/>
      <c r="CHB14" s="30"/>
      <c r="CHC14" s="30"/>
      <c r="CHD14" s="30"/>
      <c r="CHE14" s="30"/>
      <c r="CHF14" s="30"/>
      <c r="CHG14" s="30"/>
      <c r="CHH14" s="30"/>
      <c r="CHI14" s="30"/>
      <c r="CHJ14" s="30"/>
      <c r="CHK14" s="30"/>
      <c r="CHL14" s="30"/>
      <c r="CHM14" s="30"/>
      <c r="CHN14" s="30"/>
      <c r="CHO14" s="30"/>
      <c r="CHP14" s="30"/>
      <c r="CHQ14" s="30"/>
      <c r="CHR14" s="30"/>
      <c r="CHS14" s="30"/>
      <c r="CHT14" s="30"/>
      <c r="CHU14" s="30"/>
      <c r="CHV14" s="30"/>
      <c r="CHW14" s="30"/>
      <c r="CHX14" s="30"/>
      <c r="CHY14" s="30"/>
      <c r="CHZ14" s="30"/>
      <c r="CIA14" s="30"/>
      <c r="CIB14" s="30"/>
      <c r="CIC14" s="30"/>
      <c r="CID14" s="30"/>
      <c r="CIE14" s="30"/>
      <c r="CIF14" s="30"/>
      <c r="CIG14" s="30"/>
      <c r="CIH14" s="30"/>
      <c r="CII14" s="30"/>
      <c r="CIJ14" s="30"/>
      <c r="CIK14" s="30"/>
      <c r="CIL14" s="30"/>
      <c r="CIM14" s="30"/>
      <c r="CIN14" s="30"/>
      <c r="CIO14" s="30"/>
      <c r="CIP14" s="30"/>
      <c r="CIQ14" s="30"/>
      <c r="CIR14" s="30"/>
      <c r="CIS14" s="30"/>
      <c r="CIT14" s="30"/>
      <c r="CIU14" s="30"/>
      <c r="CIV14" s="30"/>
      <c r="CIW14" s="30"/>
      <c r="CIX14" s="30"/>
      <c r="CIY14" s="30"/>
      <c r="CIZ14" s="30"/>
      <c r="CJA14" s="30"/>
      <c r="CJB14" s="30"/>
      <c r="CJC14" s="30"/>
      <c r="CJD14" s="30"/>
      <c r="CJE14" s="30"/>
      <c r="CJF14" s="30"/>
      <c r="CJG14" s="30"/>
      <c r="CJH14" s="30"/>
      <c r="CJI14" s="30"/>
      <c r="CJJ14" s="30"/>
      <c r="CJK14" s="30"/>
      <c r="CJL14" s="30"/>
      <c r="CJM14" s="30"/>
      <c r="CJN14" s="30"/>
      <c r="CJO14" s="30"/>
      <c r="CJP14" s="30"/>
      <c r="CJQ14" s="30"/>
      <c r="CJR14" s="30"/>
      <c r="CJS14" s="30"/>
      <c r="CJT14" s="30"/>
      <c r="CJU14" s="30"/>
      <c r="CJV14" s="30"/>
      <c r="CJW14" s="30"/>
      <c r="CJX14" s="30"/>
      <c r="CJY14" s="30"/>
      <c r="CJZ14" s="30"/>
      <c r="CKA14" s="30"/>
      <c r="CKB14" s="30"/>
      <c r="CKC14" s="30"/>
      <c r="CKD14" s="30"/>
      <c r="CKE14" s="30"/>
      <c r="CKF14" s="30"/>
      <c r="CKG14" s="30"/>
      <c r="CKH14" s="30"/>
      <c r="CKI14" s="30"/>
      <c r="CKJ14" s="30"/>
      <c r="CKK14" s="30"/>
      <c r="CKL14" s="30"/>
      <c r="CKM14" s="30"/>
      <c r="CKN14" s="30"/>
      <c r="CKO14" s="30"/>
      <c r="CKP14" s="30"/>
      <c r="CKQ14" s="30"/>
      <c r="CKR14" s="30"/>
      <c r="CKS14" s="30"/>
      <c r="CKT14" s="30"/>
      <c r="CKU14" s="30"/>
      <c r="CKV14" s="30"/>
      <c r="CKW14" s="30"/>
      <c r="CKX14" s="30"/>
      <c r="CKY14" s="30"/>
      <c r="CKZ14" s="30"/>
      <c r="CLA14" s="30"/>
      <c r="CLB14" s="30"/>
      <c r="CLC14" s="30"/>
      <c r="CLD14" s="30"/>
      <c r="CLE14" s="30"/>
      <c r="CLF14" s="30"/>
      <c r="CLG14" s="30"/>
      <c r="CLH14" s="30"/>
      <c r="CLI14" s="30"/>
      <c r="CLJ14" s="30"/>
      <c r="CLK14" s="30"/>
      <c r="CLL14" s="30"/>
      <c r="CLM14" s="30"/>
      <c r="CLN14" s="30"/>
      <c r="CLO14" s="30"/>
      <c r="CLP14" s="30"/>
      <c r="CLQ14" s="30"/>
      <c r="CLR14" s="30"/>
      <c r="CLS14" s="30"/>
      <c r="CLT14" s="30"/>
      <c r="CLU14" s="30"/>
      <c r="CLV14" s="30"/>
      <c r="CLW14" s="30"/>
      <c r="CLX14" s="30"/>
      <c r="CLY14" s="30"/>
      <c r="CLZ14" s="30"/>
      <c r="CMA14" s="30"/>
      <c r="CMB14" s="30"/>
      <c r="CMC14" s="30"/>
      <c r="CMD14" s="30"/>
      <c r="CME14" s="30"/>
      <c r="CMF14" s="30"/>
      <c r="CMG14" s="30"/>
      <c r="CMH14" s="30"/>
      <c r="CMI14" s="30"/>
      <c r="CMJ14" s="30"/>
      <c r="CMK14" s="30"/>
      <c r="CML14" s="30"/>
      <c r="CMM14" s="30"/>
      <c r="CMN14" s="30"/>
      <c r="CMO14" s="30"/>
      <c r="CMP14" s="30"/>
      <c r="CMQ14" s="30"/>
      <c r="CMR14" s="30"/>
      <c r="CMS14" s="30"/>
      <c r="CMT14" s="30"/>
      <c r="CMU14" s="30"/>
      <c r="CMV14" s="30"/>
      <c r="CMW14" s="30"/>
      <c r="CMX14" s="30"/>
      <c r="CMY14" s="30"/>
      <c r="CMZ14" s="30"/>
      <c r="CNA14" s="30"/>
      <c r="CNB14" s="30"/>
      <c r="CNC14" s="30"/>
      <c r="CND14" s="30"/>
      <c r="CNE14" s="30"/>
      <c r="CNF14" s="30"/>
      <c r="CNG14" s="30"/>
      <c r="CNH14" s="30"/>
      <c r="CNI14" s="30"/>
      <c r="CNJ14" s="30"/>
      <c r="CNK14" s="30"/>
      <c r="CNL14" s="30"/>
      <c r="CNM14" s="30"/>
      <c r="CNN14" s="30"/>
      <c r="CNO14" s="30"/>
      <c r="CNP14" s="30"/>
      <c r="CNQ14" s="30"/>
      <c r="CNR14" s="30"/>
      <c r="CNS14" s="30"/>
      <c r="CNT14" s="30"/>
      <c r="CNU14" s="30"/>
      <c r="CNV14" s="30"/>
      <c r="CNW14" s="30"/>
      <c r="CNX14" s="30"/>
      <c r="CNY14" s="30"/>
      <c r="CNZ14" s="30"/>
      <c r="COA14" s="30"/>
      <c r="COB14" s="30"/>
      <c r="COC14" s="30"/>
      <c r="COD14" s="30"/>
      <c r="COE14" s="30"/>
      <c r="COF14" s="30"/>
      <c r="COG14" s="30"/>
      <c r="COH14" s="30"/>
      <c r="COI14" s="30"/>
      <c r="COJ14" s="30"/>
      <c r="COK14" s="30"/>
      <c r="COL14" s="30"/>
      <c r="COM14" s="30"/>
      <c r="CON14" s="30"/>
      <c r="COO14" s="30"/>
      <c r="COP14" s="30"/>
      <c r="COQ14" s="30"/>
      <c r="COR14" s="30"/>
      <c r="COS14" s="30"/>
      <c r="COT14" s="30"/>
      <c r="COU14" s="30"/>
      <c r="COV14" s="30"/>
      <c r="COW14" s="30"/>
      <c r="COX14" s="30"/>
      <c r="COY14" s="30"/>
      <c r="COZ14" s="30"/>
      <c r="CPA14" s="30"/>
      <c r="CPB14" s="30"/>
      <c r="CPC14" s="30"/>
      <c r="CPD14" s="30"/>
      <c r="CPE14" s="30"/>
      <c r="CPF14" s="30"/>
      <c r="CPG14" s="30"/>
      <c r="CPH14" s="30"/>
      <c r="CPI14" s="30"/>
      <c r="CPJ14" s="30"/>
      <c r="CPK14" s="30"/>
      <c r="CPL14" s="30"/>
      <c r="CPM14" s="30"/>
      <c r="CPN14" s="30"/>
      <c r="CPO14" s="30"/>
      <c r="CPP14" s="30"/>
      <c r="CPQ14" s="30"/>
      <c r="CPR14" s="30"/>
      <c r="CPS14" s="30"/>
      <c r="CPT14" s="30"/>
      <c r="CPU14" s="30"/>
      <c r="CPV14" s="30"/>
      <c r="CPW14" s="30"/>
      <c r="CPX14" s="30"/>
      <c r="CPY14" s="30"/>
      <c r="CPZ14" s="30"/>
      <c r="CQA14" s="30"/>
      <c r="CQB14" s="30"/>
      <c r="CQC14" s="30"/>
      <c r="CQD14" s="30"/>
      <c r="CQE14" s="30"/>
      <c r="CQF14" s="30"/>
      <c r="CQG14" s="30"/>
      <c r="CQH14" s="30"/>
      <c r="CQI14" s="30"/>
      <c r="CQJ14" s="30"/>
      <c r="CQK14" s="30"/>
      <c r="CQL14" s="30"/>
      <c r="CQM14" s="30"/>
      <c r="CQN14" s="30"/>
      <c r="CQO14" s="30"/>
      <c r="CQP14" s="30"/>
      <c r="CQQ14" s="30"/>
      <c r="CQR14" s="30"/>
      <c r="CQS14" s="30"/>
      <c r="CQT14" s="30"/>
      <c r="CQU14" s="30"/>
      <c r="CQV14" s="30"/>
      <c r="CQW14" s="30"/>
      <c r="CQX14" s="30"/>
      <c r="CQY14" s="30"/>
      <c r="CQZ14" s="30"/>
      <c r="CRA14" s="30"/>
      <c r="CRB14" s="30"/>
      <c r="CRC14" s="30"/>
      <c r="CRD14" s="30"/>
      <c r="CRE14" s="30"/>
      <c r="CRF14" s="30"/>
      <c r="CRG14" s="30"/>
      <c r="CRH14" s="30"/>
      <c r="CRI14" s="30"/>
      <c r="CRJ14" s="30"/>
      <c r="CRK14" s="30"/>
      <c r="CRL14" s="30"/>
      <c r="CRM14" s="30"/>
      <c r="CRN14" s="30"/>
      <c r="CRO14" s="30"/>
      <c r="CRP14" s="30"/>
      <c r="CRQ14" s="30"/>
      <c r="CRR14" s="30"/>
      <c r="CRS14" s="30"/>
      <c r="CRT14" s="30"/>
      <c r="CRU14" s="30"/>
      <c r="CRV14" s="30"/>
      <c r="CRW14" s="30"/>
      <c r="CRX14" s="30"/>
      <c r="CRY14" s="30"/>
      <c r="CRZ14" s="30"/>
      <c r="CSA14" s="30"/>
      <c r="CSB14" s="30"/>
      <c r="CSC14" s="30"/>
      <c r="CSD14" s="30"/>
      <c r="CSE14" s="30"/>
      <c r="CSF14" s="30"/>
      <c r="CSG14" s="30"/>
      <c r="CSH14" s="30"/>
      <c r="CSI14" s="30"/>
      <c r="CSJ14" s="30"/>
      <c r="CSK14" s="30"/>
      <c r="CSL14" s="30"/>
      <c r="CSM14" s="30"/>
      <c r="CSN14" s="30"/>
      <c r="CSO14" s="30"/>
      <c r="CSP14" s="30"/>
      <c r="CSQ14" s="30"/>
      <c r="CSR14" s="30"/>
      <c r="CSS14" s="30"/>
      <c r="CST14" s="30"/>
      <c r="CSU14" s="30"/>
      <c r="CSV14" s="30"/>
      <c r="CSW14" s="30"/>
      <c r="CSX14" s="30"/>
      <c r="CSY14" s="30"/>
      <c r="CSZ14" s="30"/>
      <c r="CTA14" s="30"/>
      <c r="CTB14" s="30"/>
      <c r="CTC14" s="30"/>
      <c r="CTD14" s="30"/>
      <c r="CTE14" s="30"/>
      <c r="CTF14" s="30"/>
      <c r="CTG14" s="30"/>
      <c r="CTH14" s="30"/>
      <c r="CTI14" s="30"/>
      <c r="CTJ14" s="30"/>
      <c r="CTK14" s="30"/>
      <c r="CTL14" s="30"/>
      <c r="CTM14" s="30"/>
      <c r="CTN14" s="30"/>
      <c r="CTO14" s="30"/>
      <c r="CTP14" s="30"/>
      <c r="CTQ14" s="30"/>
      <c r="CTR14" s="30"/>
      <c r="CTS14" s="30"/>
      <c r="CTT14" s="30"/>
      <c r="CTU14" s="30"/>
      <c r="CTV14" s="30"/>
      <c r="CTW14" s="30"/>
      <c r="CTX14" s="30"/>
      <c r="CTY14" s="30"/>
      <c r="CTZ14" s="30"/>
      <c r="CUA14" s="30"/>
      <c r="CUB14" s="30"/>
      <c r="CUC14" s="30"/>
      <c r="CUD14" s="30"/>
      <c r="CUE14" s="30"/>
      <c r="CUF14" s="30"/>
      <c r="CUG14" s="30"/>
      <c r="CUH14" s="30"/>
      <c r="CUI14" s="30"/>
      <c r="CUJ14" s="30"/>
      <c r="CUK14" s="30"/>
      <c r="CUL14" s="30"/>
      <c r="CUM14" s="30"/>
      <c r="CUN14" s="30"/>
      <c r="CUO14" s="30"/>
      <c r="CUP14" s="30"/>
      <c r="CUQ14" s="30"/>
      <c r="CUR14" s="30"/>
      <c r="CUS14" s="30"/>
      <c r="CUT14" s="30"/>
      <c r="CUU14" s="30"/>
      <c r="CUV14" s="30"/>
      <c r="CUW14" s="30"/>
      <c r="CUX14" s="30"/>
      <c r="CUY14" s="30"/>
      <c r="CUZ14" s="30"/>
      <c r="CVA14" s="30"/>
      <c r="CVB14" s="30"/>
      <c r="CVC14" s="30"/>
      <c r="CVD14" s="30"/>
      <c r="CVE14" s="30"/>
      <c r="CVF14" s="30"/>
      <c r="CVG14" s="30"/>
      <c r="CVH14" s="30"/>
      <c r="CVI14" s="30"/>
      <c r="CVJ14" s="30"/>
      <c r="CVK14" s="30"/>
      <c r="CVL14" s="30"/>
      <c r="CVM14" s="30"/>
      <c r="CVN14" s="30"/>
      <c r="CVO14" s="30"/>
      <c r="CVP14" s="30"/>
      <c r="CVQ14" s="30"/>
      <c r="CVR14" s="30"/>
      <c r="CVS14" s="30"/>
      <c r="CVT14" s="30"/>
      <c r="CVU14" s="30"/>
      <c r="CVV14" s="30"/>
      <c r="CVW14" s="30"/>
      <c r="CVX14" s="30"/>
      <c r="CVY14" s="30"/>
      <c r="CVZ14" s="30"/>
      <c r="CWA14" s="30"/>
      <c r="CWB14" s="30"/>
      <c r="CWC14" s="30"/>
      <c r="CWD14" s="30"/>
      <c r="CWE14" s="30"/>
      <c r="CWF14" s="30"/>
      <c r="CWG14" s="30"/>
      <c r="CWH14" s="30"/>
      <c r="CWI14" s="30"/>
      <c r="CWJ14" s="30"/>
      <c r="CWK14" s="30"/>
      <c r="CWL14" s="30"/>
      <c r="CWM14" s="30"/>
      <c r="CWN14" s="30"/>
      <c r="CWO14" s="30"/>
      <c r="CWP14" s="30"/>
      <c r="CWQ14" s="30"/>
      <c r="CWR14" s="30"/>
      <c r="CWS14" s="30"/>
      <c r="CWT14" s="30"/>
      <c r="CWU14" s="30"/>
      <c r="CWV14" s="30"/>
      <c r="CWW14" s="30"/>
      <c r="CWX14" s="30"/>
      <c r="CWY14" s="30"/>
      <c r="CWZ14" s="30"/>
      <c r="CXA14" s="30"/>
      <c r="CXB14" s="30"/>
      <c r="CXC14" s="30"/>
      <c r="CXD14" s="30"/>
      <c r="CXE14" s="30"/>
      <c r="CXF14" s="30"/>
      <c r="CXG14" s="30"/>
      <c r="CXH14" s="30"/>
      <c r="CXI14" s="30"/>
      <c r="CXJ14" s="30"/>
      <c r="CXK14" s="30"/>
      <c r="CXL14" s="30"/>
      <c r="CXM14" s="30"/>
      <c r="CXN14" s="30"/>
      <c r="CXO14" s="30"/>
      <c r="CXP14" s="30"/>
      <c r="CXQ14" s="30"/>
      <c r="CXR14" s="30"/>
      <c r="CXS14" s="30"/>
      <c r="CXT14" s="30"/>
      <c r="CXU14" s="30"/>
      <c r="CXV14" s="30"/>
      <c r="CXW14" s="30"/>
      <c r="CXX14" s="30"/>
      <c r="CXY14" s="30"/>
      <c r="CXZ14" s="30"/>
      <c r="CYA14" s="30"/>
      <c r="CYB14" s="30"/>
      <c r="CYC14" s="30"/>
      <c r="CYD14" s="30"/>
      <c r="CYE14" s="30"/>
      <c r="CYF14" s="30"/>
      <c r="CYG14" s="30"/>
      <c r="CYH14" s="30"/>
      <c r="CYI14" s="30"/>
      <c r="CYJ14" s="30"/>
      <c r="CYK14" s="30"/>
      <c r="CYL14" s="30"/>
      <c r="CYM14" s="30"/>
      <c r="CYN14" s="30"/>
      <c r="CYO14" s="30"/>
      <c r="CYP14" s="30"/>
      <c r="CYQ14" s="30"/>
      <c r="CYR14" s="30"/>
      <c r="CYS14" s="30"/>
      <c r="CYT14" s="30"/>
      <c r="CYU14" s="30"/>
      <c r="CYV14" s="30"/>
      <c r="CYW14" s="30"/>
      <c r="CYX14" s="30"/>
      <c r="CYY14" s="30"/>
      <c r="CYZ14" s="30"/>
      <c r="CZA14" s="30"/>
      <c r="CZB14" s="30"/>
      <c r="CZC14" s="30"/>
      <c r="CZD14" s="30"/>
      <c r="CZE14" s="30"/>
      <c r="CZF14" s="30"/>
      <c r="CZG14" s="30"/>
      <c r="CZH14" s="30"/>
      <c r="CZI14" s="30"/>
      <c r="CZJ14" s="30"/>
      <c r="CZK14" s="30"/>
      <c r="CZL14" s="30"/>
      <c r="CZM14" s="30"/>
      <c r="CZN14" s="30"/>
      <c r="CZO14" s="30"/>
      <c r="CZP14" s="30"/>
      <c r="CZQ14" s="30"/>
      <c r="CZR14" s="30"/>
      <c r="CZS14" s="30"/>
      <c r="CZT14" s="30"/>
      <c r="CZU14" s="30"/>
      <c r="CZV14" s="30"/>
      <c r="CZW14" s="30"/>
      <c r="CZX14" s="30"/>
      <c r="CZY14" s="30"/>
      <c r="CZZ14" s="30"/>
      <c r="DAA14" s="30"/>
      <c r="DAB14" s="30"/>
      <c r="DAC14" s="30"/>
      <c r="DAD14" s="30"/>
      <c r="DAE14" s="30"/>
      <c r="DAF14" s="30"/>
      <c r="DAG14" s="30"/>
      <c r="DAH14" s="30"/>
      <c r="DAI14" s="30"/>
      <c r="DAJ14" s="30"/>
      <c r="DAK14" s="30"/>
      <c r="DAL14" s="30"/>
      <c r="DAM14" s="30"/>
      <c r="DAN14" s="30"/>
      <c r="DAO14" s="30"/>
      <c r="DAP14" s="30"/>
      <c r="DAQ14" s="30"/>
      <c r="DAR14" s="30"/>
      <c r="DAS14" s="30"/>
      <c r="DAT14" s="30"/>
      <c r="DAU14" s="30"/>
      <c r="DAV14" s="30"/>
      <c r="DAW14" s="30"/>
      <c r="DAX14" s="30"/>
      <c r="DAY14" s="30"/>
      <c r="DAZ14" s="30"/>
      <c r="DBA14" s="30"/>
      <c r="DBB14" s="30"/>
      <c r="DBC14" s="30"/>
      <c r="DBD14" s="30"/>
      <c r="DBE14" s="30"/>
      <c r="DBF14" s="30"/>
      <c r="DBG14" s="30"/>
      <c r="DBH14" s="30"/>
      <c r="DBI14" s="30"/>
      <c r="DBJ14" s="30"/>
      <c r="DBK14" s="30"/>
      <c r="DBL14" s="30"/>
      <c r="DBM14" s="30"/>
      <c r="DBN14" s="30"/>
      <c r="DBO14" s="30"/>
      <c r="DBP14" s="30"/>
      <c r="DBQ14" s="30"/>
      <c r="DBR14" s="30"/>
      <c r="DBS14" s="30"/>
      <c r="DBT14" s="30"/>
      <c r="DBU14" s="30"/>
      <c r="DBV14" s="30"/>
      <c r="DBW14" s="30"/>
      <c r="DBX14" s="30"/>
      <c r="DBY14" s="30"/>
      <c r="DBZ14" s="30"/>
      <c r="DCA14" s="30"/>
      <c r="DCB14" s="30"/>
      <c r="DCC14" s="30"/>
      <c r="DCD14" s="30"/>
      <c r="DCE14" s="30"/>
      <c r="DCF14" s="30"/>
      <c r="DCG14" s="30"/>
      <c r="DCH14" s="30"/>
      <c r="DCI14" s="30"/>
      <c r="DCJ14" s="30"/>
      <c r="DCK14" s="30"/>
      <c r="DCL14" s="30"/>
      <c r="DCM14" s="30"/>
      <c r="DCN14" s="30"/>
      <c r="DCO14" s="30"/>
      <c r="DCP14" s="30"/>
      <c r="DCQ14" s="30"/>
      <c r="DCR14" s="30"/>
      <c r="DCS14" s="30"/>
      <c r="DCT14" s="30"/>
      <c r="DCU14" s="30"/>
      <c r="DCV14" s="30"/>
      <c r="DCW14" s="30"/>
      <c r="DCX14" s="30"/>
      <c r="DCY14" s="30"/>
      <c r="DCZ14" s="30"/>
      <c r="DDA14" s="30"/>
      <c r="DDB14" s="30"/>
      <c r="DDC14" s="30"/>
      <c r="DDD14" s="30"/>
      <c r="DDE14" s="30"/>
      <c r="DDF14" s="30"/>
      <c r="DDG14" s="30"/>
      <c r="DDH14" s="30"/>
      <c r="DDI14" s="30"/>
      <c r="DDJ14" s="30"/>
      <c r="DDK14" s="30"/>
      <c r="DDL14" s="30"/>
      <c r="DDM14" s="30"/>
      <c r="DDN14" s="30"/>
      <c r="DDO14" s="30"/>
      <c r="DDP14" s="30"/>
      <c r="DDQ14" s="30"/>
      <c r="DDR14" s="30"/>
      <c r="DDS14" s="30"/>
      <c r="DDT14" s="30"/>
      <c r="DDU14" s="30"/>
      <c r="DDV14" s="30"/>
      <c r="DDW14" s="30"/>
      <c r="DDX14" s="30"/>
      <c r="DDY14" s="30"/>
      <c r="DDZ14" s="30"/>
      <c r="DEA14" s="30"/>
      <c r="DEB14" s="30"/>
      <c r="DEC14" s="30"/>
      <c r="DED14" s="30"/>
      <c r="DEE14" s="30"/>
      <c r="DEF14" s="30"/>
      <c r="DEG14" s="30"/>
      <c r="DEH14" s="30"/>
      <c r="DEI14" s="30"/>
      <c r="DEJ14" s="30"/>
      <c r="DEK14" s="30"/>
      <c r="DEL14" s="30"/>
      <c r="DEM14" s="30"/>
      <c r="DEN14" s="30"/>
      <c r="DEO14" s="30"/>
      <c r="DEP14" s="30"/>
      <c r="DEQ14" s="30"/>
      <c r="DER14" s="30"/>
      <c r="DES14" s="30"/>
      <c r="DET14" s="30"/>
      <c r="DEU14" s="30"/>
      <c r="DEV14" s="30"/>
      <c r="DEW14" s="30"/>
      <c r="DEX14" s="30"/>
      <c r="DEY14" s="30"/>
      <c r="DEZ14" s="30"/>
      <c r="DFA14" s="30"/>
      <c r="DFB14" s="30"/>
      <c r="DFC14" s="30"/>
      <c r="DFD14" s="30"/>
      <c r="DFE14" s="30"/>
      <c r="DFF14" s="30"/>
      <c r="DFG14" s="30"/>
      <c r="DFH14" s="30"/>
      <c r="DFI14" s="30"/>
      <c r="DFJ14" s="30"/>
      <c r="DFK14" s="30"/>
      <c r="DFL14" s="30"/>
      <c r="DFM14" s="30"/>
      <c r="DFN14" s="30"/>
      <c r="DFO14" s="30"/>
      <c r="DFP14" s="30"/>
      <c r="DFQ14" s="30"/>
      <c r="DFR14" s="30"/>
      <c r="DFS14" s="30"/>
      <c r="DFT14" s="30"/>
      <c r="DFU14" s="30"/>
      <c r="DFV14" s="30"/>
      <c r="DFW14" s="30"/>
      <c r="DFX14" s="30"/>
      <c r="DFY14" s="30"/>
      <c r="DFZ14" s="30"/>
      <c r="DGA14" s="30"/>
      <c r="DGB14" s="30"/>
      <c r="DGC14" s="30"/>
      <c r="DGD14" s="30"/>
      <c r="DGE14" s="30"/>
      <c r="DGF14" s="30"/>
      <c r="DGG14" s="30"/>
      <c r="DGH14" s="30"/>
      <c r="DGI14" s="30"/>
      <c r="DGJ14" s="30"/>
      <c r="DGK14" s="30"/>
      <c r="DGL14" s="30"/>
      <c r="DGM14" s="30"/>
      <c r="DGN14" s="30"/>
      <c r="DGO14" s="30"/>
      <c r="DGP14" s="30"/>
      <c r="DGQ14" s="30"/>
      <c r="DGR14" s="30"/>
      <c r="DGS14" s="30"/>
      <c r="DGT14" s="30"/>
      <c r="DGU14" s="30"/>
      <c r="DGV14" s="30"/>
      <c r="DGW14" s="30"/>
      <c r="DGX14" s="30"/>
      <c r="DGY14" s="30"/>
      <c r="DGZ14" s="30"/>
      <c r="DHA14" s="30"/>
      <c r="DHB14" s="30"/>
      <c r="DHC14" s="30"/>
      <c r="DHD14" s="30"/>
      <c r="DHE14" s="30"/>
      <c r="DHF14" s="30"/>
      <c r="DHG14" s="30"/>
      <c r="DHH14" s="30"/>
      <c r="DHI14" s="30"/>
      <c r="DHJ14" s="30"/>
      <c r="DHK14" s="30"/>
      <c r="DHL14" s="30"/>
      <c r="DHM14" s="30"/>
      <c r="DHN14" s="30"/>
      <c r="DHO14" s="30"/>
      <c r="DHP14" s="30"/>
      <c r="DHQ14" s="30"/>
      <c r="DHR14" s="30"/>
      <c r="DHS14" s="30"/>
      <c r="DHT14" s="30"/>
      <c r="DHU14" s="30"/>
      <c r="DHV14" s="30"/>
      <c r="DHW14" s="30"/>
      <c r="DHX14" s="30"/>
      <c r="DHY14" s="30"/>
      <c r="DHZ14" s="30"/>
      <c r="DIA14" s="30"/>
      <c r="DIB14" s="30"/>
      <c r="DIC14" s="30"/>
      <c r="DID14" s="30"/>
      <c r="DIE14" s="30"/>
      <c r="DIF14" s="30"/>
      <c r="DIG14" s="30"/>
      <c r="DIH14" s="30"/>
      <c r="DII14" s="30"/>
      <c r="DIJ14" s="30"/>
      <c r="DIK14" s="30"/>
      <c r="DIL14" s="30"/>
      <c r="DIM14" s="30"/>
      <c r="DIN14" s="30"/>
      <c r="DIO14" s="30"/>
      <c r="DIP14" s="30"/>
      <c r="DIQ14" s="30"/>
      <c r="DIR14" s="30"/>
      <c r="DIS14" s="30"/>
      <c r="DIT14" s="30"/>
      <c r="DIU14" s="30"/>
      <c r="DIV14" s="30"/>
      <c r="DIW14" s="30"/>
      <c r="DIX14" s="30"/>
      <c r="DIY14" s="30"/>
      <c r="DIZ14" s="30"/>
      <c r="DJA14" s="30"/>
      <c r="DJB14" s="30"/>
      <c r="DJC14" s="30"/>
      <c r="DJD14" s="30"/>
      <c r="DJE14" s="30"/>
      <c r="DJF14" s="30"/>
      <c r="DJG14" s="30"/>
      <c r="DJH14" s="30"/>
      <c r="DJI14" s="30"/>
      <c r="DJJ14" s="30"/>
      <c r="DJK14" s="30"/>
      <c r="DJL14" s="30"/>
      <c r="DJM14" s="30"/>
      <c r="DJN14" s="30"/>
      <c r="DJO14" s="30"/>
      <c r="DJP14" s="30"/>
      <c r="DJQ14" s="30"/>
      <c r="DJR14" s="30"/>
      <c r="DJS14" s="30"/>
      <c r="DJT14" s="30"/>
      <c r="DJU14" s="30"/>
      <c r="DJV14" s="30"/>
      <c r="DJW14" s="30"/>
      <c r="DJX14" s="30"/>
      <c r="DJY14" s="30"/>
      <c r="DJZ14" s="30"/>
      <c r="DKA14" s="30"/>
      <c r="DKB14" s="30"/>
      <c r="DKC14" s="30"/>
      <c r="DKD14" s="30"/>
      <c r="DKE14" s="30"/>
      <c r="DKF14" s="30"/>
      <c r="DKG14" s="30"/>
      <c r="DKH14" s="30"/>
      <c r="DKI14" s="30"/>
      <c r="DKJ14" s="30"/>
      <c r="DKK14" s="30"/>
      <c r="DKL14" s="30"/>
      <c r="DKM14" s="30"/>
      <c r="DKN14" s="30"/>
      <c r="DKO14" s="30"/>
      <c r="DKP14" s="30"/>
      <c r="DKQ14" s="30"/>
      <c r="DKR14" s="30"/>
      <c r="DKS14" s="30"/>
      <c r="DKT14" s="30"/>
      <c r="DKU14" s="30"/>
      <c r="DKV14" s="30"/>
      <c r="DKW14" s="30"/>
      <c r="DKX14" s="30"/>
      <c r="DKY14" s="30"/>
      <c r="DKZ14" s="30"/>
      <c r="DLA14" s="30"/>
      <c r="DLB14" s="30"/>
      <c r="DLC14" s="30"/>
      <c r="DLD14" s="30"/>
      <c r="DLE14" s="30"/>
      <c r="DLF14" s="30"/>
      <c r="DLG14" s="30"/>
      <c r="DLH14" s="30"/>
      <c r="DLI14" s="30"/>
      <c r="DLJ14" s="30"/>
      <c r="DLK14" s="30"/>
      <c r="DLL14" s="30"/>
      <c r="DLM14" s="30"/>
      <c r="DLN14" s="30"/>
      <c r="DLO14" s="30"/>
      <c r="DLP14" s="30"/>
      <c r="DLQ14" s="30"/>
      <c r="DLR14" s="30"/>
      <c r="DLS14" s="30"/>
      <c r="DLT14" s="30"/>
      <c r="DLU14" s="30"/>
      <c r="DLV14" s="30"/>
      <c r="DLW14" s="30"/>
      <c r="DLX14" s="30"/>
      <c r="DLY14" s="30"/>
      <c r="DLZ14" s="30"/>
      <c r="DMA14" s="30"/>
      <c r="DMB14" s="30"/>
      <c r="DMC14" s="30"/>
      <c r="DMD14" s="30"/>
      <c r="DME14" s="30"/>
      <c r="DMF14" s="30"/>
      <c r="DMG14" s="30"/>
      <c r="DMH14" s="30"/>
      <c r="DMI14" s="30"/>
      <c r="DMJ14" s="30"/>
      <c r="DMK14" s="30"/>
      <c r="DML14" s="30"/>
      <c r="DMM14" s="30"/>
      <c r="DMN14" s="30"/>
      <c r="DMO14" s="30"/>
      <c r="DMP14" s="30"/>
      <c r="DMQ14" s="30"/>
      <c r="DMR14" s="30"/>
      <c r="DMS14" s="30"/>
      <c r="DMT14" s="30"/>
      <c r="DMU14" s="30"/>
      <c r="DMV14" s="30"/>
      <c r="DMW14" s="30"/>
      <c r="DMX14" s="30"/>
      <c r="DMY14" s="30"/>
      <c r="DMZ14" s="30"/>
      <c r="DNA14" s="30"/>
      <c r="DNB14" s="30"/>
      <c r="DNC14" s="30"/>
      <c r="DND14" s="30"/>
      <c r="DNE14" s="30"/>
      <c r="DNF14" s="30"/>
      <c r="DNG14" s="30"/>
      <c r="DNH14" s="30"/>
      <c r="DNI14" s="30"/>
      <c r="DNJ14" s="30"/>
      <c r="DNK14" s="30"/>
      <c r="DNL14" s="30"/>
      <c r="DNM14" s="30"/>
      <c r="DNN14" s="30"/>
      <c r="DNO14" s="30"/>
      <c r="DNP14" s="30"/>
      <c r="DNQ14" s="30"/>
      <c r="DNR14" s="30"/>
      <c r="DNS14" s="30"/>
      <c r="DNT14" s="30"/>
      <c r="DNU14" s="30"/>
      <c r="DNV14" s="30"/>
      <c r="DNW14" s="30"/>
      <c r="DNX14" s="30"/>
      <c r="DNY14" s="30"/>
      <c r="DNZ14" s="30"/>
      <c r="DOA14" s="30"/>
      <c r="DOB14" s="30"/>
      <c r="DOC14" s="30"/>
      <c r="DOD14" s="30"/>
      <c r="DOE14" s="30"/>
      <c r="DOF14" s="30"/>
      <c r="DOG14" s="30"/>
      <c r="DOH14" s="30"/>
      <c r="DOI14" s="30"/>
      <c r="DOJ14" s="30"/>
      <c r="DOK14" s="30"/>
      <c r="DOL14" s="30"/>
      <c r="DOM14" s="30"/>
      <c r="DON14" s="30"/>
      <c r="DOO14" s="30"/>
      <c r="DOP14" s="30"/>
      <c r="DOQ14" s="30"/>
      <c r="DOR14" s="30"/>
      <c r="DOS14" s="30"/>
      <c r="DOT14" s="30"/>
      <c r="DOU14" s="30"/>
      <c r="DOV14" s="30"/>
      <c r="DOW14" s="30"/>
      <c r="DOX14" s="30"/>
      <c r="DOY14" s="30"/>
      <c r="DOZ14" s="30"/>
      <c r="DPA14" s="30"/>
      <c r="DPB14" s="30"/>
      <c r="DPC14" s="30"/>
      <c r="DPD14" s="30"/>
      <c r="DPE14" s="30"/>
      <c r="DPF14" s="30"/>
      <c r="DPG14" s="30"/>
      <c r="DPH14" s="30"/>
      <c r="DPI14" s="30"/>
      <c r="DPJ14" s="30"/>
      <c r="DPK14" s="30"/>
      <c r="DPL14" s="30"/>
      <c r="DPM14" s="30"/>
      <c r="DPN14" s="30"/>
      <c r="DPO14" s="30"/>
      <c r="DPP14" s="30"/>
      <c r="DPQ14" s="30"/>
      <c r="DPR14" s="30"/>
      <c r="DPS14" s="30"/>
      <c r="DPT14" s="30"/>
      <c r="DPU14" s="30"/>
      <c r="DPV14" s="30"/>
      <c r="DPW14" s="30"/>
      <c r="DPX14" s="30"/>
      <c r="DPY14" s="30"/>
      <c r="DPZ14" s="30"/>
      <c r="DQA14" s="30"/>
      <c r="DQB14" s="30"/>
      <c r="DQC14" s="30"/>
      <c r="DQD14" s="30"/>
      <c r="DQE14" s="30"/>
      <c r="DQF14" s="30"/>
      <c r="DQG14" s="30"/>
      <c r="DQH14" s="30"/>
      <c r="DQI14" s="30"/>
      <c r="DQJ14" s="30"/>
      <c r="DQK14" s="30"/>
      <c r="DQL14" s="30"/>
      <c r="DQM14" s="30"/>
      <c r="DQN14" s="30"/>
      <c r="DQO14" s="30"/>
      <c r="DQP14" s="30"/>
      <c r="DQQ14" s="30"/>
      <c r="DQR14" s="30"/>
      <c r="DQS14" s="30"/>
      <c r="DQT14" s="30"/>
      <c r="DQU14" s="30"/>
      <c r="DQV14" s="30"/>
      <c r="DQW14" s="30"/>
      <c r="DQX14" s="30"/>
      <c r="DQY14" s="30"/>
      <c r="DQZ14" s="30"/>
      <c r="DRA14" s="30"/>
      <c r="DRB14" s="30"/>
      <c r="DRC14" s="30"/>
      <c r="DRD14" s="30"/>
      <c r="DRE14" s="30"/>
      <c r="DRF14" s="30"/>
      <c r="DRG14" s="30"/>
      <c r="DRH14" s="30"/>
      <c r="DRI14" s="30"/>
      <c r="DRJ14" s="30"/>
      <c r="DRK14" s="30"/>
      <c r="DRL14" s="30"/>
      <c r="DRM14" s="30"/>
      <c r="DRN14" s="30"/>
      <c r="DRO14" s="30"/>
      <c r="DRP14" s="30"/>
      <c r="DRQ14" s="30"/>
      <c r="DRR14" s="30"/>
      <c r="DRS14" s="30"/>
      <c r="DRT14" s="30"/>
      <c r="DRU14" s="30"/>
      <c r="DRV14" s="30"/>
      <c r="DRW14" s="30"/>
      <c r="DRX14" s="30"/>
      <c r="DRY14" s="30"/>
      <c r="DRZ14" s="30"/>
      <c r="DSA14" s="30"/>
      <c r="DSB14" s="30"/>
      <c r="DSC14" s="30"/>
      <c r="DSD14" s="30"/>
      <c r="DSE14" s="30"/>
      <c r="DSF14" s="30"/>
      <c r="DSG14" s="30"/>
      <c r="DSH14" s="30"/>
      <c r="DSI14" s="30"/>
      <c r="DSJ14" s="30"/>
      <c r="DSK14" s="30"/>
      <c r="DSL14" s="30"/>
      <c r="DSM14" s="30"/>
      <c r="DSN14" s="30"/>
      <c r="DSO14" s="30"/>
      <c r="DSP14" s="30"/>
      <c r="DSQ14" s="30"/>
      <c r="DSR14" s="30"/>
      <c r="DSS14" s="30"/>
      <c r="DST14" s="30"/>
      <c r="DSU14" s="30"/>
      <c r="DSV14" s="30"/>
      <c r="DSW14" s="30"/>
      <c r="DSX14" s="30"/>
      <c r="DSY14" s="30"/>
      <c r="DSZ14" s="30"/>
      <c r="DTA14" s="30"/>
      <c r="DTB14" s="30"/>
      <c r="DTC14" s="30"/>
      <c r="DTD14" s="30"/>
      <c r="DTE14" s="30"/>
      <c r="DTF14" s="30"/>
      <c r="DTG14" s="30"/>
      <c r="DTH14" s="30"/>
      <c r="DTI14" s="30"/>
      <c r="DTJ14" s="30"/>
      <c r="DTK14" s="30"/>
      <c r="DTL14" s="30"/>
      <c r="DTM14" s="30"/>
      <c r="DTN14" s="30"/>
      <c r="DTO14" s="30"/>
      <c r="DTP14" s="30"/>
      <c r="DTQ14" s="30"/>
      <c r="DTR14" s="30"/>
      <c r="DTS14" s="30"/>
      <c r="DTT14" s="30"/>
      <c r="DTU14" s="30"/>
      <c r="DTV14" s="30"/>
      <c r="DTW14" s="30"/>
      <c r="DTX14" s="30"/>
      <c r="DTY14" s="30"/>
      <c r="DTZ14" s="30"/>
      <c r="DUA14" s="30"/>
      <c r="DUB14" s="30"/>
      <c r="DUC14" s="30"/>
      <c r="DUD14" s="30"/>
      <c r="DUE14" s="30"/>
      <c r="DUF14" s="30"/>
      <c r="DUG14" s="30"/>
      <c r="DUH14" s="30"/>
      <c r="DUI14" s="30"/>
      <c r="DUJ14" s="30"/>
      <c r="DUK14" s="30"/>
      <c r="DUL14" s="30"/>
      <c r="DUM14" s="30"/>
      <c r="DUN14" s="30"/>
      <c r="DUO14" s="30"/>
      <c r="DUP14" s="30"/>
      <c r="DUQ14" s="30"/>
      <c r="DUR14" s="30"/>
      <c r="DUS14" s="30"/>
      <c r="DUT14" s="30"/>
      <c r="DUU14" s="30"/>
      <c r="DUV14" s="30"/>
      <c r="DUW14" s="30"/>
      <c r="DUX14" s="30"/>
      <c r="DUY14" s="30"/>
      <c r="DUZ14" s="30"/>
      <c r="DVA14" s="30"/>
      <c r="DVB14" s="30"/>
      <c r="DVC14" s="30"/>
      <c r="DVD14" s="30"/>
      <c r="DVE14" s="30"/>
      <c r="DVF14" s="30"/>
      <c r="DVG14" s="30"/>
      <c r="DVH14" s="30"/>
      <c r="DVI14" s="30"/>
      <c r="DVJ14" s="30"/>
      <c r="DVK14" s="30"/>
      <c r="DVL14" s="30"/>
      <c r="DVM14" s="30"/>
      <c r="DVN14" s="30"/>
      <c r="DVO14" s="30"/>
      <c r="DVP14" s="30"/>
      <c r="DVQ14" s="30"/>
      <c r="DVR14" s="30"/>
      <c r="DVS14" s="30"/>
      <c r="DVT14" s="30"/>
      <c r="DVU14" s="30"/>
      <c r="DVV14" s="30"/>
      <c r="DVW14" s="30"/>
      <c r="DVX14" s="30"/>
      <c r="DVY14" s="30"/>
      <c r="DVZ14" s="30"/>
      <c r="DWA14" s="30"/>
      <c r="DWB14" s="30"/>
      <c r="DWC14" s="30"/>
      <c r="DWD14" s="30"/>
      <c r="DWE14" s="30"/>
      <c r="DWF14" s="30"/>
      <c r="DWG14" s="30"/>
      <c r="DWH14" s="30"/>
      <c r="DWI14" s="30"/>
      <c r="DWJ14" s="30"/>
      <c r="DWK14" s="30"/>
      <c r="DWL14" s="30"/>
      <c r="DWM14" s="30"/>
      <c r="DWN14" s="30"/>
      <c r="DWO14" s="30"/>
      <c r="DWP14" s="30"/>
      <c r="DWQ14" s="30"/>
      <c r="DWR14" s="30"/>
      <c r="DWS14" s="30"/>
      <c r="DWT14" s="30"/>
      <c r="DWU14" s="30"/>
      <c r="DWV14" s="30"/>
      <c r="DWW14" s="30"/>
      <c r="DWX14" s="30"/>
      <c r="DWY14" s="30"/>
      <c r="DWZ14" s="30"/>
      <c r="DXA14" s="30"/>
      <c r="DXB14" s="30"/>
      <c r="DXC14" s="30"/>
      <c r="DXD14" s="30"/>
      <c r="DXE14" s="30"/>
      <c r="DXF14" s="30"/>
      <c r="DXG14" s="30"/>
      <c r="DXH14" s="30"/>
      <c r="DXI14" s="30"/>
      <c r="DXJ14" s="30"/>
      <c r="DXK14" s="30"/>
      <c r="DXL14" s="30"/>
      <c r="DXM14" s="30"/>
      <c r="DXN14" s="30"/>
      <c r="DXO14" s="30"/>
      <c r="DXP14" s="30"/>
      <c r="DXQ14" s="30"/>
      <c r="DXR14" s="30"/>
      <c r="DXS14" s="30"/>
      <c r="DXT14" s="30"/>
      <c r="DXU14" s="30"/>
      <c r="DXV14" s="30"/>
      <c r="DXW14" s="30"/>
      <c r="DXX14" s="30"/>
      <c r="DXY14" s="30"/>
      <c r="DXZ14" s="30"/>
      <c r="DYA14" s="30"/>
      <c r="DYB14" s="30"/>
      <c r="DYC14" s="30"/>
      <c r="DYD14" s="30"/>
      <c r="DYE14" s="30"/>
      <c r="DYF14" s="30"/>
      <c r="DYG14" s="30"/>
      <c r="DYH14" s="30"/>
      <c r="DYI14" s="30"/>
      <c r="DYJ14" s="30"/>
      <c r="DYK14" s="30"/>
      <c r="DYL14" s="30"/>
      <c r="DYM14" s="30"/>
      <c r="DYN14" s="30"/>
      <c r="DYO14" s="30"/>
      <c r="DYP14" s="30"/>
      <c r="DYQ14" s="30"/>
      <c r="DYR14" s="30"/>
      <c r="DYS14" s="30"/>
      <c r="DYT14" s="30"/>
      <c r="DYU14" s="30"/>
      <c r="DYV14" s="30"/>
      <c r="DYW14" s="30"/>
      <c r="DYX14" s="30"/>
      <c r="DYY14" s="30"/>
      <c r="DYZ14" s="30"/>
      <c r="DZA14" s="30"/>
      <c r="DZB14" s="30"/>
      <c r="DZC14" s="30"/>
      <c r="DZD14" s="30"/>
      <c r="DZE14" s="30"/>
      <c r="DZF14" s="30"/>
      <c r="DZG14" s="30"/>
      <c r="DZH14" s="30"/>
      <c r="DZI14" s="30"/>
      <c r="DZJ14" s="30"/>
      <c r="DZK14" s="30"/>
      <c r="DZL14" s="30"/>
      <c r="DZM14" s="30"/>
      <c r="DZN14" s="30"/>
      <c r="DZO14" s="30"/>
      <c r="DZP14" s="30"/>
      <c r="DZQ14" s="30"/>
      <c r="DZR14" s="30"/>
      <c r="DZS14" s="30"/>
      <c r="DZT14" s="30"/>
      <c r="DZU14" s="30"/>
      <c r="DZV14" s="30"/>
      <c r="DZW14" s="30"/>
      <c r="DZX14" s="30"/>
      <c r="DZY14" s="30"/>
      <c r="DZZ14" s="30"/>
      <c r="EAA14" s="30"/>
      <c r="EAB14" s="30"/>
      <c r="EAC14" s="30"/>
      <c r="EAD14" s="30"/>
      <c r="EAE14" s="30"/>
      <c r="EAF14" s="30"/>
      <c r="EAG14" s="30"/>
      <c r="EAH14" s="30"/>
      <c r="EAI14" s="30"/>
      <c r="EAJ14" s="30"/>
      <c r="EAK14" s="30"/>
      <c r="EAL14" s="30"/>
      <c r="EAM14" s="30"/>
      <c r="EAN14" s="30"/>
      <c r="EAO14" s="30"/>
      <c r="EAP14" s="30"/>
      <c r="EAQ14" s="30"/>
      <c r="EAR14" s="30"/>
      <c r="EAS14" s="30"/>
      <c r="EAT14" s="30"/>
      <c r="EAU14" s="30"/>
      <c r="EAV14" s="30"/>
      <c r="EAW14" s="30"/>
      <c r="EAX14" s="30"/>
      <c r="EAY14" s="30"/>
      <c r="EAZ14" s="30"/>
      <c r="EBA14" s="30"/>
      <c r="EBB14" s="30"/>
      <c r="EBC14" s="30"/>
      <c r="EBD14" s="30"/>
      <c r="EBE14" s="30"/>
      <c r="EBF14" s="30"/>
      <c r="EBG14" s="30"/>
      <c r="EBH14" s="30"/>
      <c r="EBI14" s="30"/>
      <c r="EBJ14" s="30"/>
      <c r="EBK14" s="30"/>
      <c r="EBL14" s="30"/>
      <c r="EBM14" s="30"/>
      <c r="EBN14" s="30"/>
      <c r="EBO14" s="30"/>
      <c r="EBP14" s="30"/>
      <c r="EBQ14" s="30"/>
      <c r="EBR14" s="30"/>
      <c r="EBS14" s="30"/>
      <c r="EBT14" s="30"/>
      <c r="EBU14" s="30"/>
      <c r="EBV14" s="30"/>
      <c r="EBW14" s="30"/>
      <c r="EBX14" s="30"/>
      <c r="EBY14" s="30"/>
      <c r="EBZ14" s="30"/>
      <c r="ECA14" s="30"/>
      <c r="ECB14" s="30"/>
      <c r="ECC14" s="30"/>
      <c r="ECD14" s="30"/>
      <c r="ECE14" s="30"/>
      <c r="ECF14" s="30"/>
      <c r="ECG14" s="30"/>
      <c r="ECH14" s="30"/>
      <c r="ECI14" s="30"/>
      <c r="ECJ14" s="30"/>
      <c r="ECK14" s="30"/>
      <c r="ECL14" s="30"/>
      <c r="ECM14" s="30"/>
      <c r="ECN14" s="30"/>
      <c r="ECO14" s="30"/>
      <c r="ECP14" s="30"/>
      <c r="ECQ14" s="30"/>
      <c r="ECR14" s="30"/>
      <c r="ECS14" s="30"/>
      <c r="ECT14" s="30"/>
      <c r="ECU14" s="30"/>
      <c r="ECV14" s="30"/>
      <c r="ECW14" s="30"/>
      <c r="ECX14" s="30"/>
      <c r="ECY14" s="30"/>
      <c r="ECZ14" s="30"/>
      <c r="EDA14" s="30"/>
      <c r="EDB14" s="30"/>
      <c r="EDC14" s="30"/>
      <c r="EDD14" s="30"/>
      <c r="EDE14" s="30"/>
      <c r="EDF14" s="30"/>
      <c r="EDG14" s="30"/>
      <c r="EDH14" s="30"/>
      <c r="EDI14" s="30"/>
      <c r="EDJ14" s="30"/>
      <c r="EDK14" s="30"/>
      <c r="EDL14" s="30"/>
      <c r="EDM14" s="30"/>
      <c r="EDN14" s="30"/>
      <c r="EDO14" s="30"/>
      <c r="EDP14" s="30"/>
      <c r="EDQ14" s="30"/>
      <c r="EDR14" s="30"/>
      <c r="EDS14" s="30"/>
      <c r="EDT14" s="30"/>
      <c r="EDU14" s="30"/>
      <c r="EDV14" s="30"/>
      <c r="EDW14" s="30"/>
      <c r="EDX14" s="30"/>
      <c r="EDY14" s="30"/>
      <c r="EDZ14" s="30"/>
      <c r="EEA14" s="30"/>
      <c r="EEB14" s="30"/>
      <c r="EEC14" s="30"/>
      <c r="EED14" s="30"/>
      <c r="EEE14" s="30"/>
      <c r="EEF14" s="30"/>
      <c r="EEG14" s="30"/>
      <c r="EEH14" s="30"/>
      <c r="EEI14" s="30"/>
      <c r="EEJ14" s="30"/>
      <c r="EEK14" s="30"/>
      <c r="EEL14" s="30"/>
      <c r="EEM14" s="30"/>
      <c r="EEN14" s="30"/>
      <c r="EEO14" s="30"/>
      <c r="EEP14" s="30"/>
      <c r="EEQ14" s="30"/>
      <c r="EER14" s="30"/>
      <c r="EES14" s="30"/>
      <c r="EET14" s="30"/>
      <c r="EEU14" s="30"/>
      <c r="EEV14" s="30"/>
      <c r="EEW14" s="30"/>
      <c r="EEX14" s="30"/>
      <c r="EEY14" s="30"/>
      <c r="EEZ14" s="30"/>
      <c r="EFA14" s="30"/>
      <c r="EFB14" s="30"/>
      <c r="EFC14" s="30"/>
      <c r="EFD14" s="30"/>
      <c r="EFE14" s="30"/>
      <c r="EFF14" s="30"/>
      <c r="EFG14" s="30"/>
      <c r="EFH14" s="30"/>
      <c r="EFI14" s="30"/>
      <c r="EFJ14" s="30"/>
      <c r="EFK14" s="30"/>
      <c r="EFL14" s="30"/>
      <c r="EFM14" s="30"/>
      <c r="EFN14" s="30"/>
      <c r="EFO14" s="30"/>
      <c r="EFP14" s="30"/>
      <c r="EFQ14" s="30"/>
      <c r="EFR14" s="30"/>
      <c r="EFS14" s="30"/>
      <c r="EFT14" s="30"/>
      <c r="EFU14" s="30"/>
      <c r="EFV14" s="30"/>
      <c r="EFW14" s="30"/>
      <c r="EFX14" s="30"/>
      <c r="EFY14" s="30"/>
      <c r="EFZ14" s="30"/>
      <c r="EGA14" s="30"/>
      <c r="EGB14" s="30"/>
      <c r="EGC14" s="30"/>
      <c r="EGD14" s="30"/>
      <c r="EGE14" s="30"/>
      <c r="EGF14" s="30"/>
      <c r="EGG14" s="30"/>
      <c r="EGH14" s="30"/>
      <c r="EGI14" s="30"/>
      <c r="EGJ14" s="30"/>
      <c r="EGK14" s="30"/>
      <c r="EGL14" s="30"/>
      <c r="EGM14" s="30"/>
      <c r="EGN14" s="30"/>
      <c r="EGO14" s="30"/>
      <c r="EGP14" s="30"/>
      <c r="EGQ14" s="30"/>
      <c r="EGR14" s="30"/>
      <c r="EGS14" s="30"/>
      <c r="EGT14" s="30"/>
      <c r="EGU14" s="30"/>
      <c r="EGV14" s="30"/>
      <c r="EGW14" s="30"/>
      <c r="EGX14" s="30"/>
      <c r="EGY14" s="30"/>
      <c r="EGZ14" s="30"/>
      <c r="EHA14" s="30"/>
      <c r="EHB14" s="30"/>
      <c r="EHC14" s="30"/>
      <c r="EHD14" s="30"/>
      <c r="EHE14" s="30"/>
      <c r="EHF14" s="30"/>
      <c r="EHG14" s="30"/>
      <c r="EHH14" s="30"/>
      <c r="EHI14" s="30"/>
      <c r="EHJ14" s="30"/>
      <c r="EHK14" s="30"/>
      <c r="EHL14" s="30"/>
      <c r="EHM14" s="30"/>
      <c r="EHN14" s="30"/>
      <c r="EHO14" s="30"/>
      <c r="EHP14" s="30"/>
      <c r="EHQ14" s="30"/>
      <c r="EHR14" s="30"/>
      <c r="EHS14" s="30"/>
      <c r="EHT14" s="30"/>
      <c r="EHU14" s="30"/>
      <c r="EHV14" s="30"/>
      <c r="EHW14" s="30"/>
      <c r="EHX14" s="30"/>
      <c r="EHY14" s="30"/>
      <c r="EHZ14" s="30"/>
      <c r="EIA14" s="30"/>
      <c r="EIB14" s="30"/>
      <c r="EIC14" s="30"/>
      <c r="EID14" s="30"/>
      <c r="EIE14" s="30"/>
      <c r="EIF14" s="30"/>
      <c r="EIG14" s="30"/>
      <c r="EIH14" s="30"/>
      <c r="EII14" s="30"/>
      <c r="EIJ14" s="30"/>
      <c r="EIK14" s="30"/>
      <c r="EIL14" s="30"/>
      <c r="EIM14" s="30"/>
      <c r="EIN14" s="30"/>
      <c r="EIO14" s="30"/>
      <c r="EIP14" s="30"/>
      <c r="EIQ14" s="30"/>
      <c r="EIR14" s="30"/>
      <c r="EIS14" s="30"/>
      <c r="EIT14" s="30"/>
      <c r="EIU14" s="30"/>
      <c r="EIV14" s="30"/>
      <c r="EIW14" s="30"/>
      <c r="EIX14" s="30"/>
      <c r="EIY14" s="30"/>
      <c r="EIZ14" s="30"/>
      <c r="EJA14" s="30"/>
      <c r="EJB14" s="30"/>
      <c r="EJC14" s="30"/>
      <c r="EJD14" s="30"/>
      <c r="EJE14" s="30"/>
      <c r="EJF14" s="30"/>
      <c r="EJG14" s="30"/>
      <c r="EJH14" s="30"/>
      <c r="EJI14" s="30"/>
      <c r="EJJ14" s="30"/>
      <c r="EJK14" s="30"/>
      <c r="EJL14" s="30"/>
      <c r="EJM14" s="30"/>
      <c r="EJN14" s="30"/>
      <c r="EJO14" s="30"/>
      <c r="EJP14" s="30"/>
      <c r="EJQ14" s="30"/>
      <c r="EJR14" s="30"/>
      <c r="EJS14" s="30"/>
      <c r="EJT14" s="30"/>
      <c r="EJU14" s="30"/>
      <c r="EJV14" s="30"/>
      <c r="EJW14" s="30"/>
      <c r="EJX14" s="30"/>
      <c r="EJY14" s="30"/>
      <c r="EJZ14" s="30"/>
      <c r="EKA14" s="30"/>
      <c r="EKB14" s="30"/>
      <c r="EKC14" s="30"/>
      <c r="EKD14" s="30"/>
      <c r="EKE14" s="30"/>
      <c r="EKF14" s="30"/>
      <c r="EKG14" s="30"/>
      <c r="EKH14" s="30"/>
      <c r="EKI14" s="30"/>
      <c r="EKJ14" s="30"/>
      <c r="EKK14" s="30"/>
      <c r="EKL14" s="30"/>
      <c r="EKM14" s="30"/>
      <c r="EKN14" s="30"/>
      <c r="EKO14" s="30"/>
      <c r="EKP14" s="30"/>
      <c r="EKQ14" s="30"/>
      <c r="EKR14" s="30"/>
      <c r="EKS14" s="30"/>
      <c r="EKT14" s="30"/>
      <c r="EKU14" s="30"/>
      <c r="EKV14" s="30"/>
      <c r="EKW14" s="30"/>
      <c r="EKX14" s="30"/>
      <c r="EKY14" s="30"/>
      <c r="EKZ14" s="30"/>
      <c r="ELA14" s="30"/>
      <c r="ELB14" s="30"/>
      <c r="ELC14" s="30"/>
      <c r="ELD14" s="30"/>
      <c r="ELE14" s="30"/>
      <c r="ELF14" s="30"/>
      <c r="ELG14" s="30"/>
      <c r="ELH14" s="30"/>
      <c r="ELI14" s="30"/>
      <c r="ELJ14" s="30"/>
      <c r="ELK14" s="30"/>
      <c r="ELL14" s="30"/>
      <c r="ELM14" s="30"/>
      <c r="ELN14" s="30"/>
      <c r="ELO14" s="30"/>
      <c r="ELP14" s="30"/>
      <c r="ELQ14" s="30"/>
      <c r="ELR14" s="30"/>
      <c r="ELS14" s="30"/>
      <c r="ELT14" s="30"/>
      <c r="ELU14" s="30"/>
      <c r="ELV14" s="30"/>
      <c r="ELW14" s="30"/>
      <c r="ELX14" s="30"/>
      <c r="ELY14" s="30"/>
      <c r="ELZ14" s="30"/>
      <c r="EMA14" s="30"/>
      <c r="EMB14" s="30"/>
      <c r="EMC14" s="30"/>
      <c r="EMD14" s="30"/>
      <c r="EME14" s="30"/>
      <c r="EMF14" s="30"/>
      <c r="EMG14" s="30"/>
      <c r="EMH14" s="30"/>
      <c r="EMI14" s="30"/>
      <c r="EMJ14" s="30"/>
      <c r="EMK14" s="30"/>
      <c r="EML14" s="30"/>
      <c r="EMM14" s="30"/>
      <c r="EMN14" s="30"/>
      <c r="EMO14" s="30"/>
      <c r="EMP14" s="30"/>
      <c r="EMQ14" s="30"/>
      <c r="EMR14" s="30"/>
      <c r="EMS14" s="30"/>
      <c r="EMT14" s="30"/>
      <c r="EMU14" s="30"/>
      <c r="EMV14" s="30"/>
      <c r="EMW14" s="30"/>
      <c r="EMX14" s="30"/>
      <c r="EMY14" s="30"/>
      <c r="EMZ14" s="30"/>
      <c r="ENA14" s="30"/>
      <c r="ENB14" s="30"/>
      <c r="ENC14" s="30"/>
      <c r="END14" s="30"/>
      <c r="ENE14" s="30"/>
      <c r="ENF14" s="30"/>
      <c r="ENG14" s="30"/>
      <c r="ENH14" s="30"/>
      <c r="ENI14" s="30"/>
      <c r="ENJ14" s="30"/>
      <c r="ENK14" s="30"/>
      <c r="ENL14" s="30"/>
      <c r="ENM14" s="30"/>
      <c r="ENN14" s="30"/>
      <c r="ENO14" s="30"/>
      <c r="ENP14" s="30"/>
      <c r="ENQ14" s="30"/>
      <c r="ENR14" s="30"/>
      <c r="ENS14" s="30"/>
      <c r="ENT14" s="30"/>
      <c r="ENU14" s="30"/>
      <c r="ENV14" s="30"/>
      <c r="ENW14" s="30"/>
      <c r="ENX14" s="30"/>
      <c r="ENY14" s="30"/>
      <c r="ENZ14" s="30"/>
      <c r="EOA14" s="30"/>
      <c r="EOB14" s="30"/>
      <c r="EOC14" s="30"/>
      <c r="EOD14" s="30"/>
      <c r="EOE14" s="30"/>
      <c r="EOF14" s="30"/>
      <c r="EOG14" s="30"/>
      <c r="EOH14" s="30"/>
      <c r="EOI14" s="30"/>
      <c r="EOJ14" s="30"/>
      <c r="EOK14" s="30"/>
      <c r="EOL14" s="30"/>
      <c r="EOM14" s="30"/>
      <c r="EON14" s="30"/>
      <c r="EOO14" s="30"/>
      <c r="EOP14" s="30"/>
      <c r="EOQ14" s="30"/>
      <c r="EOR14" s="30"/>
      <c r="EOS14" s="30"/>
      <c r="EOT14" s="30"/>
      <c r="EOU14" s="30"/>
      <c r="EOV14" s="30"/>
      <c r="EOW14" s="30"/>
      <c r="EOX14" s="30"/>
      <c r="EOY14" s="30"/>
      <c r="EOZ14" s="30"/>
      <c r="EPA14" s="30"/>
      <c r="EPB14" s="30"/>
      <c r="EPC14" s="30"/>
      <c r="EPD14" s="30"/>
      <c r="EPE14" s="30"/>
      <c r="EPF14" s="30"/>
      <c r="EPG14" s="30"/>
      <c r="EPH14" s="30"/>
      <c r="EPI14" s="30"/>
      <c r="EPJ14" s="30"/>
      <c r="EPK14" s="30"/>
      <c r="EPL14" s="30"/>
      <c r="EPM14" s="30"/>
      <c r="EPN14" s="30"/>
      <c r="EPO14" s="30"/>
      <c r="EPP14" s="30"/>
      <c r="EPQ14" s="30"/>
      <c r="EPR14" s="30"/>
      <c r="EPS14" s="30"/>
      <c r="EPT14" s="30"/>
      <c r="EPU14" s="30"/>
      <c r="EPV14" s="30"/>
      <c r="EPW14" s="30"/>
      <c r="EPX14" s="30"/>
      <c r="EPY14" s="30"/>
      <c r="EPZ14" s="30"/>
      <c r="EQA14" s="30"/>
      <c r="EQB14" s="30"/>
      <c r="EQC14" s="30"/>
      <c r="EQD14" s="30"/>
      <c r="EQE14" s="30"/>
      <c r="EQF14" s="30"/>
      <c r="EQG14" s="30"/>
      <c r="EQH14" s="30"/>
      <c r="EQI14" s="30"/>
      <c r="EQJ14" s="30"/>
      <c r="EQK14" s="30"/>
      <c r="EQL14" s="30"/>
      <c r="EQM14" s="30"/>
      <c r="EQN14" s="30"/>
      <c r="EQO14" s="30"/>
      <c r="EQP14" s="30"/>
      <c r="EQQ14" s="30"/>
      <c r="EQR14" s="30"/>
      <c r="EQS14" s="30"/>
      <c r="EQT14" s="30"/>
      <c r="EQU14" s="30"/>
      <c r="EQV14" s="30"/>
      <c r="EQW14" s="30"/>
      <c r="EQX14" s="30"/>
      <c r="EQY14" s="30"/>
      <c r="EQZ14" s="30"/>
      <c r="ERA14" s="30"/>
      <c r="ERB14" s="30"/>
      <c r="ERC14" s="30"/>
      <c r="ERD14" s="30"/>
      <c r="ERE14" s="30"/>
      <c r="ERF14" s="30"/>
      <c r="ERG14" s="30"/>
      <c r="ERH14" s="30"/>
      <c r="ERI14" s="30"/>
      <c r="ERJ14" s="30"/>
      <c r="ERK14" s="30"/>
      <c r="ERL14" s="30"/>
      <c r="ERM14" s="30"/>
      <c r="ERN14" s="30"/>
      <c r="ERO14" s="30"/>
      <c r="ERP14" s="30"/>
      <c r="ERQ14" s="30"/>
      <c r="ERR14" s="30"/>
      <c r="ERS14" s="30"/>
      <c r="ERT14" s="30"/>
      <c r="ERU14" s="30"/>
      <c r="ERV14" s="30"/>
      <c r="ERW14" s="30"/>
      <c r="ERX14" s="30"/>
      <c r="ERY14" s="30"/>
      <c r="ERZ14" s="30"/>
      <c r="ESA14" s="30"/>
      <c r="ESB14" s="30"/>
      <c r="ESC14" s="30"/>
      <c r="ESD14" s="30"/>
      <c r="ESE14" s="30"/>
      <c r="ESF14" s="30"/>
      <c r="ESG14" s="30"/>
      <c r="ESH14" s="30"/>
      <c r="ESI14" s="30"/>
      <c r="ESJ14" s="30"/>
      <c r="ESK14" s="30"/>
      <c r="ESL14" s="30"/>
      <c r="ESM14" s="30"/>
      <c r="ESN14" s="30"/>
      <c r="ESO14" s="30"/>
      <c r="ESP14" s="30"/>
      <c r="ESQ14" s="30"/>
      <c r="ESR14" s="30"/>
      <c r="ESS14" s="30"/>
      <c r="EST14" s="30"/>
      <c r="ESU14" s="30"/>
      <c r="ESV14" s="30"/>
      <c r="ESW14" s="30"/>
      <c r="ESX14" s="30"/>
      <c r="ESY14" s="30"/>
      <c r="ESZ14" s="30"/>
      <c r="ETA14" s="30"/>
      <c r="ETB14" s="30"/>
      <c r="ETC14" s="30"/>
      <c r="ETD14" s="30"/>
      <c r="ETE14" s="30"/>
      <c r="ETF14" s="30"/>
      <c r="ETG14" s="30"/>
      <c r="ETH14" s="30"/>
      <c r="ETI14" s="30"/>
      <c r="ETJ14" s="30"/>
      <c r="ETK14" s="30"/>
      <c r="ETL14" s="30"/>
      <c r="ETM14" s="30"/>
      <c r="ETN14" s="30"/>
      <c r="ETO14" s="30"/>
      <c r="ETP14" s="30"/>
      <c r="ETQ14" s="30"/>
      <c r="ETR14" s="30"/>
      <c r="ETS14" s="30"/>
      <c r="ETT14" s="30"/>
      <c r="ETU14" s="30"/>
      <c r="ETV14" s="30"/>
      <c r="ETW14" s="30"/>
      <c r="ETX14" s="30"/>
      <c r="ETY14" s="30"/>
      <c r="ETZ14" s="30"/>
      <c r="EUA14" s="30"/>
      <c r="EUB14" s="30"/>
      <c r="EUC14" s="30"/>
      <c r="EUD14" s="30"/>
      <c r="EUE14" s="30"/>
      <c r="EUF14" s="30"/>
      <c r="EUG14" s="30"/>
      <c r="EUH14" s="30"/>
      <c r="EUI14" s="30"/>
      <c r="EUJ14" s="30"/>
      <c r="EUK14" s="30"/>
      <c r="EUL14" s="30"/>
      <c r="EUM14" s="30"/>
      <c r="EUN14" s="30"/>
      <c r="EUO14" s="30"/>
      <c r="EUP14" s="30"/>
      <c r="EUQ14" s="30"/>
      <c r="EUR14" s="30"/>
      <c r="EUS14" s="30"/>
      <c r="EUT14" s="30"/>
      <c r="EUU14" s="30"/>
      <c r="EUV14" s="30"/>
      <c r="EUW14" s="30"/>
      <c r="EUX14" s="30"/>
      <c r="EUY14" s="30"/>
      <c r="EUZ14" s="30"/>
      <c r="EVA14" s="30"/>
      <c r="EVB14" s="30"/>
      <c r="EVC14" s="30"/>
      <c r="EVD14" s="30"/>
      <c r="EVE14" s="30"/>
      <c r="EVF14" s="30"/>
      <c r="EVG14" s="30"/>
      <c r="EVH14" s="30"/>
      <c r="EVI14" s="30"/>
      <c r="EVJ14" s="30"/>
      <c r="EVK14" s="30"/>
      <c r="EVL14" s="30"/>
      <c r="EVM14" s="30"/>
      <c r="EVN14" s="30"/>
      <c r="EVO14" s="30"/>
      <c r="EVP14" s="30"/>
      <c r="EVQ14" s="30"/>
      <c r="EVR14" s="30"/>
      <c r="EVS14" s="30"/>
      <c r="EVT14" s="30"/>
      <c r="EVU14" s="30"/>
      <c r="EVV14" s="30"/>
      <c r="EVW14" s="30"/>
      <c r="EVX14" s="30"/>
      <c r="EVY14" s="30"/>
      <c r="EVZ14" s="30"/>
      <c r="EWA14" s="30"/>
      <c r="EWB14" s="30"/>
      <c r="EWC14" s="30"/>
      <c r="EWD14" s="30"/>
      <c r="EWE14" s="30"/>
      <c r="EWF14" s="30"/>
      <c r="EWG14" s="30"/>
      <c r="EWH14" s="30"/>
      <c r="EWI14" s="30"/>
      <c r="EWJ14" s="30"/>
      <c r="EWK14" s="30"/>
      <c r="EWL14" s="30"/>
      <c r="EWM14" s="30"/>
      <c r="EWN14" s="30"/>
      <c r="EWO14" s="30"/>
      <c r="EWP14" s="30"/>
      <c r="EWQ14" s="30"/>
      <c r="EWR14" s="30"/>
      <c r="EWS14" s="30"/>
      <c r="EWT14" s="30"/>
      <c r="EWU14" s="30"/>
      <c r="EWV14" s="30"/>
      <c r="EWW14" s="30"/>
      <c r="EWX14" s="30"/>
      <c r="EWY14" s="30"/>
      <c r="EWZ14" s="30"/>
      <c r="EXA14" s="30"/>
      <c r="EXB14" s="30"/>
      <c r="EXC14" s="30"/>
      <c r="EXD14" s="30"/>
      <c r="EXE14" s="30"/>
      <c r="EXF14" s="30"/>
      <c r="EXG14" s="30"/>
      <c r="EXH14" s="30"/>
      <c r="EXI14" s="30"/>
      <c r="EXJ14" s="30"/>
      <c r="EXK14" s="30"/>
      <c r="EXL14" s="30"/>
      <c r="EXM14" s="30"/>
      <c r="EXN14" s="30"/>
      <c r="EXO14" s="30"/>
      <c r="EXP14" s="30"/>
      <c r="EXQ14" s="30"/>
      <c r="EXR14" s="30"/>
      <c r="EXS14" s="30"/>
      <c r="EXT14" s="30"/>
      <c r="EXU14" s="30"/>
      <c r="EXV14" s="30"/>
      <c r="EXW14" s="30"/>
      <c r="EXX14" s="30"/>
      <c r="EXY14" s="30"/>
      <c r="EXZ14" s="30"/>
      <c r="EYA14" s="30"/>
      <c r="EYB14" s="30"/>
      <c r="EYC14" s="30"/>
      <c r="EYD14" s="30"/>
      <c r="EYE14" s="30"/>
      <c r="EYF14" s="30"/>
      <c r="EYG14" s="30"/>
      <c r="EYH14" s="30"/>
      <c r="EYI14" s="30"/>
      <c r="EYJ14" s="30"/>
      <c r="EYK14" s="30"/>
      <c r="EYL14" s="30"/>
      <c r="EYM14" s="30"/>
      <c r="EYN14" s="30"/>
      <c r="EYO14" s="30"/>
      <c r="EYP14" s="30"/>
      <c r="EYQ14" s="30"/>
      <c r="EYR14" s="30"/>
      <c r="EYS14" s="30"/>
      <c r="EYT14" s="30"/>
      <c r="EYU14" s="30"/>
      <c r="EYV14" s="30"/>
      <c r="EYW14" s="30"/>
      <c r="EYX14" s="30"/>
      <c r="EYY14" s="30"/>
      <c r="EYZ14" s="30"/>
      <c r="EZA14" s="30"/>
      <c r="EZB14" s="30"/>
      <c r="EZC14" s="30"/>
      <c r="EZD14" s="30"/>
      <c r="EZE14" s="30"/>
      <c r="EZF14" s="30"/>
      <c r="EZG14" s="30"/>
      <c r="EZH14" s="30"/>
      <c r="EZI14" s="30"/>
      <c r="EZJ14" s="30"/>
      <c r="EZK14" s="30"/>
      <c r="EZL14" s="30"/>
      <c r="EZM14" s="30"/>
      <c r="EZN14" s="30"/>
      <c r="EZO14" s="30"/>
      <c r="EZP14" s="30"/>
      <c r="EZQ14" s="30"/>
      <c r="EZR14" s="30"/>
      <c r="EZS14" s="30"/>
      <c r="EZT14" s="30"/>
      <c r="EZU14" s="30"/>
      <c r="EZV14" s="30"/>
      <c r="EZW14" s="30"/>
      <c r="EZX14" s="30"/>
      <c r="EZY14" s="30"/>
      <c r="EZZ14" s="30"/>
      <c r="FAA14" s="30"/>
      <c r="FAB14" s="30"/>
      <c r="FAC14" s="30"/>
      <c r="FAD14" s="30"/>
      <c r="FAE14" s="30"/>
      <c r="FAF14" s="30"/>
      <c r="FAG14" s="30"/>
      <c r="FAH14" s="30"/>
      <c r="FAI14" s="30"/>
      <c r="FAJ14" s="30"/>
      <c r="FAK14" s="30"/>
      <c r="FAL14" s="30"/>
      <c r="FAM14" s="30"/>
      <c r="FAN14" s="30"/>
      <c r="FAO14" s="30"/>
      <c r="FAP14" s="30"/>
      <c r="FAQ14" s="30"/>
      <c r="FAR14" s="30"/>
      <c r="FAS14" s="30"/>
      <c r="FAT14" s="30"/>
      <c r="FAU14" s="30"/>
      <c r="FAV14" s="30"/>
      <c r="FAW14" s="30"/>
      <c r="FAX14" s="30"/>
      <c r="FAY14" s="30"/>
      <c r="FAZ14" s="30"/>
      <c r="FBA14" s="30"/>
      <c r="FBB14" s="30"/>
      <c r="FBC14" s="30"/>
      <c r="FBD14" s="30"/>
      <c r="FBE14" s="30"/>
      <c r="FBF14" s="30"/>
      <c r="FBG14" s="30"/>
      <c r="FBH14" s="30"/>
      <c r="FBI14" s="30"/>
      <c r="FBJ14" s="30"/>
      <c r="FBK14" s="30"/>
      <c r="FBL14" s="30"/>
      <c r="FBM14" s="30"/>
      <c r="FBN14" s="30"/>
      <c r="FBO14" s="30"/>
      <c r="FBP14" s="30"/>
      <c r="FBQ14" s="30"/>
      <c r="FBR14" s="30"/>
      <c r="FBS14" s="30"/>
      <c r="FBT14" s="30"/>
      <c r="FBU14" s="30"/>
      <c r="FBV14" s="30"/>
      <c r="FBW14" s="30"/>
      <c r="FBX14" s="30"/>
      <c r="FBY14" s="30"/>
      <c r="FBZ14" s="30"/>
      <c r="FCA14" s="30"/>
      <c r="FCB14" s="30"/>
      <c r="FCC14" s="30"/>
      <c r="FCD14" s="30"/>
      <c r="FCE14" s="30"/>
      <c r="FCF14" s="30"/>
      <c r="FCG14" s="30"/>
      <c r="FCH14" s="30"/>
      <c r="FCI14" s="30"/>
      <c r="FCJ14" s="30"/>
      <c r="FCK14" s="30"/>
      <c r="FCL14" s="30"/>
      <c r="FCM14" s="30"/>
      <c r="FCN14" s="30"/>
      <c r="FCO14" s="30"/>
      <c r="FCP14" s="30"/>
      <c r="FCQ14" s="30"/>
      <c r="FCR14" s="30"/>
      <c r="FCS14" s="30"/>
      <c r="FCT14" s="30"/>
      <c r="FCU14" s="30"/>
      <c r="FCV14" s="30"/>
      <c r="FCW14" s="30"/>
      <c r="FCX14" s="30"/>
      <c r="FCY14" s="30"/>
      <c r="FCZ14" s="30"/>
      <c r="FDA14" s="30"/>
      <c r="FDB14" s="30"/>
      <c r="FDC14" s="30"/>
      <c r="FDD14" s="30"/>
      <c r="FDE14" s="30"/>
      <c r="FDF14" s="30"/>
      <c r="FDG14" s="30"/>
      <c r="FDH14" s="30"/>
      <c r="FDI14" s="30"/>
      <c r="FDJ14" s="30"/>
      <c r="FDK14" s="30"/>
      <c r="FDL14" s="30"/>
      <c r="FDM14" s="30"/>
      <c r="FDN14" s="30"/>
      <c r="FDO14" s="30"/>
      <c r="FDP14" s="30"/>
      <c r="FDQ14" s="30"/>
      <c r="FDR14" s="30"/>
      <c r="FDS14" s="30"/>
      <c r="FDT14" s="30"/>
      <c r="FDU14" s="30"/>
      <c r="FDV14" s="30"/>
      <c r="FDW14" s="30"/>
      <c r="FDX14" s="30"/>
      <c r="FDY14" s="30"/>
      <c r="FDZ14" s="30"/>
      <c r="FEA14" s="30"/>
      <c r="FEB14" s="30"/>
      <c r="FEC14" s="30"/>
      <c r="FED14" s="30"/>
      <c r="FEE14" s="30"/>
      <c r="FEF14" s="30"/>
      <c r="FEG14" s="30"/>
      <c r="FEH14" s="30"/>
      <c r="FEI14" s="30"/>
      <c r="FEJ14" s="30"/>
      <c r="FEK14" s="30"/>
      <c r="FEL14" s="30"/>
      <c r="FEM14" s="30"/>
      <c r="FEN14" s="30"/>
      <c r="FEO14" s="30"/>
      <c r="FEP14" s="30"/>
      <c r="FEQ14" s="30"/>
      <c r="FER14" s="30"/>
      <c r="FES14" s="30"/>
      <c r="FET14" s="30"/>
      <c r="FEU14" s="30"/>
      <c r="FEV14" s="30"/>
      <c r="FEW14" s="30"/>
      <c r="FEX14" s="30"/>
      <c r="FEY14" s="30"/>
      <c r="FEZ14" s="30"/>
      <c r="FFA14" s="30"/>
      <c r="FFB14" s="30"/>
      <c r="FFC14" s="30"/>
      <c r="FFD14" s="30"/>
      <c r="FFE14" s="30"/>
      <c r="FFF14" s="30"/>
      <c r="FFG14" s="30"/>
      <c r="FFH14" s="30"/>
      <c r="FFI14" s="30"/>
      <c r="FFJ14" s="30"/>
      <c r="FFK14" s="30"/>
      <c r="FFL14" s="30"/>
      <c r="FFM14" s="30"/>
      <c r="FFN14" s="30"/>
      <c r="FFO14" s="30"/>
      <c r="FFP14" s="30"/>
      <c r="FFQ14" s="30"/>
      <c r="FFR14" s="30"/>
      <c r="FFS14" s="30"/>
      <c r="FFT14" s="30"/>
      <c r="FFU14" s="30"/>
      <c r="FFV14" s="30"/>
      <c r="FFW14" s="30"/>
      <c r="FFX14" s="30"/>
      <c r="FFY14" s="30"/>
      <c r="FFZ14" s="30"/>
      <c r="FGA14" s="30"/>
      <c r="FGB14" s="30"/>
      <c r="FGC14" s="30"/>
      <c r="FGD14" s="30"/>
      <c r="FGE14" s="30"/>
      <c r="FGF14" s="30"/>
      <c r="FGG14" s="30"/>
      <c r="FGH14" s="30"/>
      <c r="FGI14" s="30"/>
      <c r="FGJ14" s="30"/>
      <c r="FGK14" s="30"/>
      <c r="FGL14" s="30"/>
      <c r="FGM14" s="30"/>
      <c r="FGN14" s="30"/>
      <c r="FGO14" s="30"/>
      <c r="FGP14" s="30"/>
      <c r="FGQ14" s="30"/>
      <c r="FGR14" s="30"/>
      <c r="FGS14" s="30"/>
      <c r="FGT14" s="30"/>
      <c r="FGU14" s="30"/>
      <c r="FGV14" s="30"/>
      <c r="FGW14" s="30"/>
      <c r="FGX14" s="30"/>
      <c r="FGY14" s="30"/>
      <c r="FGZ14" s="30"/>
      <c r="FHA14" s="30"/>
      <c r="FHB14" s="30"/>
      <c r="FHC14" s="30"/>
      <c r="FHD14" s="30"/>
      <c r="FHE14" s="30"/>
      <c r="FHF14" s="30"/>
      <c r="FHG14" s="30"/>
      <c r="FHH14" s="30"/>
      <c r="FHI14" s="30"/>
      <c r="FHJ14" s="30"/>
      <c r="FHK14" s="30"/>
      <c r="FHL14" s="30"/>
      <c r="FHM14" s="30"/>
      <c r="FHN14" s="30"/>
      <c r="FHO14" s="30"/>
      <c r="FHP14" s="30"/>
      <c r="FHQ14" s="30"/>
      <c r="FHR14" s="30"/>
      <c r="FHS14" s="30"/>
      <c r="FHT14" s="30"/>
      <c r="FHU14" s="30"/>
      <c r="FHV14" s="30"/>
      <c r="FHW14" s="30"/>
      <c r="FHX14" s="30"/>
      <c r="FHY14" s="30"/>
      <c r="FHZ14" s="30"/>
      <c r="FIA14" s="30"/>
      <c r="FIB14" s="30"/>
      <c r="FIC14" s="30"/>
      <c r="FID14" s="30"/>
      <c r="FIE14" s="30"/>
      <c r="FIF14" s="30"/>
      <c r="FIG14" s="30"/>
      <c r="FIH14" s="30"/>
      <c r="FII14" s="30"/>
      <c r="FIJ14" s="30"/>
      <c r="FIK14" s="30"/>
      <c r="FIL14" s="30"/>
      <c r="FIM14" s="30"/>
      <c r="FIN14" s="30"/>
      <c r="FIO14" s="30"/>
      <c r="FIP14" s="30"/>
      <c r="FIQ14" s="30"/>
      <c r="FIR14" s="30"/>
      <c r="FIS14" s="30"/>
      <c r="FIT14" s="30"/>
      <c r="FIU14" s="30"/>
      <c r="FIV14" s="30"/>
      <c r="FIW14" s="30"/>
      <c r="FIX14" s="30"/>
      <c r="FIY14" s="30"/>
      <c r="FIZ14" s="30"/>
      <c r="FJA14" s="30"/>
      <c r="FJB14" s="30"/>
      <c r="FJC14" s="30"/>
      <c r="FJD14" s="30"/>
      <c r="FJE14" s="30"/>
      <c r="FJF14" s="30"/>
      <c r="FJG14" s="30"/>
      <c r="FJH14" s="30"/>
      <c r="FJI14" s="30"/>
      <c r="FJJ14" s="30"/>
      <c r="FJK14" s="30"/>
      <c r="FJL14" s="30"/>
      <c r="FJM14" s="30"/>
      <c r="FJN14" s="30"/>
      <c r="FJO14" s="30"/>
      <c r="FJP14" s="30"/>
      <c r="FJQ14" s="30"/>
      <c r="FJR14" s="30"/>
      <c r="FJS14" s="30"/>
      <c r="FJT14" s="30"/>
      <c r="FJU14" s="30"/>
      <c r="FJV14" s="30"/>
      <c r="FJW14" s="30"/>
      <c r="FJX14" s="30"/>
      <c r="FJY14" s="30"/>
      <c r="FJZ14" s="30"/>
      <c r="FKA14" s="30"/>
      <c r="FKB14" s="30"/>
      <c r="FKC14" s="30"/>
      <c r="FKD14" s="30"/>
      <c r="FKE14" s="30"/>
      <c r="FKF14" s="30"/>
      <c r="FKG14" s="30"/>
      <c r="FKH14" s="30"/>
      <c r="FKI14" s="30"/>
      <c r="FKJ14" s="30"/>
      <c r="FKK14" s="30"/>
      <c r="FKL14" s="30"/>
      <c r="FKM14" s="30"/>
      <c r="FKN14" s="30"/>
      <c r="FKO14" s="30"/>
      <c r="FKP14" s="30"/>
      <c r="FKQ14" s="30"/>
      <c r="FKR14" s="30"/>
      <c r="FKS14" s="30"/>
      <c r="FKT14" s="30"/>
      <c r="FKU14" s="30"/>
      <c r="FKV14" s="30"/>
      <c r="FKW14" s="30"/>
      <c r="FKX14" s="30"/>
      <c r="FKY14" s="30"/>
      <c r="FKZ14" s="30"/>
      <c r="FLA14" s="30"/>
      <c r="FLB14" s="30"/>
      <c r="FLC14" s="30"/>
      <c r="FLD14" s="30"/>
      <c r="FLE14" s="30"/>
      <c r="FLF14" s="30"/>
      <c r="FLG14" s="30"/>
      <c r="FLH14" s="30"/>
      <c r="FLI14" s="30"/>
      <c r="FLJ14" s="30"/>
      <c r="FLK14" s="30"/>
      <c r="FLL14" s="30"/>
      <c r="FLM14" s="30"/>
      <c r="FLN14" s="30"/>
      <c r="FLO14" s="30"/>
      <c r="FLP14" s="30"/>
      <c r="FLQ14" s="30"/>
      <c r="FLR14" s="30"/>
      <c r="FLS14" s="30"/>
      <c r="FLT14" s="30"/>
      <c r="FLU14" s="30"/>
      <c r="FLV14" s="30"/>
      <c r="FLW14" s="30"/>
      <c r="FLX14" s="30"/>
      <c r="FLY14" s="30"/>
      <c r="FLZ14" s="30"/>
      <c r="FMA14" s="30"/>
      <c r="FMB14" s="30"/>
      <c r="FMC14" s="30"/>
      <c r="FMD14" s="30"/>
      <c r="FME14" s="30"/>
      <c r="FMF14" s="30"/>
      <c r="FMG14" s="30"/>
      <c r="FMH14" s="30"/>
      <c r="FMI14" s="30"/>
      <c r="FMJ14" s="30"/>
      <c r="FMK14" s="30"/>
      <c r="FML14" s="30"/>
      <c r="FMM14" s="30"/>
      <c r="FMN14" s="30"/>
      <c r="FMO14" s="30"/>
      <c r="FMP14" s="30"/>
      <c r="FMQ14" s="30"/>
      <c r="FMR14" s="30"/>
      <c r="FMS14" s="30"/>
      <c r="FMT14" s="30"/>
      <c r="FMU14" s="30"/>
      <c r="FMV14" s="30"/>
      <c r="FMW14" s="30"/>
      <c r="FMX14" s="30"/>
      <c r="FMY14" s="30"/>
      <c r="FMZ14" s="30"/>
      <c r="FNA14" s="30"/>
      <c r="FNB14" s="30"/>
      <c r="FNC14" s="30"/>
      <c r="FND14" s="30"/>
      <c r="FNE14" s="30"/>
      <c r="FNF14" s="30"/>
      <c r="FNG14" s="30"/>
      <c r="FNH14" s="30"/>
      <c r="FNI14" s="30"/>
      <c r="FNJ14" s="30"/>
      <c r="FNK14" s="30"/>
      <c r="FNL14" s="30"/>
      <c r="FNM14" s="30"/>
      <c r="FNN14" s="30"/>
      <c r="FNO14" s="30"/>
      <c r="FNP14" s="30"/>
      <c r="FNQ14" s="30"/>
      <c r="FNR14" s="30"/>
      <c r="FNS14" s="30"/>
      <c r="FNT14" s="30"/>
      <c r="FNU14" s="30"/>
      <c r="FNV14" s="30"/>
      <c r="FNW14" s="30"/>
      <c r="FNX14" s="30"/>
      <c r="FNY14" s="30"/>
      <c r="FNZ14" s="30"/>
      <c r="FOA14" s="30"/>
      <c r="FOB14" s="30"/>
      <c r="FOC14" s="30"/>
      <c r="FOD14" s="30"/>
      <c r="FOE14" s="30"/>
      <c r="FOF14" s="30"/>
      <c r="FOG14" s="30"/>
      <c r="FOH14" s="30"/>
      <c r="FOI14" s="30"/>
      <c r="FOJ14" s="30"/>
      <c r="FOK14" s="30"/>
      <c r="FOL14" s="30"/>
      <c r="FOM14" s="30"/>
      <c r="FON14" s="30"/>
      <c r="FOO14" s="30"/>
      <c r="FOP14" s="30"/>
      <c r="FOQ14" s="30"/>
      <c r="FOR14" s="30"/>
      <c r="FOS14" s="30"/>
      <c r="FOT14" s="30"/>
      <c r="FOU14" s="30"/>
      <c r="FOV14" s="30"/>
      <c r="FOW14" s="30"/>
      <c r="FOX14" s="30"/>
      <c r="FOY14" s="30"/>
      <c r="FOZ14" s="30"/>
      <c r="FPA14" s="30"/>
      <c r="FPB14" s="30"/>
      <c r="FPC14" s="30"/>
      <c r="FPD14" s="30"/>
      <c r="FPE14" s="30"/>
      <c r="FPF14" s="30"/>
      <c r="FPG14" s="30"/>
      <c r="FPH14" s="30"/>
      <c r="FPI14" s="30"/>
      <c r="FPJ14" s="30"/>
      <c r="FPK14" s="30"/>
      <c r="FPL14" s="30"/>
      <c r="FPM14" s="30"/>
      <c r="FPN14" s="30"/>
      <c r="FPO14" s="30"/>
      <c r="FPP14" s="30"/>
      <c r="FPQ14" s="30"/>
      <c r="FPR14" s="30"/>
      <c r="FPS14" s="30"/>
      <c r="FPT14" s="30"/>
      <c r="FPU14" s="30"/>
      <c r="FPV14" s="30"/>
      <c r="FPW14" s="30"/>
      <c r="FPX14" s="30"/>
      <c r="FPY14" s="30"/>
      <c r="FPZ14" s="30"/>
      <c r="FQA14" s="30"/>
      <c r="FQB14" s="30"/>
      <c r="FQC14" s="30"/>
      <c r="FQD14" s="30"/>
      <c r="FQE14" s="30"/>
      <c r="FQF14" s="30"/>
      <c r="FQG14" s="30"/>
      <c r="FQH14" s="30"/>
      <c r="FQI14" s="30"/>
      <c r="FQJ14" s="30"/>
      <c r="FQK14" s="30"/>
      <c r="FQL14" s="30"/>
      <c r="FQM14" s="30"/>
      <c r="FQN14" s="30"/>
      <c r="FQO14" s="30"/>
      <c r="FQP14" s="30"/>
      <c r="FQQ14" s="30"/>
      <c r="FQR14" s="30"/>
      <c r="FQS14" s="30"/>
      <c r="FQT14" s="30"/>
      <c r="FQU14" s="30"/>
      <c r="FQV14" s="30"/>
      <c r="FQW14" s="30"/>
      <c r="FQX14" s="30"/>
      <c r="FQY14" s="30"/>
      <c r="FQZ14" s="30"/>
      <c r="FRA14" s="30"/>
      <c r="FRB14" s="30"/>
      <c r="FRC14" s="30"/>
      <c r="FRD14" s="30"/>
      <c r="FRE14" s="30"/>
      <c r="FRF14" s="30"/>
      <c r="FRG14" s="30"/>
      <c r="FRH14" s="30"/>
      <c r="FRI14" s="30"/>
      <c r="FRJ14" s="30"/>
      <c r="FRK14" s="30"/>
      <c r="FRL14" s="30"/>
      <c r="FRM14" s="30"/>
      <c r="FRN14" s="30"/>
      <c r="FRO14" s="30"/>
      <c r="FRP14" s="30"/>
      <c r="FRQ14" s="30"/>
      <c r="FRR14" s="30"/>
      <c r="FRS14" s="30"/>
      <c r="FRT14" s="30"/>
      <c r="FRU14" s="30"/>
      <c r="FRV14" s="30"/>
      <c r="FRW14" s="30"/>
      <c r="FRX14" s="30"/>
      <c r="FRY14" s="30"/>
      <c r="FRZ14" s="30"/>
      <c r="FSA14" s="30"/>
      <c r="FSB14" s="30"/>
      <c r="FSC14" s="30"/>
      <c r="FSD14" s="30"/>
      <c r="FSE14" s="30"/>
      <c r="FSF14" s="30"/>
      <c r="FSG14" s="30"/>
      <c r="FSH14" s="30"/>
      <c r="FSI14" s="30"/>
      <c r="FSJ14" s="30"/>
      <c r="FSK14" s="30"/>
      <c r="FSL14" s="30"/>
      <c r="FSM14" s="30"/>
      <c r="FSN14" s="30"/>
      <c r="FSO14" s="30"/>
      <c r="FSP14" s="30"/>
      <c r="FSQ14" s="30"/>
      <c r="FSR14" s="30"/>
      <c r="FSS14" s="30"/>
      <c r="FST14" s="30"/>
      <c r="FSU14" s="30"/>
      <c r="FSV14" s="30"/>
      <c r="FSW14" s="30"/>
      <c r="FSX14" s="30"/>
      <c r="FSY14" s="30"/>
      <c r="FSZ14" s="30"/>
      <c r="FTA14" s="30"/>
      <c r="FTB14" s="30"/>
      <c r="FTC14" s="30"/>
      <c r="FTD14" s="30"/>
      <c r="FTE14" s="30"/>
      <c r="FTF14" s="30"/>
      <c r="FTG14" s="30"/>
      <c r="FTH14" s="30"/>
      <c r="FTI14" s="30"/>
      <c r="FTJ14" s="30"/>
      <c r="FTK14" s="30"/>
      <c r="FTL14" s="30"/>
      <c r="FTM14" s="30"/>
      <c r="FTN14" s="30"/>
      <c r="FTO14" s="30"/>
      <c r="FTP14" s="30"/>
      <c r="FTQ14" s="30"/>
      <c r="FTR14" s="30"/>
      <c r="FTS14" s="30"/>
      <c r="FTT14" s="30"/>
      <c r="FTU14" s="30"/>
      <c r="FTV14" s="30"/>
      <c r="FTW14" s="30"/>
      <c r="FTX14" s="30"/>
      <c r="FTY14" s="30"/>
      <c r="FTZ14" s="30"/>
      <c r="FUA14" s="30"/>
      <c r="FUB14" s="30"/>
      <c r="FUC14" s="30"/>
      <c r="FUD14" s="30"/>
      <c r="FUE14" s="30"/>
      <c r="FUF14" s="30"/>
      <c r="FUG14" s="30"/>
      <c r="FUH14" s="30"/>
      <c r="FUI14" s="30"/>
      <c r="FUJ14" s="30"/>
      <c r="FUK14" s="30"/>
      <c r="FUL14" s="30"/>
      <c r="FUM14" s="30"/>
      <c r="FUN14" s="30"/>
      <c r="FUO14" s="30"/>
      <c r="FUP14" s="30"/>
      <c r="FUQ14" s="30"/>
      <c r="FUR14" s="30"/>
      <c r="FUS14" s="30"/>
      <c r="FUT14" s="30"/>
      <c r="FUU14" s="30"/>
      <c r="FUV14" s="30"/>
      <c r="FUW14" s="30"/>
      <c r="FUX14" s="30"/>
      <c r="FUY14" s="30"/>
      <c r="FUZ14" s="30"/>
      <c r="FVA14" s="30"/>
      <c r="FVB14" s="30"/>
      <c r="FVC14" s="30"/>
      <c r="FVD14" s="30"/>
      <c r="FVE14" s="30"/>
      <c r="FVF14" s="30"/>
      <c r="FVG14" s="30"/>
      <c r="FVH14" s="30"/>
      <c r="FVI14" s="30"/>
      <c r="FVJ14" s="30"/>
      <c r="FVK14" s="30"/>
      <c r="FVL14" s="30"/>
      <c r="FVM14" s="30"/>
      <c r="FVN14" s="30"/>
      <c r="FVO14" s="30"/>
      <c r="FVP14" s="30"/>
      <c r="FVQ14" s="30"/>
      <c r="FVR14" s="30"/>
      <c r="FVS14" s="30"/>
      <c r="FVT14" s="30"/>
      <c r="FVU14" s="30"/>
      <c r="FVV14" s="30"/>
      <c r="FVW14" s="30"/>
      <c r="FVX14" s="30"/>
      <c r="FVY14" s="30"/>
      <c r="FVZ14" s="30"/>
      <c r="FWA14" s="30"/>
      <c r="FWB14" s="30"/>
      <c r="FWC14" s="30"/>
      <c r="FWD14" s="30"/>
      <c r="FWE14" s="30"/>
      <c r="FWF14" s="30"/>
      <c r="FWG14" s="30"/>
      <c r="FWH14" s="30"/>
      <c r="FWI14" s="30"/>
      <c r="FWJ14" s="30"/>
      <c r="FWK14" s="30"/>
      <c r="FWL14" s="30"/>
      <c r="FWM14" s="30"/>
      <c r="FWN14" s="30"/>
      <c r="FWO14" s="30"/>
      <c r="FWP14" s="30"/>
      <c r="FWQ14" s="30"/>
      <c r="FWR14" s="30"/>
      <c r="FWS14" s="30"/>
      <c r="FWT14" s="30"/>
      <c r="FWU14" s="30"/>
      <c r="FWV14" s="30"/>
      <c r="FWW14" s="30"/>
      <c r="FWX14" s="30"/>
      <c r="FWY14" s="30"/>
      <c r="FWZ14" s="30"/>
      <c r="FXA14" s="30"/>
      <c r="FXB14" s="30"/>
      <c r="FXC14" s="30"/>
      <c r="FXD14" s="30"/>
      <c r="FXE14" s="30"/>
      <c r="FXF14" s="30"/>
      <c r="FXG14" s="30"/>
      <c r="FXH14" s="30"/>
      <c r="FXI14" s="30"/>
      <c r="FXJ14" s="30"/>
      <c r="FXK14" s="30"/>
      <c r="FXL14" s="30"/>
      <c r="FXM14" s="30"/>
      <c r="FXN14" s="30"/>
      <c r="FXO14" s="30"/>
      <c r="FXP14" s="30"/>
      <c r="FXQ14" s="30"/>
      <c r="FXR14" s="30"/>
      <c r="FXS14" s="30"/>
      <c r="FXT14" s="30"/>
      <c r="FXU14" s="30"/>
      <c r="FXV14" s="30"/>
      <c r="FXW14" s="30"/>
      <c r="FXX14" s="30"/>
      <c r="FXY14" s="30"/>
      <c r="FXZ14" s="30"/>
      <c r="FYA14" s="30"/>
      <c r="FYB14" s="30"/>
      <c r="FYC14" s="30"/>
      <c r="FYD14" s="30"/>
      <c r="FYE14" s="30"/>
      <c r="FYF14" s="30"/>
      <c r="FYG14" s="30"/>
      <c r="FYH14" s="30"/>
      <c r="FYI14" s="30"/>
      <c r="FYJ14" s="30"/>
      <c r="FYK14" s="30"/>
      <c r="FYL14" s="30"/>
      <c r="FYM14" s="30"/>
      <c r="FYN14" s="30"/>
      <c r="FYO14" s="30"/>
      <c r="FYP14" s="30"/>
      <c r="FYQ14" s="30"/>
      <c r="FYR14" s="30"/>
      <c r="FYS14" s="30"/>
      <c r="FYT14" s="30"/>
      <c r="FYU14" s="30"/>
      <c r="FYV14" s="30"/>
      <c r="FYW14" s="30"/>
      <c r="FYX14" s="30"/>
      <c r="FYY14" s="30"/>
      <c r="FYZ14" s="30"/>
      <c r="FZA14" s="30"/>
      <c r="FZB14" s="30"/>
      <c r="FZC14" s="30"/>
      <c r="FZD14" s="30"/>
      <c r="FZE14" s="30"/>
      <c r="FZF14" s="30"/>
      <c r="FZG14" s="30"/>
      <c r="FZH14" s="30"/>
      <c r="FZI14" s="30"/>
      <c r="FZJ14" s="30"/>
      <c r="FZK14" s="30"/>
      <c r="FZL14" s="30"/>
      <c r="FZM14" s="30"/>
      <c r="FZN14" s="30"/>
      <c r="FZO14" s="30"/>
      <c r="FZP14" s="30"/>
      <c r="FZQ14" s="30"/>
      <c r="FZR14" s="30"/>
      <c r="FZS14" s="30"/>
      <c r="FZT14" s="30"/>
      <c r="FZU14" s="30"/>
      <c r="FZV14" s="30"/>
      <c r="FZW14" s="30"/>
      <c r="FZX14" s="30"/>
      <c r="FZY14" s="30"/>
      <c r="FZZ14" s="30"/>
      <c r="GAA14" s="30"/>
      <c r="GAB14" s="30"/>
      <c r="GAC14" s="30"/>
      <c r="GAD14" s="30"/>
      <c r="GAE14" s="30"/>
      <c r="GAF14" s="30"/>
      <c r="GAG14" s="30"/>
      <c r="GAH14" s="30"/>
      <c r="GAI14" s="30"/>
      <c r="GAJ14" s="30"/>
      <c r="GAK14" s="30"/>
      <c r="GAL14" s="30"/>
      <c r="GAM14" s="30"/>
      <c r="GAN14" s="30"/>
      <c r="GAO14" s="30"/>
      <c r="GAP14" s="30"/>
      <c r="GAQ14" s="30"/>
      <c r="GAR14" s="30"/>
      <c r="GAS14" s="30"/>
      <c r="GAT14" s="30"/>
      <c r="GAU14" s="30"/>
      <c r="GAV14" s="30"/>
      <c r="GAW14" s="30"/>
      <c r="GAX14" s="30"/>
      <c r="GAY14" s="30"/>
      <c r="GAZ14" s="30"/>
      <c r="GBA14" s="30"/>
      <c r="GBB14" s="30"/>
      <c r="GBC14" s="30"/>
      <c r="GBD14" s="30"/>
      <c r="GBE14" s="30"/>
      <c r="GBF14" s="30"/>
      <c r="GBG14" s="30"/>
      <c r="GBH14" s="30"/>
      <c r="GBI14" s="30"/>
      <c r="GBJ14" s="30"/>
      <c r="GBK14" s="30"/>
      <c r="GBL14" s="30"/>
      <c r="GBM14" s="30"/>
      <c r="GBN14" s="30"/>
      <c r="GBO14" s="30"/>
      <c r="GBP14" s="30"/>
      <c r="GBQ14" s="30"/>
      <c r="GBR14" s="30"/>
      <c r="GBS14" s="30"/>
      <c r="GBT14" s="30"/>
      <c r="GBU14" s="30"/>
      <c r="GBV14" s="30"/>
      <c r="GBW14" s="30"/>
      <c r="GBX14" s="30"/>
      <c r="GBY14" s="30"/>
      <c r="GBZ14" s="30"/>
      <c r="GCA14" s="30"/>
      <c r="GCB14" s="30"/>
      <c r="GCC14" s="30"/>
      <c r="GCD14" s="30"/>
      <c r="GCE14" s="30"/>
      <c r="GCF14" s="30"/>
      <c r="GCG14" s="30"/>
      <c r="GCH14" s="30"/>
      <c r="GCI14" s="30"/>
      <c r="GCJ14" s="30"/>
      <c r="GCK14" s="30"/>
      <c r="GCL14" s="30"/>
      <c r="GCM14" s="30"/>
      <c r="GCN14" s="30"/>
      <c r="GCO14" s="30"/>
      <c r="GCP14" s="30"/>
      <c r="GCQ14" s="30"/>
      <c r="GCR14" s="30"/>
      <c r="GCS14" s="30"/>
      <c r="GCT14" s="30"/>
      <c r="GCU14" s="30"/>
      <c r="GCV14" s="30"/>
      <c r="GCW14" s="30"/>
      <c r="GCX14" s="30"/>
      <c r="GCY14" s="30"/>
      <c r="GCZ14" s="30"/>
      <c r="GDA14" s="30"/>
      <c r="GDB14" s="30"/>
      <c r="GDC14" s="30"/>
      <c r="GDD14" s="30"/>
      <c r="GDE14" s="30"/>
      <c r="GDF14" s="30"/>
      <c r="GDG14" s="30"/>
      <c r="GDH14" s="30"/>
      <c r="GDI14" s="30"/>
      <c r="GDJ14" s="30"/>
      <c r="GDK14" s="30"/>
      <c r="GDL14" s="30"/>
      <c r="GDM14" s="30"/>
      <c r="GDN14" s="30"/>
      <c r="GDO14" s="30"/>
      <c r="GDP14" s="30"/>
      <c r="GDQ14" s="30"/>
      <c r="GDR14" s="30"/>
      <c r="GDS14" s="30"/>
      <c r="GDT14" s="30"/>
      <c r="GDU14" s="30"/>
      <c r="GDV14" s="30"/>
      <c r="GDW14" s="30"/>
      <c r="GDX14" s="30"/>
      <c r="GDY14" s="30"/>
      <c r="GDZ14" s="30"/>
      <c r="GEA14" s="30"/>
      <c r="GEB14" s="30"/>
      <c r="GEC14" s="30"/>
      <c r="GED14" s="30"/>
      <c r="GEE14" s="30"/>
      <c r="GEF14" s="30"/>
      <c r="GEG14" s="30"/>
      <c r="GEH14" s="30"/>
      <c r="GEI14" s="30"/>
      <c r="GEJ14" s="30"/>
      <c r="GEK14" s="30"/>
      <c r="GEL14" s="30"/>
      <c r="GEM14" s="30"/>
      <c r="GEN14" s="30"/>
      <c r="GEO14" s="30"/>
      <c r="GEP14" s="30"/>
      <c r="GEQ14" s="30"/>
      <c r="GER14" s="30"/>
      <c r="GES14" s="30"/>
      <c r="GET14" s="30"/>
      <c r="GEU14" s="30"/>
      <c r="GEV14" s="30"/>
      <c r="GEW14" s="30"/>
      <c r="GEX14" s="30"/>
      <c r="GEY14" s="30"/>
      <c r="GEZ14" s="30"/>
      <c r="GFA14" s="30"/>
      <c r="GFB14" s="30"/>
      <c r="GFC14" s="30"/>
      <c r="GFD14" s="30"/>
      <c r="GFE14" s="30"/>
      <c r="GFF14" s="30"/>
      <c r="GFG14" s="30"/>
      <c r="GFH14" s="30"/>
      <c r="GFI14" s="30"/>
      <c r="GFJ14" s="30"/>
      <c r="GFK14" s="30"/>
      <c r="GFL14" s="30"/>
      <c r="GFM14" s="30"/>
      <c r="GFN14" s="30"/>
      <c r="GFO14" s="30"/>
      <c r="GFP14" s="30"/>
      <c r="GFQ14" s="30"/>
      <c r="GFR14" s="30"/>
      <c r="GFS14" s="30"/>
      <c r="GFT14" s="30"/>
      <c r="GFU14" s="30"/>
      <c r="GFV14" s="30"/>
      <c r="GFW14" s="30"/>
      <c r="GFX14" s="30"/>
      <c r="GFY14" s="30"/>
      <c r="GFZ14" s="30"/>
      <c r="GGA14" s="30"/>
      <c r="GGB14" s="30"/>
      <c r="GGC14" s="30"/>
      <c r="GGD14" s="30"/>
      <c r="GGE14" s="30"/>
      <c r="GGF14" s="30"/>
      <c r="GGG14" s="30"/>
      <c r="GGH14" s="30"/>
      <c r="GGI14" s="30"/>
      <c r="GGJ14" s="30"/>
      <c r="GGK14" s="30"/>
      <c r="GGL14" s="30"/>
      <c r="GGM14" s="30"/>
      <c r="GGN14" s="30"/>
      <c r="GGO14" s="30"/>
      <c r="GGP14" s="30"/>
      <c r="GGQ14" s="30"/>
      <c r="GGR14" s="30"/>
      <c r="GGS14" s="30"/>
      <c r="GGT14" s="30"/>
      <c r="GGU14" s="30"/>
      <c r="GGV14" s="30"/>
      <c r="GGW14" s="30"/>
      <c r="GGX14" s="30"/>
      <c r="GGY14" s="30"/>
      <c r="GGZ14" s="30"/>
      <c r="GHA14" s="30"/>
      <c r="GHB14" s="30"/>
      <c r="GHC14" s="30"/>
      <c r="GHD14" s="30"/>
      <c r="GHE14" s="30"/>
      <c r="GHF14" s="30"/>
      <c r="GHG14" s="30"/>
      <c r="GHH14" s="30"/>
      <c r="GHI14" s="30"/>
      <c r="GHJ14" s="30"/>
      <c r="GHK14" s="30"/>
      <c r="GHL14" s="30"/>
      <c r="GHM14" s="30"/>
      <c r="GHN14" s="30"/>
      <c r="GHO14" s="30"/>
      <c r="GHP14" s="30"/>
      <c r="GHQ14" s="30"/>
      <c r="GHR14" s="30"/>
      <c r="GHS14" s="30"/>
      <c r="GHT14" s="30"/>
      <c r="GHU14" s="30"/>
      <c r="GHV14" s="30"/>
      <c r="GHW14" s="30"/>
      <c r="GHX14" s="30"/>
      <c r="GHY14" s="30"/>
      <c r="GHZ14" s="30"/>
      <c r="GIA14" s="30"/>
      <c r="GIB14" s="30"/>
      <c r="GIC14" s="30"/>
      <c r="GID14" s="30"/>
      <c r="GIE14" s="30"/>
      <c r="GIF14" s="30"/>
      <c r="GIG14" s="30"/>
      <c r="GIH14" s="30"/>
      <c r="GII14" s="30"/>
      <c r="GIJ14" s="30"/>
      <c r="GIK14" s="30"/>
      <c r="GIL14" s="30"/>
      <c r="GIM14" s="30"/>
      <c r="GIN14" s="30"/>
      <c r="GIO14" s="30"/>
      <c r="GIP14" s="30"/>
      <c r="GIQ14" s="30"/>
      <c r="GIR14" s="30"/>
      <c r="GIS14" s="30"/>
      <c r="GIT14" s="30"/>
      <c r="GIU14" s="30"/>
      <c r="GIV14" s="30"/>
      <c r="GIW14" s="30"/>
      <c r="GIX14" s="30"/>
      <c r="GIY14" s="30"/>
      <c r="GIZ14" s="30"/>
      <c r="GJA14" s="30"/>
      <c r="GJB14" s="30"/>
      <c r="GJC14" s="30"/>
      <c r="GJD14" s="30"/>
      <c r="GJE14" s="30"/>
      <c r="GJF14" s="30"/>
      <c r="GJG14" s="30"/>
      <c r="GJH14" s="30"/>
      <c r="GJI14" s="30"/>
      <c r="GJJ14" s="30"/>
      <c r="GJK14" s="30"/>
      <c r="GJL14" s="30"/>
      <c r="GJM14" s="30"/>
      <c r="GJN14" s="30"/>
      <c r="GJO14" s="30"/>
      <c r="GJP14" s="30"/>
      <c r="GJQ14" s="30"/>
      <c r="GJR14" s="30"/>
      <c r="GJS14" s="30"/>
      <c r="GJT14" s="30"/>
      <c r="GJU14" s="30"/>
      <c r="GJV14" s="30"/>
      <c r="GJW14" s="30"/>
      <c r="GJX14" s="30"/>
      <c r="GJY14" s="30"/>
      <c r="GJZ14" s="30"/>
      <c r="GKA14" s="30"/>
      <c r="GKB14" s="30"/>
      <c r="GKC14" s="30"/>
      <c r="GKD14" s="30"/>
      <c r="GKE14" s="30"/>
      <c r="GKF14" s="30"/>
      <c r="GKG14" s="30"/>
      <c r="GKH14" s="30"/>
      <c r="GKI14" s="30"/>
      <c r="GKJ14" s="30"/>
      <c r="GKK14" s="30"/>
      <c r="GKL14" s="30"/>
      <c r="GKM14" s="30"/>
      <c r="GKN14" s="30"/>
      <c r="GKO14" s="30"/>
      <c r="GKP14" s="30"/>
      <c r="GKQ14" s="30"/>
      <c r="GKR14" s="30"/>
      <c r="GKS14" s="30"/>
      <c r="GKT14" s="30"/>
      <c r="GKU14" s="30"/>
      <c r="GKV14" s="30"/>
      <c r="GKW14" s="30"/>
      <c r="GKX14" s="30"/>
      <c r="GKY14" s="30"/>
      <c r="GKZ14" s="30"/>
      <c r="GLA14" s="30"/>
      <c r="GLB14" s="30"/>
      <c r="GLC14" s="30"/>
      <c r="GLD14" s="30"/>
      <c r="GLE14" s="30"/>
      <c r="GLF14" s="30"/>
      <c r="GLG14" s="30"/>
      <c r="GLH14" s="30"/>
      <c r="GLI14" s="30"/>
      <c r="GLJ14" s="30"/>
      <c r="GLK14" s="30"/>
      <c r="GLL14" s="30"/>
      <c r="GLM14" s="30"/>
      <c r="GLN14" s="30"/>
      <c r="GLO14" s="30"/>
      <c r="GLP14" s="30"/>
      <c r="GLQ14" s="30"/>
      <c r="GLR14" s="30"/>
      <c r="GLS14" s="30"/>
      <c r="GLT14" s="30"/>
      <c r="GLU14" s="30"/>
      <c r="GLV14" s="30"/>
      <c r="GLW14" s="30"/>
      <c r="GLX14" s="30"/>
      <c r="GLY14" s="30"/>
      <c r="GLZ14" s="30"/>
      <c r="GMA14" s="30"/>
      <c r="GMB14" s="30"/>
      <c r="GMC14" s="30"/>
      <c r="GMD14" s="30"/>
      <c r="GME14" s="30"/>
      <c r="GMF14" s="30"/>
      <c r="GMG14" s="30"/>
      <c r="GMH14" s="30"/>
      <c r="GMI14" s="30"/>
      <c r="GMJ14" s="30"/>
      <c r="GMK14" s="30"/>
      <c r="GML14" s="30"/>
      <c r="GMM14" s="30"/>
      <c r="GMN14" s="30"/>
      <c r="GMO14" s="30"/>
      <c r="GMP14" s="30"/>
      <c r="GMQ14" s="30"/>
      <c r="GMR14" s="30"/>
      <c r="GMS14" s="30"/>
      <c r="GMT14" s="30"/>
      <c r="GMU14" s="30"/>
      <c r="GMV14" s="30"/>
      <c r="GMW14" s="30"/>
      <c r="GMX14" s="30"/>
      <c r="GMY14" s="30"/>
      <c r="GMZ14" s="30"/>
      <c r="GNA14" s="30"/>
      <c r="GNB14" s="30"/>
      <c r="GNC14" s="30"/>
      <c r="GND14" s="30"/>
      <c r="GNE14" s="30"/>
      <c r="GNF14" s="30"/>
      <c r="GNG14" s="30"/>
      <c r="GNH14" s="30"/>
      <c r="GNI14" s="30"/>
      <c r="GNJ14" s="30"/>
      <c r="GNK14" s="30"/>
      <c r="GNL14" s="30"/>
      <c r="GNM14" s="30"/>
      <c r="GNN14" s="30"/>
      <c r="GNO14" s="30"/>
      <c r="GNP14" s="30"/>
      <c r="GNQ14" s="30"/>
      <c r="GNR14" s="30"/>
      <c r="GNS14" s="30"/>
      <c r="GNT14" s="30"/>
      <c r="GNU14" s="30"/>
      <c r="GNV14" s="30"/>
      <c r="GNW14" s="30"/>
      <c r="GNX14" s="30"/>
      <c r="GNY14" s="30"/>
      <c r="GNZ14" s="30"/>
      <c r="GOA14" s="30"/>
      <c r="GOB14" s="30"/>
      <c r="GOC14" s="30"/>
      <c r="GOD14" s="30"/>
      <c r="GOE14" s="30"/>
      <c r="GOF14" s="30"/>
      <c r="GOG14" s="30"/>
      <c r="GOH14" s="30"/>
      <c r="GOI14" s="30"/>
      <c r="GOJ14" s="30"/>
      <c r="GOK14" s="30"/>
      <c r="GOL14" s="30"/>
      <c r="GOM14" s="30"/>
      <c r="GON14" s="30"/>
      <c r="GOO14" s="30"/>
      <c r="GOP14" s="30"/>
      <c r="GOQ14" s="30"/>
      <c r="GOR14" s="30"/>
      <c r="GOS14" s="30"/>
      <c r="GOT14" s="30"/>
      <c r="GOU14" s="30"/>
      <c r="GOV14" s="30"/>
      <c r="GOW14" s="30"/>
      <c r="GOX14" s="30"/>
      <c r="GOY14" s="30"/>
      <c r="GOZ14" s="30"/>
      <c r="GPA14" s="30"/>
      <c r="GPB14" s="30"/>
      <c r="GPC14" s="30"/>
      <c r="GPD14" s="30"/>
      <c r="GPE14" s="30"/>
      <c r="GPF14" s="30"/>
      <c r="GPG14" s="30"/>
      <c r="GPH14" s="30"/>
      <c r="GPI14" s="30"/>
      <c r="GPJ14" s="30"/>
      <c r="GPK14" s="30"/>
      <c r="GPL14" s="30"/>
      <c r="GPM14" s="30"/>
      <c r="GPN14" s="30"/>
      <c r="GPO14" s="30"/>
      <c r="GPP14" s="30"/>
      <c r="GPQ14" s="30"/>
      <c r="GPR14" s="30"/>
      <c r="GPS14" s="30"/>
      <c r="GPT14" s="30"/>
      <c r="GPU14" s="30"/>
      <c r="GPV14" s="30"/>
      <c r="GPW14" s="30"/>
      <c r="GPX14" s="30"/>
      <c r="GPY14" s="30"/>
      <c r="GPZ14" s="30"/>
      <c r="GQA14" s="30"/>
      <c r="GQB14" s="30"/>
      <c r="GQC14" s="30"/>
      <c r="GQD14" s="30"/>
      <c r="GQE14" s="30"/>
      <c r="GQF14" s="30"/>
      <c r="GQG14" s="30"/>
      <c r="GQH14" s="30"/>
      <c r="GQI14" s="30"/>
      <c r="GQJ14" s="30"/>
      <c r="GQK14" s="30"/>
      <c r="GQL14" s="30"/>
      <c r="GQM14" s="30"/>
      <c r="GQN14" s="30"/>
      <c r="GQO14" s="30"/>
      <c r="GQP14" s="30"/>
      <c r="GQQ14" s="30"/>
      <c r="GQR14" s="30"/>
      <c r="GQS14" s="30"/>
      <c r="GQT14" s="30"/>
      <c r="GQU14" s="30"/>
      <c r="GQV14" s="30"/>
      <c r="GQW14" s="30"/>
      <c r="GQX14" s="30"/>
      <c r="GQY14" s="30"/>
      <c r="GQZ14" s="30"/>
      <c r="GRA14" s="30"/>
      <c r="GRB14" s="30"/>
      <c r="GRC14" s="30"/>
      <c r="GRD14" s="30"/>
      <c r="GRE14" s="30"/>
      <c r="GRF14" s="30"/>
      <c r="GRG14" s="30"/>
      <c r="GRH14" s="30"/>
      <c r="GRI14" s="30"/>
      <c r="GRJ14" s="30"/>
      <c r="GRK14" s="30"/>
      <c r="GRL14" s="30"/>
      <c r="GRM14" s="30"/>
      <c r="GRN14" s="30"/>
      <c r="GRO14" s="30"/>
      <c r="GRP14" s="30"/>
      <c r="GRQ14" s="30"/>
      <c r="GRR14" s="30"/>
      <c r="GRS14" s="30"/>
      <c r="GRT14" s="30"/>
      <c r="GRU14" s="30"/>
      <c r="GRV14" s="30"/>
      <c r="GRW14" s="30"/>
      <c r="GRX14" s="30"/>
      <c r="GRY14" s="30"/>
      <c r="GRZ14" s="30"/>
      <c r="GSA14" s="30"/>
      <c r="GSB14" s="30"/>
      <c r="GSC14" s="30"/>
      <c r="GSD14" s="30"/>
      <c r="GSE14" s="30"/>
      <c r="GSF14" s="30"/>
      <c r="GSG14" s="30"/>
      <c r="GSH14" s="30"/>
      <c r="GSI14" s="30"/>
      <c r="GSJ14" s="30"/>
      <c r="GSK14" s="30"/>
      <c r="GSL14" s="30"/>
      <c r="GSM14" s="30"/>
      <c r="GSN14" s="30"/>
      <c r="GSO14" s="30"/>
      <c r="GSP14" s="30"/>
      <c r="GSQ14" s="30"/>
      <c r="GSR14" s="30"/>
      <c r="GSS14" s="30"/>
      <c r="GST14" s="30"/>
      <c r="GSU14" s="30"/>
      <c r="GSV14" s="30"/>
      <c r="GSW14" s="30"/>
      <c r="GSX14" s="30"/>
      <c r="GSY14" s="30"/>
      <c r="GSZ14" s="30"/>
      <c r="GTA14" s="30"/>
      <c r="GTB14" s="30"/>
      <c r="GTC14" s="30"/>
      <c r="GTD14" s="30"/>
      <c r="GTE14" s="30"/>
      <c r="GTF14" s="30"/>
      <c r="GTG14" s="30"/>
      <c r="GTH14" s="30"/>
      <c r="GTI14" s="30"/>
      <c r="GTJ14" s="30"/>
      <c r="GTK14" s="30"/>
      <c r="GTL14" s="30"/>
      <c r="GTM14" s="30"/>
      <c r="GTN14" s="30"/>
      <c r="GTO14" s="30"/>
      <c r="GTP14" s="30"/>
      <c r="GTQ14" s="30"/>
      <c r="GTR14" s="30"/>
      <c r="GTS14" s="30"/>
      <c r="GTT14" s="30"/>
      <c r="GTU14" s="30"/>
      <c r="GTV14" s="30"/>
      <c r="GTW14" s="30"/>
      <c r="GTX14" s="30"/>
      <c r="GTY14" s="30"/>
      <c r="GTZ14" s="30"/>
      <c r="GUA14" s="30"/>
      <c r="GUB14" s="30"/>
      <c r="GUC14" s="30"/>
      <c r="GUD14" s="30"/>
      <c r="GUE14" s="30"/>
      <c r="GUF14" s="30"/>
      <c r="GUG14" s="30"/>
      <c r="GUH14" s="30"/>
      <c r="GUI14" s="30"/>
      <c r="GUJ14" s="30"/>
      <c r="GUK14" s="30"/>
      <c r="GUL14" s="30"/>
      <c r="GUM14" s="30"/>
      <c r="GUN14" s="30"/>
      <c r="GUO14" s="30"/>
      <c r="GUP14" s="30"/>
      <c r="GUQ14" s="30"/>
      <c r="GUR14" s="30"/>
      <c r="GUS14" s="30"/>
      <c r="GUT14" s="30"/>
      <c r="GUU14" s="30"/>
      <c r="GUV14" s="30"/>
      <c r="GUW14" s="30"/>
      <c r="GUX14" s="30"/>
      <c r="GUY14" s="30"/>
      <c r="GUZ14" s="30"/>
      <c r="GVA14" s="30"/>
      <c r="GVB14" s="30"/>
      <c r="GVC14" s="30"/>
      <c r="GVD14" s="30"/>
      <c r="GVE14" s="30"/>
      <c r="GVF14" s="30"/>
      <c r="GVG14" s="30"/>
      <c r="GVH14" s="30"/>
      <c r="GVI14" s="30"/>
      <c r="GVJ14" s="30"/>
      <c r="GVK14" s="30"/>
      <c r="GVL14" s="30"/>
      <c r="GVM14" s="30"/>
      <c r="GVN14" s="30"/>
      <c r="GVO14" s="30"/>
      <c r="GVP14" s="30"/>
      <c r="GVQ14" s="30"/>
      <c r="GVR14" s="30"/>
      <c r="GVS14" s="30"/>
      <c r="GVT14" s="30"/>
      <c r="GVU14" s="30"/>
      <c r="GVV14" s="30"/>
      <c r="GVW14" s="30"/>
      <c r="GVX14" s="30"/>
      <c r="GVY14" s="30"/>
      <c r="GVZ14" s="30"/>
      <c r="GWA14" s="30"/>
      <c r="GWB14" s="30"/>
      <c r="GWC14" s="30"/>
      <c r="GWD14" s="30"/>
      <c r="GWE14" s="30"/>
      <c r="GWF14" s="30"/>
      <c r="GWG14" s="30"/>
      <c r="GWH14" s="30"/>
      <c r="GWI14" s="30"/>
      <c r="GWJ14" s="30"/>
      <c r="GWK14" s="30"/>
      <c r="GWL14" s="30"/>
      <c r="GWM14" s="30"/>
      <c r="GWN14" s="30"/>
      <c r="GWO14" s="30"/>
      <c r="GWP14" s="30"/>
      <c r="GWQ14" s="30"/>
      <c r="GWR14" s="30"/>
      <c r="GWS14" s="30"/>
      <c r="GWT14" s="30"/>
      <c r="GWU14" s="30"/>
      <c r="GWV14" s="30"/>
      <c r="GWW14" s="30"/>
      <c r="GWX14" s="30"/>
      <c r="GWY14" s="30"/>
      <c r="GWZ14" s="30"/>
      <c r="GXA14" s="30"/>
      <c r="GXB14" s="30"/>
      <c r="GXC14" s="30"/>
      <c r="GXD14" s="30"/>
      <c r="GXE14" s="30"/>
      <c r="GXF14" s="30"/>
      <c r="GXG14" s="30"/>
      <c r="GXH14" s="30"/>
      <c r="GXI14" s="30"/>
      <c r="GXJ14" s="30"/>
      <c r="GXK14" s="30"/>
      <c r="GXL14" s="30"/>
      <c r="GXM14" s="30"/>
      <c r="GXN14" s="30"/>
      <c r="GXO14" s="30"/>
      <c r="GXP14" s="30"/>
      <c r="GXQ14" s="30"/>
      <c r="GXR14" s="30"/>
      <c r="GXS14" s="30"/>
      <c r="GXT14" s="30"/>
      <c r="GXU14" s="30"/>
      <c r="GXV14" s="30"/>
      <c r="GXW14" s="30"/>
      <c r="GXX14" s="30"/>
      <c r="GXY14" s="30"/>
      <c r="GXZ14" s="30"/>
      <c r="GYA14" s="30"/>
      <c r="GYB14" s="30"/>
      <c r="GYC14" s="30"/>
      <c r="GYD14" s="30"/>
      <c r="GYE14" s="30"/>
      <c r="GYF14" s="30"/>
      <c r="GYG14" s="30"/>
      <c r="GYH14" s="30"/>
      <c r="GYI14" s="30"/>
      <c r="GYJ14" s="30"/>
      <c r="GYK14" s="30"/>
      <c r="GYL14" s="30"/>
      <c r="GYM14" s="30"/>
      <c r="GYN14" s="30"/>
      <c r="GYO14" s="30"/>
      <c r="GYP14" s="30"/>
      <c r="GYQ14" s="30"/>
      <c r="GYR14" s="30"/>
      <c r="GYS14" s="30"/>
      <c r="GYT14" s="30"/>
      <c r="GYU14" s="30"/>
      <c r="GYV14" s="30"/>
      <c r="GYW14" s="30"/>
      <c r="GYX14" s="30"/>
      <c r="GYY14" s="30"/>
      <c r="GYZ14" s="30"/>
      <c r="GZA14" s="30"/>
      <c r="GZB14" s="30"/>
      <c r="GZC14" s="30"/>
      <c r="GZD14" s="30"/>
      <c r="GZE14" s="30"/>
      <c r="GZF14" s="30"/>
      <c r="GZG14" s="30"/>
      <c r="GZH14" s="30"/>
      <c r="GZI14" s="30"/>
      <c r="GZJ14" s="30"/>
      <c r="GZK14" s="30"/>
      <c r="GZL14" s="30"/>
      <c r="GZM14" s="30"/>
      <c r="GZN14" s="30"/>
      <c r="GZO14" s="30"/>
      <c r="GZP14" s="30"/>
      <c r="GZQ14" s="30"/>
      <c r="GZR14" s="30"/>
      <c r="GZS14" s="30"/>
      <c r="GZT14" s="30"/>
      <c r="GZU14" s="30"/>
      <c r="GZV14" s="30"/>
      <c r="GZW14" s="30"/>
      <c r="GZX14" s="30"/>
      <c r="GZY14" s="30"/>
      <c r="GZZ14" s="30"/>
      <c r="HAA14" s="30"/>
      <c r="HAB14" s="30"/>
      <c r="HAC14" s="30"/>
      <c r="HAD14" s="30"/>
      <c r="HAE14" s="30"/>
      <c r="HAF14" s="30"/>
      <c r="HAG14" s="30"/>
      <c r="HAH14" s="30"/>
      <c r="HAI14" s="30"/>
      <c r="HAJ14" s="30"/>
      <c r="HAK14" s="30"/>
      <c r="HAL14" s="30"/>
      <c r="HAM14" s="30"/>
      <c r="HAN14" s="30"/>
      <c r="HAO14" s="30"/>
      <c r="HAP14" s="30"/>
      <c r="HAQ14" s="30"/>
      <c r="HAR14" s="30"/>
      <c r="HAS14" s="30"/>
      <c r="HAT14" s="30"/>
      <c r="HAU14" s="30"/>
      <c r="HAV14" s="30"/>
      <c r="HAW14" s="30"/>
      <c r="HAX14" s="30"/>
      <c r="HAY14" s="30"/>
      <c r="HAZ14" s="30"/>
      <c r="HBA14" s="30"/>
      <c r="HBB14" s="30"/>
      <c r="HBC14" s="30"/>
      <c r="HBD14" s="30"/>
      <c r="HBE14" s="30"/>
      <c r="HBF14" s="30"/>
      <c r="HBG14" s="30"/>
      <c r="HBH14" s="30"/>
      <c r="HBI14" s="30"/>
      <c r="HBJ14" s="30"/>
      <c r="HBK14" s="30"/>
      <c r="HBL14" s="30"/>
      <c r="HBM14" s="30"/>
      <c r="HBN14" s="30"/>
      <c r="HBO14" s="30"/>
      <c r="HBP14" s="30"/>
      <c r="HBQ14" s="30"/>
      <c r="HBR14" s="30"/>
      <c r="HBS14" s="30"/>
      <c r="HBT14" s="30"/>
      <c r="HBU14" s="30"/>
      <c r="HBV14" s="30"/>
      <c r="HBW14" s="30"/>
      <c r="HBX14" s="30"/>
      <c r="HBY14" s="30"/>
      <c r="HBZ14" s="30"/>
      <c r="HCA14" s="30"/>
      <c r="HCB14" s="30"/>
      <c r="HCC14" s="30"/>
      <c r="HCD14" s="30"/>
      <c r="HCE14" s="30"/>
      <c r="HCF14" s="30"/>
      <c r="HCG14" s="30"/>
      <c r="HCH14" s="30"/>
      <c r="HCI14" s="30"/>
      <c r="HCJ14" s="30"/>
      <c r="HCK14" s="30"/>
      <c r="HCL14" s="30"/>
      <c r="HCM14" s="30"/>
      <c r="HCN14" s="30"/>
      <c r="HCO14" s="30"/>
      <c r="HCP14" s="30"/>
      <c r="HCQ14" s="30"/>
      <c r="HCR14" s="30"/>
      <c r="HCS14" s="30"/>
      <c r="HCT14" s="30"/>
      <c r="HCU14" s="30"/>
      <c r="HCV14" s="30"/>
      <c r="HCW14" s="30"/>
      <c r="HCX14" s="30"/>
      <c r="HCY14" s="30"/>
      <c r="HCZ14" s="30"/>
      <c r="HDA14" s="30"/>
      <c r="HDB14" s="30"/>
      <c r="HDC14" s="30"/>
      <c r="HDD14" s="30"/>
      <c r="HDE14" s="30"/>
      <c r="HDF14" s="30"/>
      <c r="HDG14" s="30"/>
      <c r="HDH14" s="30"/>
      <c r="HDI14" s="30"/>
      <c r="HDJ14" s="30"/>
      <c r="HDK14" s="30"/>
      <c r="HDL14" s="30"/>
      <c r="HDM14" s="30"/>
      <c r="HDN14" s="30"/>
      <c r="HDO14" s="30"/>
      <c r="HDP14" s="30"/>
      <c r="HDQ14" s="30"/>
      <c r="HDR14" s="30"/>
      <c r="HDS14" s="30"/>
      <c r="HDT14" s="30"/>
      <c r="HDU14" s="30"/>
      <c r="HDV14" s="30"/>
      <c r="HDW14" s="30"/>
      <c r="HDX14" s="30"/>
      <c r="HDY14" s="30"/>
      <c r="HDZ14" s="30"/>
      <c r="HEA14" s="30"/>
      <c r="HEB14" s="30"/>
      <c r="HEC14" s="30"/>
      <c r="HED14" s="30"/>
      <c r="HEE14" s="30"/>
      <c r="HEF14" s="30"/>
      <c r="HEG14" s="30"/>
      <c r="HEH14" s="30"/>
      <c r="HEI14" s="30"/>
      <c r="HEJ14" s="30"/>
      <c r="HEK14" s="30"/>
      <c r="HEL14" s="30"/>
      <c r="HEM14" s="30"/>
      <c r="HEN14" s="30"/>
      <c r="HEO14" s="30"/>
      <c r="HEP14" s="30"/>
      <c r="HEQ14" s="30"/>
      <c r="HER14" s="30"/>
      <c r="HES14" s="30"/>
      <c r="HET14" s="30"/>
      <c r="HEU14" s="30"/>
      <c r="HEV14" s="30"/>
      <c r="HEW14" s="30"/>
      <c r="HEX14" s="30"/>
      <c r="HEY14" s="30"/>
      <c r="HEZ14" s="30"/>
      <c r="HFA14" s="30"/>
      <c r="HFB14" s="30"/>
      <c r="HFC14" s="30"/>
      <c r="HFD14" s="30"/>
      <c r="HFE14" s="30"/>
      <c r="HFF14" s="30"/>
      <c r="HFG14" s="30"/>
      <c r="HFH14" s="30"/>
      <c r="HFI14" s="30"/>
      <c r="HFJ14" s="30"/>
      <c r="HFK14" s="30"/>
      <c r="HFL14" s="30"/>
      <c r="HFM14" s="30"/>
      <c r="HFN14" s="30"/>
      <c r="HFO14" s="30"/>
      <c r="HFP14" s="30"/>
      <c r="HFQ14" s="30"/>
      <c r="HFR14" s="30"/>
      <c r="HFS14" s="30"/>
      <c r="HFT14" s="30"/>
      <c r="HFU14" s="30"/>
      <c r="HFV14" s="30"/>
      <c r="HFW14" s="30"/>
      <c r="HFX14" s="30"/>
      <c r="HFY14" s="30"/>
      <c r="HFZ14" s="30"/>
      <c r="HGA14" s="30"/>
      <c r="HGB14" s="30"/>
      <c r="HGC14" s="30"/>
      <c r="HGD14" s="30"/>
      <c r="HGE14" s="30"/>
      <c r="HGF14" s="30"/>
      <c r="HGG14" s="30"/>
      <c r="HGH14" s="30"/>
      <c r="HGI14" s="30"/>
      <c r="HGJ14" s="30"/>
      <c r="HGK14" s="30"/>
      <c r="HGL14" s="30"/>
      <c r="HGM14" s="30"/>
      <c r="HGN14" s="30"/>
      <c r="HGO14" s="30"/>
      <c r="HGP14" s="30"/>
      <c r="HGQ14" s="30"/>
      <c r="HGR14" s="30"/>
      <c r="HGS14" s="30"/>
      <c r="HGT14" s="30"/>
      <c r="HGU14" s="30"/>
      <c r="HGV14" s="30"/>
      <c r="HGW14" s="30"/>
      <c r="HGX14" s="30"/>
      <c r="HGY14" s="30"/>
      <c r="HGZ14" s="30"/>
      <c r="HHA14" s="30"/>
      <c r="HHB14" s="30"/>
      <c r="HHC14" s="30"/>
      <c r="HHD14" s="30"/>
      <c r="HHE14" s="30"/>
      <c r="HHF14" s="30"/>
      <c r="HHG14" s="30"/>
      <c r="HHH14" s="30"/>
      <c r="HHI14" s="30"/>
      <c r="HHJ14" s="30"/>
      <c r="HHK14" s="30"/>
      <c r="HHL14" s="30"/>
      <c r="HHM14" s="30"/>
      <c r="HHN14" s="30"/>
      <c r="HHO14" s="30"/>
      <c r="HHP14" s="30"/>
      <c r="HHQ14" s="30"/>
      <c r="HHR14" s="30"/>
      <c r="HHS14" s="30"/>
      <c r="HHT14" s="30"/>
      <c r="HHU14" s="30"/>
      <c r="HHV14" s="30"/>
      <c r="HHW14" s="30"/>
      <c r="HHX14" s="30"/>
      <c r="HHY14" s="30"/>
      <c r="HHZ14" s="30"/>
      <c r="HIA14" s="30"/>
      <c r="HIB14" s="30"/>
      <c r="HIC14" s="30"/>
      <c r="HID14" s="30"/>
      <c r="HIE14" s="30"/>
      <c r="HIF14" s="30"/>
      <c r="HIG14" s="30"/>
      <c r="HIH14" s="30"/>
      <c r="HII14" s="30"/>
      <c r="HIJ14" s="30"/>
      <c r="HIK14" s="30"/>
      <c r="HIL14" s="30"/>
      <c r="HIM14" s="30"/>
      <c r="HIN14" s="30"/>
      <c r="HIO14" s="30"/>
      <c r="HIP14" s="30"/>
      <c r="HIQ14" s="30"/>
      <c r="HIR14" s="30"/>
      <c r="HIS14" s="30"/>
      <c r="HIT14" s="30"/>
      <c r="HIU14" s="30"/>
      <c r="HIV14" s="30"/>
      <c r="HIW14" s="30"/>
      <c r="HIX14" s="30"/>
      <c r="HIY14" s="30"/>
      <c r="HIZ14" s="30"/>
      <c r="HJA14" s="30"/>
      <c r="HJB14" s="30"/>
      <c r="HJC14" s="30"/>
      <c r="HJD14" s="30"/>
      <c r="HJE14" s="30"/>
      <c r="HJF14" s="30"/>
      <c r="HJG14" s="30"/>
      <c r="HJH14" s="30"/>
      <c r="HJI14" s="30"/>
      <c r="HJJ14" s="30"/>
      <c r="HJK14" s="30"/>
      <c r="HJL14" s="30"/>
      <c r="HJM14" s="30"/>
      <c r="HJN14" s="30"/>
      <c r="HJO14" s="30"/>
      <c r="HJP14" s="30"/>
      <c r="HJQ14" s="30"/>
      <c r="HJR14" s="30"/>
      <c r="HJS14" s="30"/>
      <c r="HJT14" s="30"/>
      <c r="HJU14" s="30"/>
      <c r="HJV14" s="30"/>
      <c r="HJW14" s="30"/>
      <c r="HJX14" s="30"/>
      <c r="HJY14" s="30"/>
      <c r="HJZ14" s="30"/>
      <c r="HKA14" s="30"/>
      <c r="HKB14" s="30"/>
      <c r="HKC14" s="30"/>
      <c r="HKD14" s="30"/>
      <c r="HKE14" s="30"/>
      <c r="HKF14" s="30"/>
      <c r="HKG14" s="30"/>
      <c r="HKH14" s="30"/>
      <c r="HKI14" s="30"/>
      <c r="HKJ14" s="30"/>
      <c r="HKK14" s="30"/>
      <c r="HKL14" s="30"/>
      <c r="HKM14" s="30"/>
      <c r="HKN14" s="30"/>
      <c r="HKO14" s="30"/>
      <c r="HKP14" s="30"/>
      <c r="HKQ14" s="30"/>
      <c r="HKR14" s="30"/>
      <c r="HKS14" s="30"/>
      <c r="HKT14" s="30"/>
      <c r="HKU14" s="30"/>
      <c r="HKV14" s="30"/>
      <c r="HKW14" s="30"/>
      <c r="HKX14" s="30"/>
      <c r="HKY14" s="30"/>
      <c r="HKZ14" s="30"/>
      <c r="HLA14" s="30"/>
      <c r="HLB14" s="30"/>
      <c r="HLC14" s="30"/>
      <c r="HLD14" s="30"/>
      <c r="HLE14" s="30"/>
      <c r="HLF14" s="30"/>
      <c r="HLG14" s="30"/>
      <c r="HLH14" s="30"/>
      <c r="HLI14" s="30"/>
      <c r="HLJ14" s="30"/>
      <c r="HLK14" s="30"/>
      <c r="HLL14" s="30"/>
      <c r="HLM14" s="30"/>
      <c r="HLN14" s="30"/>
      <c r="HLO14" s="30"/>
      <c r="HLP14" s="30"/>
      <c r="HLQ14" s="30"/>
      <c r="HLR14" s="30"/>
      <c r="HLS14" s="30"/>
      <c r="HLT14" s="30"/>
      <c r="HLU14" s="30"/>
      <c r="HLV14" s="30"/>
      <c r="HLW14" s="30"/>
      <c r="HLX14" s="30"/>
      <c r="HLY14" s="30"/>
      <c r="HLZ14" s="30"/>
      <c r="HMA14" s="30"/>
      <c r="HMB14" s="30"/>
      <c r="HMC14" s="30"/>
      <c r="HMD14" s="30"/>
      <c r="HME14" s="30"/>
      <c r="HMF14" s="30"/>
      <c r="HMG14" s="30"/>
      <c r="HMH14" s="30"/>
      <c r="HMI14" s="30"/>
      <c r="HMJ14" s="30"/>
      <c r="HMK14" s="30"/>
      <c r="HML14" s="30"/>
      <c r="HMM14" s="30"/>
      <c r="HMN14" s="30"/>
      <c r="HMO14" s="30"/>
      <c r="HMP14" s="30"/>
      <c r="HMQ14" s="30"/>
      <c r="HMR14" s="30"/>
      <c r="HMS14" s="30"/>
      <c r="HMT14" s="30"/>
      <c r="HMU14" s="30"/>
      <c r="HMV14" s="30"/>
      <c r="HMW14" s="30"/>
      <c r="HMX14" s="30"/>
      <c r="HMY14" s="30"/>
      <c r="HMZ14" s="30"/>
      <c r="HNA14" s="30"/>
      <c r="HNB14" s="30"/>
      <c r="HNC14" s="30"/>
      <c r="HND14" s="30"/>
      <c r="HNE14" s="30"/>
      <c r="HNF14" s="30"/>
      <c r="HNG14" s="30"/>
      <c r="HNH14" s="30"/>
      <c r="HNI14" s="30"/>
      <c r="HNJ14" s="30"/>
      <c r="HNK14" s="30"/>
      <c r="HNL14" s="30"/>
      <c r="HNM14" s="30"/>
      <c r="HNN14" s="30"/>
      <c r="HNO14" s="30"/>
      <c r="HNP14" s="30"/>
      <c r="HNQ14" s="30"/>
      <c r="HNR14" s="30"/>
      <c r="HNS14" s="30"/>
      <c r="HNT14" s="30"/>
      <c r="HNU14" s="30"/>
      <c r="HNV14" s="30"/>
      <c r="HNW14" s="30"/>
      <c r="HNX14" s="30"/>
      <c r="HNY14" s="30"/>
      <c r="HNZ14" s="30"/>
      <c r="HOA14" s="30"/>
      <c r="HOB14" s="30"/>
      <c r="HOC14" s="30"/>
      <c r="HOD14" s="30"/>
      <c r="HOE14" s="30"/>
      <c r="HOF14" s="30"/>
      <c r="HOG14" s="30"/>
      <c r="HOH14" s="30"/>
      <c r="HOI14" s="30"/>
      <c r="HOJ14" s="30"/>
      <c r="HOK14" s="30"/>
      <c r="HOL14" s="30"/>
      <c r="HOM14" s="30"/>
      <c r="HON14" s="30"/>
      <c r="HOO14" s="30"/>
      <c r="HOP14" s="30"/>
      <c r="HOQ14" s="30"/>
      <c r="HOR14" s="30"/>
      <c r="HOS14" s="30"/>
      <c r="HOT14" s="30"/>
      <c r="HOU14" s="30"/>
      <c r="HOV14" s="30"/>
      <c r="HOW14" s="30"/>
      <c r="HOX14" s="30"/>
      <c r="HOY14" s="30"/>
      <c r="HOZ14" s="30"/>
      <c r="HPA14" s="30"/>
      <c r="HPB14" s="30"/>
      <c r="HPC14" s="30"/>
      <c r="HPD14" s="30"/>
      <c r="HPE14" s="30"/>
      <c r="HPF14" s="30"/>
      <c r="HPG14" s="30"/>
      <c r="HPH14" s="30"/>
      <c r="HPI14" s="30"/>
      <c r="HPJ14" s="30"/>
      <c r="HPK14" s="30"/>
      <c r="HPL14" s="30"/>
      <c r="HPM14" s="30"/>
      <c r="HPN14" s="30"/>
      <c r="HPO14" s="30"/>
      <c r="HPP14" s="30"/>
      <c r="HPQ14" s="30"/>
      <c r="HPR14" s="30"/>
      <c r="HPS14" s="30"/>
      <c r="HPT14" s="30"/>
      <c r="HPU14" s="30"/>
      <c r="HPV14" s="30"/>
      <c r="HPW14" s="30"/>
      <c r="HPX14" s="30"/>
      <c r="HPY14" s="30"/>
      <c r="HPZ14" s="30"/>
      <c r="HQA14" s="30"/>
      <c r="HQB14" s="30"/>
      <c r="HQC14" s="30"/>
      <c r="HQD14" s="30"/>
      <c r="HQE14" s="30"/>
      <c r="HQF14" s="30"/>
      <c r="HQG14" s="30"/>
      <c r="HQH14" s="30"/>
      <c r="HQI14" s="30"/>
      <c r="HQJ14" s="30"/>
      <c r="HQK14" s="30"/>
      <c r="HQL14" s="30"/>
      <c r="HQM14" s="30"/>
      <c r="HQN14" s="30"/>
      <c r="HQO14" s="30"/>
      <c r="HQP14" s="30"/>
      <c r="HQQ14" s="30"/>
      <c r="HQR14" s="30"/>
      <c r="HQS14" s="30"/>
      <c r="HQT14" s="30"/>
      <c r="HQU14" s="30"/>
      <c r="HQV14" s="30"/>
      <c r="HQW14" s="30"/>
      <c r="HQX14" s="30"/>
      <c r="HQY14" s="30"/>
      <c r="HQZ14" s="30"/>
      <c r="HRA14" s="30"/>
      <c r="HRB14" s="30"/>
      <c r="HRC14" s="30"/>
      <c r="HRD14" s="30"/>
      <c r="HRE14" s="30"/>
      <c r="HRF14" s="30"/>
      <c r="HRG14" s="30"/>
      <c r="HRH14" s="30"/>
      <c r="HRI14" s="30"/>
      <c r="HRJ14" s="30"/>
      <c r="HRK14" s="30"/>
      <c r="HRL14" s="30"/>
      <c r="HRM14" s="30"/>
      <c r="HRN14" s="30"/>
      <c r="HRO14" s="30"/>
      <c r="HRP14" s="30"/>
      <c r="HRQ14" s="30"/>
      <c r="HRR14" s="30"/>
      <c r="HRS14" s="30"/>
      <c r="HRT14" s="30"/>
      <c r="HRU14" s="30"/>
      <c r="HRV14" s="30"/>
      <c r="HRW14" s="30"/>
      <c r="HRX14" s="30"/>
      <c r="HRY14" s="30"/>
      <c r="HRZ14" s="30"/>
      <c r="HSA14" s="30"/>
      <c r="HSB14" s="30"/>
      <c r="HSC14" s="30"/>
      <c r="HSD14" s="30"/>
      <c r="HSE14" s="30"/>
      <c r="HSF14" s="30"/>
      <c r="HSG14" s="30"/>
      <c r="HSH14" s="30"/>
      <c r="HSI14" s="30"/>
      <c r="HSJ14" s="30"/>
      <c r="HSK14" s="30"/>
      <c r="HSL14" s="30"/>
      <c r="HSM14" s="30"/>
      <c r="HSN14" s="30"/>
      <c r="HSO14" s="30"/>
      <c r="HSP14" s="30"/>
      <c r="HSQ14" s="30"/>
      <c r="HSR14" s="30"/>
      <c r="HSS14" s="30"/>
      <c r="HST14" s="30"/>
      <c r="HSU14" s="30"/>
      <c r="HSV14" s="30"/>
      <c r="HSW14" s="30"/>
      <c r="HSX14" s="30"/>
      <c r="HSY14" s="30"/>
      <c r="HSZ14" s="30"/>
      <c r="HTA14" s="30"/>
      <c r="HTB14" s="30"/>
      <c r="HTC14" s="30"/>
      <c r="HTD14" s="30"/>
      <c r="HTE14" s="30"/>
      <c r="HTF14" s="30"/>
      <c r="HTG14" s="30"/>
      <c r="HTH14" s="30"/>
      <c r="HTI14" s="30"/>
      <c r="HTJ14" s="30"/>
      <c r="HTK14" s="30"/>
      <c r="HTL14" s="30"/>
      <c r="HTM14" s="30"/>
      <c r="HTN14" s="30"/>
      <c r="HTO14" s="30"/>
      <c r="HTP14" s="30"/>
      <c r="HTQ14" s="30"/>
      <c r="HTR14" s="30"/>
      <c r="HTS14" s="30"/>
      <c r="HTT14" s="30"/>
      <c r="HTU14" s="30"/>
      <c r="HTV14" s="30"/>
      <c r="HTW14" s="30"/>
      <c r="HTX14" s="30"/>
      <c r="HTY14" s="30"/>
      <c r="HTZ14" s="30"/>
      <c r="HUA14" s="30"/>
      <c r="HUB14" s="30"/>
      <c r="HUC14" s="30"/>
      <c r="HUD14" s="30"/>
      <c r="HUE14" s="30"/>
      <c r="HUF14" s="30"/>
      <c r="HUG14" s="30"/>
      <c r="HUH14" s="30"/>
      <c r="HUI14" s="30"/>
      <c r="HUJ14" s="30"/>
      <c r="HUK14" s="30"/>
      <c r="HUL14" s="30"/>
      <c r="HUM14" s="30"/>
      <c r="HUN14" s="30"/>
      <c r="HUO14" s="30"/>
      <c r="HUP14" s="30"/>
      <c r="HUQ14" s="30"/>
      <c r="HUR14" s="30"/>
      <c r="HUS14" s="30"/>
      <c r="HUT14" s="30"/>
      <c r="HUU14" s="30"/>
      <c r="HUV14" s="30"/>
      <c r="HUW14" s="30"/>
      <c r="HUX14" s="30"/>
      <c r="HUY14" s="30"/>
      <c r="HUZ14" s="30"/>
      <c r="HVA14" s="30"/>
      <c r="HVB14" s="30"/>
      <c r="HVC14" s="30"/>
      <c r="HVD14" s="30"/>
      <c r="HVE14" s="30"/>
      <c r="HVF14" s="30"/>
      <c r="HVG14" s="30"/>
      <c r="HVH14" s="30"/>
      <c r="HVI14" s="30"/>
      <c r="HVJ14" s="30"/>
      <c r="HVK14" s="30"/>
      <c r="HVL14" s="30"/>
      <c r="HVM14" s="30"/>
      <c r="HVN14" s="30"/>
      <c r="HVO14" s="30"/>
      <c r="HVP14" s="30"/>
      <c r="HVQ14" s="30"/>
      <c r="HVR14" s="30"/>
      <c r="HVS14" s="30"/>
      <c r="HVT14" s="30"/>
      <c r="HVU14" s="30"/>
      <c r="HVV14" s="30"/>
      <c r="HVW14" s="30"/>
      <c r="HVX14" s="30"/>
      <c r="HVY14" s="30"/>
      <c r="HVZ14" s="30"/>
      <c r="HWA14" s="30"/>
      <c r="HWB14" s="30"/>
      <c r="HWC14" s="30"/>
      <c r="HWD14" s="30"/>
      <c r="HWE14" s="30"/>
      <c r="HWF14" s="30"/>
      <c r="HWG14" s="30"/>
      <c r="HWH14" s="30"/>
      <c r="HWI14" s="30"/>
      <c r="HWJ14" s="30"/>
      <c r="HWK14" s="30"/>
      <c r="HWL14" s="30"/>
      <c r="HWM14" s="30"/>
      <c r="HWN14" s="30"/>
      <c r="HWO14" s="30"/>
      <c r="HWP14" s="30"/>
      <c r="HWQ14" s="30"/>
      <c r="HWR14" s="30"/>
      <c r="HWS14" s="30"/>
      <c r="HWT14" s="30"/>
      <c r="HWU14" s="30"/>
      <c r="HWV14" s="30"/>
      <c r="HWW14" s="30"/>
      <c r="HWX14" s="30"/>
      <c r="HWY14" s="30"/>
      <c r="HWZ14" s="30"/>
      <c r="HXA14" s="30"/>
      <c r="HXB14" s="30"/>
      <c r="HXC14" s="30"/>
      <c r="HXD14" s="30"/>
      <c r="HXE14" s="30"/>
      <c r="HXF14" s="30"/>
      <c r="HXG14" s="30"/>
      <c r="HXH14" s="30"/>
      <c r="HXI14" s="30"/>
      <c r="HXJ14" s="30"/>
      <c r="HXK14" s="30"/>
      <c r="HXL14" s="30"/>
      <c r="HXM14" s="30"/>
      <c r="HXN14" s="30"/>
      <c r="HXO14" s="30"/>
      <c r="HXP14" s="30"/>
      <c r="HXQ14" s="30"/>
      <c r="HXR14" s="30"/>
      <c r="HXS14" s="30"/>
      <c r="HXT14" s="30"/>
      <c r="HXU14" s="30"/>
      <c r="HXV14" s="30"/>
      <c r="HXW14" s="30"/>
      <c r="HXX14" s="30"/>
      <c r="HXY14" s="30"/>
      <c r="HXZ14" s="30"/>
      <c r="HYA14" s="30"/>
      <c r="HYB14" s="30"/>
      <c r="HYC14" s="30"/>
      <c r="HYD14" s="30"/>
      <c r="HYE14" s="30"/>
      <c r="HYF14" s="30"/>
      <c r="HYG14" s="30"/>
      <c r="HYH14" s="30"/>
      <c r="HYI14" s="30"/>
      <c r="HYJ14" s="30"/>
      <c r="HYK14" s="30"/>
      <c r="HYL14" s="30"/>
      <c r="HYM14" s="30"/>
      <c r="HYN14" s="30"/>
      <c r="HYO14" s="30"/>
      <c r="HYP14" s="30"/>
      <c r="HYQ14" s="30"/>
      <c r="HYR14" s="30"/>
      <c r="HYS14" s="30"/>
      <c r="HYT14" s="30"/>
      <c r="HYU14" s="30"/>
      <c r="HYV14" s="30"/>
      <c r="HYW14" s="30"/>
      <c r="HYX14" s="30"/>
      <c r="HYY14" s="30"/>
      <c r="HYZ14" s="30"/>
      <c r="HZA14" s="30"/>
      <c r="HZB14" s="30"/>
      <c r="HZC14" s="30"/>
      <c r="HZD14" s="30"/>
      <c r="HZE14" s="30"/>
      <c r="HZF14" s="30"/>
      <c r="HZG14" s="30"/>
      <c r="HZH14" s="30"/>
      <c r="HZI14" s="30"/>
      <c r="HZJ14" s="30"/>
      <c r="HZK14" s="30"/>
      <c r="HZL14" s="30"/>
      <c r="HZM14" s="30"/>
      <c r="HZN14" s="30"/>
      <c r="HZO14" s="30"/>
      <c r="HZP14" s="30"/>
      <c r="HZQ14" s="30"/>
      <c r="HZR14" s="30"/>
      <c r="HZS14" s="30"/>
      <c r="HZT14" s="30"/>
      <c r="HZU14" s="30"/>
      <c r="HZV14" s="30"/>
      <c r="HZW14" s="30"/>
      <c r="HZX14" s="30"/>
      <c r="HZY14" s="30"/>
      <c r="HZZ14" s="30"/>
      <c r="IAA14" s="30"/>
      <c r="IAB14" s="30"/>
      <c r="IAC14" s="30"/>
      <c r="IAD14" s="30"/>
      <c r="IAE14" s="30"/>
      <c r="IAF14" s="30"/>
      <c r="IAG14" s="30"/>
      <c r="IAH14" s="30"/>
      <c r="IAI14" s="30"/>
      <c r="IAJ14" s="30"/>
      <c r="IAK14" s="30"/>
      <c r="IAL14" s="30"/>
      <c r="IAM14" s="30"/>
      <c r="IAN14" s="30"/>
      <c r="IAO14" s="30"/>
      <c r="IAP14" s="30"/>
      <c r="IAQ14" s="30"/>
      <c r="IAR14" s="30"/>
      <c r="IAS14" s="30"/>
      <c r="IAT14" s="30"/>
      <c r="IAU14" s="30"/>
      <c r="IAV14" s="30"/>
      <c r="IAW14" s="30"/>
      <c r="IAX14" s="30"/>
      <c r="IAY14" s="30"/>
      <c r="IAZ14" s="30"/>
      <c r="IBA14" s="30"/>
      <c r="IBB14" s="30"/>
      <c r="IBC14" s="30"/>
      <c r="IBD14" s="30"/>
      <c r="IBE14" s="30"/>
      <c r="IBF14" s="30"/>
      <c r="IBG14" s="30"/>
      <c r="IBH14" s="30"/>
      <c r="IBI14" s="30"/>
      <c r="IBJ14" s="30"/>
      <c r="IBK14" s="30"/>
      <c r="IBL14" s="30"/>
      <c r="IBM14" s="30"/>
      <c r="IBN14" s="30"/>
      <c r="IBO14" s="30"/>
      <c r="IBP14" s="30"/>
      <c r="IBQ14" s="30"/>
      <c r="IBR14" s="30"/>
      <c r="IBS14" s="30"/>
      <c r="IBT14" s="30"/>
      <c r="IBU14" s="30"/>
      <c r="IBV14" s="30"/>
      <c r="IBW14" s="30"/>
      <c r="IBX14" s="30"/>
      <c r="IBY14" s="30"/>
      <c r="IBZ14" s="30"/>
      <c r="ICA14" s="30"/>
      <c r="ICB14" s="30"/>
      <c r="ICC14" s="30"/>
      <c r="ICD14" s="30"/>
      <c r="ICE14" s="30"/>
      <c r="ICF14" s="30"/>
      <c r="ICG14" s="30"/>
      <c r="ICH14" s="30"/>
      <c r="ICI14" s="30"/>
      <c r="ICJ14" s="30"/>
      <c r="ICK14" s="30"/>
      <c r="ICL14" s="30"/>
      <c r="ICM14" s="30"/>
      <c r="ICN14" s="30"/>
      <c r="ICO14" s="30"/>
      <c r="ICP14" s="30"/>
      <c r="ICQ14" s="30"/>
      <c r="ICR14" s="30"/>
      <c r="ICS14" s="30"/>
      <c r="ICT14" s="30"/>
      <c r="ICU14" s="30"/>
      <c r="ICV14" s="30"/>
      <c r="ICW14" s="30"/>
      <c r="ICX14" s="30"/>
      <c r="ICY14" s="30"/>
      <c r="ICZ14" s="30"/>
      <c r="IDA14" s="30"/>
      <c r="IDB14" s="30"/>
      <c r="IDC14" s="30"/>
      <c r="IDD14" s="30"/>
      <c r="IDE14" s="30"/>
      <c r="IDF14" s="30"/>
      <c r="IDG14" s="30"/>
      <c r="IDH14" s="30"/>
      <c r="IDI14" s="30"/>
      <c r="IDJ14" s="30"/>
      <c r="IDK14" s="30"/>
      <c r="IDL14" s="30"/>
      <c r="IDM14" s="30"/>
      <c r="IDN14" s="30"/>
      <c r="IDO14" s="30"/>
      <c r="IDP14" s="30"/>
      <c r="IDQ14" s="30"/>
      <c r="IDR14" s="30"/>
      <c r="IDS14" s="30"/>
      <c r="IDT14" s="30"/>
      <c r="IDU14" s="30"/>
      <c r="IDV14" s="30"/>
      <c r="IDW14" s="30"/>
      <c r="IDX14" s="30"/>
      <c r="IDY14" s="30"/>
      <c r="IDZ14" s="30"/>
      <c r="IEA14" s="30"/>
      <c r="IEB14" s="30"/>
      <c r="IEC14" s="30"/>
      <c r="IED14" s="30"/>
      <c r="IEE14" s="30"/>
      <c r="IEF14" s="30"/>
      <c r="IEG14" s="30"/>
      <c r="IEH14" s="30"/>
      <c r="IEI14" s="30"/>
      <c r="IEJ14" s="30"/>
      <c r="IEK14" s="30"/>
      <c r="IEL14" s="30"/>
      <c r="IEM14" s="30"/>
      <c r="IEN14" s="30"/>
      <c r="IEO14" s="30"/>
      <c r="IEP14" s="30"/>
      <c r="IEQ14" s="30"/>
      <c r="IER14" s="30"/>
      <c r="IES14" s="30"/>
      <c r="IET14" s="30"/>
      <c r="IEU14" s="30"/>
      <c r="IEV14" s="30"/>
      <c r="IEW14" s="30"/>
      <c r="IEX14" s="30"/>
      <c r="IEY14" s="30"/>
      <c r="IEZ14" s="30"/>
      <c r="IFA14" s="30"/>
      <c r="IFB14" s="30"/>
      <c r="IFC14" s="30"/>
      <c r="IFD14" s="30"/>
      <c r="IFE14" s="30"/>
      <c r="IFF14" s="30"/>
      <c r="IFG14" s="30"/>
      <c r="IFH14" s="30"/>
      <c r="IFI14" s="30"/>
      <c r="IFJ14" s="30"/>
      <c r="IFK14" s="30"/>
      <c r="IFL14" s="30"/>
      <c r="IFM14" s="30"/>
      <c r="IFN14" s="30"/>
      <c r="IFO14" s="30"/>
      <c r="IFP14" s="30"/>
      <c r="IFQ14" s="30"/>
      <c r="IFR14" s="30"/>
      <c r="IFS14" s="30"/>
      <c r="IFT14" s="30"/>
      <c r="IFU14" s="30"/>
      <c r="IFV14" s="30"/>
      <c r="IFW14" s="30"/>
      <c r="IFX14" s="30"/>
      <c r="IFY14" s="30"/>
      <c r="IFZ14" s="30"/>
      <c r="IGA14" s="30"/>
      <c r="IGB14" s="30"/>
      <c r="IGC14" s="30"/>
      <c r="IGD14" s="30"/>
      <c r="IGE14" s="30"/>
      <c r="IGF14" s="30"/>
      <c r="IGG14" s="30"/>
      <c r="IGH14" s="30"/>
      <c r="IGI14" s="30"/>
      <c r="IGJ14" s="30"/>
      <c r="IGK14" s="30"/>
      <c r="IGL14" s="30"/>
      <c r="IGM14" s="30"/>
      <c r="IGN14" s="30"/>
      <c r="IGO14" s="30"/>
      <c r="IGP14" s="30"/>
      <c r="IGQ14" s="30"/>
      <c r="IGR14" s="30"/>
      <c r="IGS14" s="30"/>
      <c r="IGT14" s="30"/>
      <c r="IGU14" s="30"/>
      <c r="IGV14" s="30"/>
      <c r="IGW14" s="30"/>
      <c r="IGX14" s="30"/>
      <c r="IGY14" s="30"/>
      <c r="IGZ14" s="30"/>
      <c r="IHA14" s="30"/>
      <c r="IHB14" s="30"/>
      <c r="IHC14" s="30"/>
      <c r="IHD14" s="30"/>
      <c r="IHE14" s="30"/>
      <c r="IHF14" s="30"/>
      <c r="IHG14" s="30"/>
      <c r="IHH14" s="30"/>
      <c r="IHI14" s="30"/>
      <c r="IHJ14" s="30"/>
      <c r="IHK14" s="30"/>
      <c r="IHL14" s="30"/>
      <c r="IHM14" s="30"/>
      <c r="IHN14" s="30"/>
      <c r="IHO14" s="30"/>
      <c r="IHP14" s="30"/>
      <c r="IHQ14" s="30"/>
      <c r="IHR14" s="30"/>
      <c r="IHS14" s="30"/>
      <c r="IHT14" s="30"/>
      <c r="IHU14" s="30"/>
      <c r="IHV14" s="30"/>
      <c r="IHW14" s="30"/>
      <c r="IHX14" s="30"/>
      <c r="IHY14" s="30"/>
      <c r="IHZ14" s="30"/>
      <c r="IIA14" s="30"/>
      <c r="IIB14" s="30"/>
      <c r="IIC14" s="30"/>
      <c r="IID14" s="30"/>
      <c r="IIE14" s="30"/>
      <c r="IIF14" s="30"/>
      <c r="IIG14" s="30"/>
      <c r="IIH14" s="30"/>
      <c r="III14" s="30"/>
      <c r="IIJ14" s="30"/>
      <c r="IIK14" s="30"/>
      <c r="IIL14" s="30"/>
      <c r="IIM14" s="30"/>
      <c r="IIN14" s="30"/>
      <c r="IIO14" s="30"/>
      <c r="IIP14" s="30"/>
      <c r="IIQ14" s="30"/>
      <c r="IIR14" s="30"/>
      <c r="IIS14" s="30"/>
      <c r="IIT14" s="30"/>
      <c r="IIU14" s="30"/>
      <c r="IIV14" s="30"/>
      <c r="IIW14" s="30"/>
      <c r="IIX14" s="30"/>
      <c r="IIY14" s="30"/>
      <c r="IIZ14" s="30"/>
      <c r="IJA14" s="30"/>
      <c r="IJB14" s="30"/>
      <c r="IJC14" s="30"/>
      <c r="IJD14" s="30"/>
      <c r="IJE14" s="30"/>
      <c r="IJF14" s="30"/>
      <c r="IJG14" s="30"/>
      <c r="IJH14" s="30"/>
      <c r="IJI14" s="30"/>
      <c r="IJJ14" s="30"/>
      <c r="IJK14" s="30"/>
      <c r="IJL14" s="30"/>
      <c r="IJM14" s="30"/>
      <c r="IJN14" s="30"/>
      <c r="IJO14" s="30"/>
      <c r="IJP14" s="30"/>
      <c r="IJQ14" s="30"/>
      <c r="IJR14" s="30"/>
      <c r="IJS14" s="30"/>
      <c r="IJT14" s="30"/>
      <c r="IJU14" s="30"/>
      <c r="IJV14" s="30"/>
      <c r="IJW14" s="30"/>
      <c r="IJX14" s="30"/>
      <c r="IJY14" s="30"/>
      <c r="IJZ14" s="30"/>
      <c r="IKA14" s="30"/>
      <c r="IKB14" s="30"/>
      <c r="IKC14" s="30"/>
      <c r="IKD14" s="30"/>
      <c r="IKE14" s="30"/>
      <c r="IKF14" s="30"/>
      <c r="IKG14" s="30"/>
      <c r="IKH14" s="30"/>
      <c r="IKI14" s="30"/>
      <c r="IKJ14" s="30"/>
      <c r="IKK14" s="30"/>
      <c r="IKL14" s="30"/>
      <c r="IKM14" s="30"/>
      <c r="IKN14" s="30"/>
      <c r="IKO14" s="30"/>
      <c r="IKP14" s="30"/>
      <c r="IKQ14" s="30"/>
      <c r="IKR14" s="30"/>
      <c r="IKS14" s="30"/>
      <c r="IKT14" s="30"/>
      <c r="IKU14" s="30"/>
      <c r="IKV14" s="30"/>
      <c r="IKW14" s="30"/>
      <c r="IKX14" s="30"/>
      <c r="IKY14" s="30"/>
      <c r="IKZ14" s="30"/>
      <c r="ILA14" s="30"/>
      <c r="ILB14" s="30"/>
      <c r="ILC14" s="30"/>
      <c r="ILD14" s="30"/>
      <c r="ILE14" s="30"/>
      <c r="ILF14" s="30"/>
      <c r="ILG14" s="30"/>
      <c r="ILH14" s="30"/>
      <c r="ILI14" s="30"/>
      <c r="ILJ14" s="30"/>
      <c r="ILK14" s="30"/>
      <c r="ILL14" s="30"/>
      <c r="ILM14" s="30"/>
      <c r="ILN14" s="30"/>
      <c r="ILO14" s="30"/>
      <c r="ILP14" s="30"/>
      <c r="ILQ14" s="30"/>
      <c r="ILR14" s="30"/>
      <c r="ILS14" s="30"/>
      <c r="ILT14" s="30"/>
      <c r="ILU14" s="30"/>
      <c r="ILV14" s="30"/>
      <c r="ILW14" s="30"/>
      <c r="ILX14" s="30"/>
      <c r="ILY14" s="30"/>
      <c r="ILZ14" s="30"/>
      <c r="IMA14" s="30"/>
      <c r="IMB14" s="30"/>
      <c r="IMC14" s="30"/>
      <c r="IMD14" s="30"/>
      <c r="IME14" s="30"/>
      <c r="IMF14" s="30"/>
      <c r="IMG14" s="30"/>
      <c r="IMH14" s="30"/>
      <c r="IMI14" s="30"/>
      <c r="IMJ14" s="30"/>
      <c r="IMK14" s="30"/>
      <c r="IML14" s="30"/>
      <c r="IMM14" s="30"/>
      <c r="IMN14" s="30"/>
      <c r="IMO14" s="30"/>
      <c r="IMP14" s="30"/>
      <c r="IMQ14" s="30"/>
      <c r="IMR14" s="30"/>
      <c r="IMS14" s="30"/>
      <c r="IMT14" s="30"/>
      <c r="IMU14" s="30"/>
      <c r="IMV14" s="30"/>
      <c r="IMW14" s="30"/>
      <c r="IMX14" s="30"/>
      <c r="IMY14" s="30"/>
      <c r="IMZ14" s="30"/>
      <c r="INA14" s="30"/>
      <c r="INB14" s="30"/>
      <c r="INC14" s="30"/>
      <c r="IND14" s="30"/>
      <c r="INE14" s="30"/>
      <c r="INF14" s="30"/>
      <c r="ING14" s="30"/>
      <c r="INH14" s="30"/>
      <c r="INI14" s="30"/>
      <c r="INJ14" s="30"/>
      <c r="INK14" s="30"/>
      <c r="INL14" s="30"/>
      <c r="INM14" s="30"/>
      <c r="INN14" s="30"/>
      <c r="INO14" s="30"/>
      <c r="INP14" s="30"/>
      <c r="INQ14" s="30"/>
      <c r="INR14" s="30"/>
      <c r="INS14" s="30"/>
      <c r="INT14" s="30"/>
      <c r="INU14" s="30"/>
      <c r="INV14" s="30"/>
      <c r="INW14" s="30"/>
      <c r="INX14" s="30"/>
      <c r="INY14" s="30"/>
      <c r="INZ14" s="30"/>
      <c r="IOA14" s="30"/>
      <c r="IOB14" s="30"/>
      <c r="IOC14" s="30"/>
      <c r="IOD14" s="30"/>
      <c r="IOE14" s="30"/>
      <c r="IOF14" s="30"/>
      <c r="IOG14" s="30"/>
      <c r="IOH14" s="30"/>
      <c r="IOI14" s="30"/>
      <c r="IOJ14" s="30"/>
      <c r="IOK14" s="30"/>
      <c r="IOL14" s="30"/>
      <c r="IOM14" s="30"/>
      <c r="ION14" s="30"/>
      <c r="IOO14" s="30"/>
      <c r="IOP14" s="30"/>
      <c r="IOQ14" s="30"/>
      <c r="IOR14" s="30"/>
      <c r="IOS14" s="30"/>
      <c r="IOT14" s="30"/>
      <c r="IOU14" s="30"/>
      <c r="IOV14" s="30"/>
      <c r="IOW14" s="30"/>
      <c r="IOX14" s="30"/>
      <c r="IOY14" s="30"/>
      <c r="IOZ14" s="30"/>
      <c r="IPA14" s="30"/>
      <c r="IPB14" s="30"/>
      <c r="IPC14" s="30"/>
      <c r="IPD14" s="30"/>
      <c r="IPE14" s="30"/>
      <c r="IPF14" s="30"/>
      <c r="IPG14" s="30"/>
      <c r="IPH14" s="30"/>
      <c r="IPI14" s="30"/>
      <c r="IPJ14" s="30"/>
      <c r="IPK14" s="30"/>
      <c r="IPL14" s="30"/>
      <c r="IPM14" s="30"/>
      <c r="IPN14" s="30"/>
      <c r="IPO14" s="30"/>
      <c r="IPP14" s="30"/>
      <c r="IPQ14" s="30"/>
      <c r="IPR14" s="30"/>
      <c r="IPS14" s="30"/>
      <c r="IPT14" s="30"/>
      <c r="IPU14" s="30"/>
      <c r="IPV14" s="30"/>
      <c r="IPW14" s="30"/>
      <c r="IPX14" s="30"/>
      <c r="IPY14" s="30"/>
      <c r="IPZ14" s="30"/>
      <c r="IQA14" s="30"/>
      <c r="IQB14" s="30"/>
      <c r="IQC14" s="30"/>
      <c r="IQD14" s="30"/>
      <c r="IQE14" s="30"/>
      <c r="IQF14" s="30"/>
      <c r="IQG14" s="30"/>
      <c r="IQH14" s="30"/>
      <c r="IQI14" s="30"/>
      <c r="IQJ14" s="30"/>
      <c r="IQK14" s="30"/>
      <c r="IQL14" s="30"/>
      <c r="IQM14" s="30"/>
      <c r="IQN14" s="30"/>
      <c r="IQO14" s="30"/>
      <c r="IQP14" s="30"/>
      <c r="IQQ14" s="30"/>
      <c r="IQR14" s="30"/>
      <c r="IQS14" s="30"/>
      <c r="IQT14" s="30"/>
      <c r="IQU14" s="30"/>
      <c r="IQV14" s="30"/>
      <c r="IQW14" s="30"/>
      <c r="IQX14" s="30"/>
      <c r="IQY14" s="30"/>
      <c r="IQZ14" s="30"/>
      <c r="IRA14" s="30"/>
      <c r="IRB14" s="30"/>
      <c r="IRC14" s="30"/>
      <c r="IRD14" s="30"/>
      <c r="IRE14" s="30"/>
      <c r="IRF14" s="30"/>
      <c r="IRG14" s="30"/>
      <c r="IRH14" s="30"/>
      <c r="IRI14" s="30"/>
      <c r="IRJ14" s="30"/>
      <c r="IRK14" s="30"/>
      <c r="IRL14" s="30"/>
      <c r="IRM14" s="30"/>
      <c r="IRN14" s="30"/>
      <c r="IRO14" s="30"/>
      <c r="IRP14" s="30"/>
      <c r="IRQ14" s="30"/>
      <c r="IRR14" s="30"/>
      <c r="IRS14" s="30"/>
      <c r="IRT14" s="30"/>
      <c r="IRU14" s="30"/>
      <c r="IRV14" s="30"/>
      <c r="IRW14" s="30"/>
      <c r="IRX14" s="30"/>
      <c r="IRY14" s="30"/>
      <c r="IRZ14" s="30"/>
      <c r="ISA14" s="30"/>
      <c r="ISB14" s="30"/>
      <c r="ISC14" s="30"/>
      <c r="ISD14" s="30"/>
      <c r="ISE14" s="30"/>
      <c r="ISF14" s="30"/>
      <c r="ISG14" s="30"/>
      <c r="ISH14" s="30"/>
      <c r="ISI14" s="30"/>
      <c r="ISJ14" s="30"/>
      <c r="ISK14" s="30"/>
      <c r="ISL14" s="30"/>
      <c r="ISM14" s="30"/>
      <c r="ISN14" s="30"/>
      <c r="ISO14" s="30"/>
      <c r="ISP14" s="30"/>
      <c r="ISQ14" s="30"/>
      <c r="ISR14" s="30"/>
      <c r="ISS14" s="30"/>
      <c r="IST14" s="30"/>
      <c r="ISU14" s="30"/>
      <c r="ISV14" s="30"/>
      <c r="ISW14" s="30"/>
      <c r="ISX14" s="30"/>
      <c r="ISY14" s="30"/>
      <c r="ISZ14" s="30"/>
      <c r="ITA14" s="30"/>
      <c r="ITB14" s="30"/>
      <c r="ITC14" s="30"/>
      <c r="ITD14" s="30"/>
      <c r="ITE14" s="30"/>
      <c r="ITF14" s="30"/>
      <c r="ITG14" s="30"/>
      <c r="ITH14" s="30"/>
      <c r="ITI14" s="30"/>
      <c r="ITJ14" s="30"/>
      <c r="ITK14" s="30"/>
      <c r="ITL14" s="30"/>
      <c r="ITM14" s="30"/>
      <c r="ITN14" s="30"/>
      <c r="ITO14" s="30"/>
      <c r="ITP14" s="30"/>
      <c r="ITQ14" s="30"/>
      <c r="ITR14" s="30"/>
      <c r="ITS14" s="30"/>
      <c r="ITT14" s="30"/>
      <c r="ITU14" s="30"/>
      <c r="ITV14" s="30"/>
      <c r="ITW14" s="30"/>
      <c r="ITX14" s="30"/>
      <c r="ITY14" s="30"/>
      <c r="ITZ14" s="30"/>
      <c r="IUA14" s="30"/>
      <c r="IUB14" s="30"/>
      <c r="IUC14" s="30"/>
      <c r="IUD14" s="30"/>
      <c r="IUE14" s="30"/>
      <c r="IUF14" s="30"/>
      <c r="IUG14" s="30"/>
      <c r="IUH14" s="30"/>
      <c r="IUI14" s="30"/>
      <c r="IUJ14" s="30"/>
      <c r="IUK14" s="30"/>
      <c r="IUL14" s="30"/>
      <c r="IUM14" s="30"/>
      <c r="IUN14" s="30"/>
      <c r="IUO14" s="30"/>
      <c r="IUP14" s="30"/>
      <c r="IUQ14" s="30"/>
      <c r="IUR14" s="30"/>
      <c r="IUS14" s="30"/>
      <c r="IUT14" s="30"/>
      <c r="IUU14" s="30"/>
      <c r="IUV14" s="30"/>
      <c r="IUW14" s="30"/>
      <c r="IUX14" s="30"/>
      <c r="IUY14" s="30"/>
      <c r="IUZ14" s="30"/>
      <c r="IVA14" s="30"/>
      <c r="IVB14" s="30"/>
      <c r="IVC14" s="30"/>
      <c r="IVD14" s="30"/>
      <c r="IVE14" s="30"/>
      <c r="IVF14" s="30"/>
      <c r="IVG14" s="30"/>
      <c r="IVH14" s="30"/>
      <c r="IVI14" s="30"/>
      <c r="IVJ14" s="30"/>
      <c r="IVK14" s="30"/>
      <c r="IVL14" s="30"/>
      <c r="IVM14" s="30"/>
      <c r="IVN14" s="30"/>
      <c r="IVO14" s="30"/>
      <c r="IVP14" s="30"/>
      <c r="IVQ14" s="30"/>
      <c r="IVR14" s="30"/>
      <c r="IVS14" s="30"/>
      <c r="IVT14" s="30"/>
      <c r="IVU14" s="30"/>
      <c r="IVV14" s="30"/>
      <c r="IVW14" s="30"/>
      <c r="IVX14" s="30"/>
      <c r="IVY14" s="30"/>
      <c r="IVZ14" s="30"/>
      <c r="IWA14" s="30"/>
      <c r="IWB14" s="30"/>
      <c r="IWC14" s="30"/>
      <c r="IWD14" s="30"/>
      <c r="IWE14" s="30"/>
      <c r="IWF14" s="30"/>
      <c r="IWG14" s="30"/>
      <c r="IWH14" s="30"/>
      <c r="IWI14" s="30"/>
      <c r="IWJ14" s="30"/>
      <c r="IWK14" s="30"/>
      <c r="IWL14" s="30"/>
      <c r="IWM14" s="30"/>
      <c r="IWN14" s="30"/>
      <c r="IWO14" s="30"/>
      <c r="IWP14" s="30"/>
      <c r="IWQ14" s="30"/>
      <c r="IWR14" s="30"/>
      <c r="IWS14" s="30"/>
      <c r="IWT14" s="30"/>
      <c r="IWU14" s="30"/>
      <c r="IWV14" s="30"/>
      <c r="IWW14" s="30"/>
      <c r="IWX14" s="30"/>
      <c r="IWY14" s="30"/>
      <c r="IWZ14" s="30"/>
      <c r="IXA14" s="30"/>
      <c r="IXB14" s="30"/>
      <c r="IXC14" s="30"/>
      <c r="IXD14" s="30"/>
      <c r="IXE14" s="30"/>
      <c r="IXF14" s="30"/>
      <c r="IXG14" s="30"/>
      <c r="IXH14" s="30"/>
      <c r="IXI14" s="30"/>
      <c r="IXJ14" s="30"/>
      <c r="IXK14" s="30"/>
      <c r="IXL14" s="30"/>
      <c r="IXM14" s="30"/>
      <c r="IXN14" s="30"/>
      <c r="IXO14" s="30"/>
      <c r="IXP14" s="30"/>
      <c r="IXQ14" s="30"/>
      <c r="IXR14" s="30"/>
      <c r="IXS14" s="30"/>
      <c r="IXT14" s="30"/>
      <c r="IXU14" s="30"/>
      <c r="IXV14" s="30"/>
      <c r="IXW14" s="30"/>
      <c r="IXX14" s="30"/>
      <c r="IXY14" s="30"/>
      <c r="IXZ14" s="30"/>
      <c r="IYA14" s="30"/>
      <c r="IYB14" s="30"/>
      <c r="IYC14" s="30"/>
      <c r="IYD14" s="30"/>
      <c r="IYE14" s="30"/>
      <c r="IYF14" s="30"/>
      <c r="IYG14" s="30"/>
      <c r="IYH14" s="30"/>
      <c r="IYI14" s="30"/>
      <c r="IYJ14" s="30"/>
      <c r="IYK14" s="30"/>
      <c r="IYL14" s="30"/>
      <c r="IYM14" s="30"/>
      <c r="IYN14" s="30"/>
      <c r="IYO14" s="30"/>
      <c r="IYP14" s="30"/>
      <c r="IYQ14" s="30"/>
      <c r="IYR14" s="30"/>
      <c r="IYS14" s="30"/>
      <c r="IYT14" s="30"/>
      <c r="IYU14" s="30"/>
      <c r="IYV14" s="30"/>
      <c r="IYW14" s="30"/>
      <c r="IYX14" s="30"/>
      <c r="IYY14" s="30"/>
      <c r="IYZ14" s="30"/>
      <c r="IZA14" s="30"/>
      <c r="IZB14" s="30"/>
      <c r="IZC14" s="30"/>
      <c r="IZD14" s="30"/>
      <c r="IZE14" s="30"/>
      <c r="IZF14" s="30"/>
      <c r="IZG14" s="30"/>
      <c r="IZH14" s="30"/>
      <c r="IZI14" s="30"/>
      <c r="IZJ14" s="30"/>
      <c r="IZK14" s="30"/>
      <c r="IZL14" s="30"/>
      <c r="IZM14" s="30"/>
      <c r="IZN14" s="30"/>
      <c r="IZO14" s="30"/>
      <c r="IZP14" s="30"/>
      <c r="IZQ14" s="30"/>
      <c r="IZR14" s="30"/>
      <c r="IZS14" s="30"/>
      <c r="IZT14" s="30"/>
      <c r="IZU14" s="30"/>
      <c r="IZV14" s="30"/>
      <c r="IZW14" s="30"/>
      <c r="IZX14" s="30"/>
      <c r="IZY14" s="30"/>
      <c r="IZZ14" s="30"/>
      <c r="JAA14" s="30"/>
      <c r="JAB14" s="30"/>
      <c r="JAC14" s="30"/>
      <c r="JAD14" s="30"/>
      <c r="JAE14" s="30"/>
      <c r="JAF14" s="30"/>
      <c r="JAG14" s="30"/>
      <c r="JAH14" s="30"/>
      <c r="JAI14" s="30"/>
      <c r="JAJ14" s="30"/>
      <c r="JAK14" s="30"/>
      <c r="JAL14" s="30"/>
      <c r="JAM14" s="30"/>
      <c r="JAN14" s="30"/>
      <c r="JAO14" s="30"/>
      <c r="JAP14" s="30"/>
      <c r="JAQ14" s="30"/>
      <c r="JAR14" s="30"/>
      <c r="JAS14" s="30"/>
      <c r="JAT14" s="30"/>
      <c r="JAU14" s="30"/>
      <c r="JAV14" s="30"/>
      <c r="JAW14" s="30"/>
      <c r="JAX14" s="30"/>
      <c r="JAY14" s="30"/>
      <c r="JAZ14" s="30"/>
      <c r="JBA14" s="30"/>
      <c r="JBB14" s="30"/>
      <c r="JBC14" s="30"/>
      <c r="JBD14" s="30"/>
      <c r="JBE14" s="30"/>
      <c r="JBF14" s="30"/>
      <c r="JBG14" s="30"/>
      <c r="JBH14" s="30"/>
      <c r="JBI14" s="30"/>
      <c r="JBJ14" s="30"/>
      <c r="JBK14" s="30"/>
      <c r="JBL14" s="30"/>
      <c r="JBM14" s="30"/>
      <c r="JBN14" s="30"/>
      <c r="JBO14" s="30"/>
      <c r="JBP14" s="30"/>
      <c r="JBQ14" s="30"/>
      <c r="JBR14" s="30"/>
      <c r="JBS14" s="30"/>
      <c r="JBT14" s="30"/>
      <c r="JBU14" s="30"/>
      <c r="JBV14" s="30"/>
      <c r="JBW14" s="30"/>
      <c r="JBX14" s="30"/>
      <c r="JBY14" s="30"/>
      <c r="JBZ14" s="30"/>
      <c r="JCA14" s="30"/>
      <c r="JCB14" s="30"/>
      <c r="JCC14" s="30"/>
      <c r="JCD14" s="30"/>
      <c r="JCE14" s="30"/>
      <c r="JCF14" s="30"/>
      <c r="JCG14" s="30"/>
      <c r="JCH14" s="30"/>
      <c r="JCI14" s="30"/>
      <c r="JCJ14" s="30"/>
      <c r="JCK14" s="30"/>
      <c r="JCL14" s="30"/>
      <c r="JCM14" s="30"/>
      <c r="JCN14" s="30"/>
      <c r="JCO14" s="30"/>
      <c r="JCP14" s="30"/>
      <c r="JCQ14" s="30"/>
      <c r="JCR14" s="30"/>
      <c r="JCS14" s="30"/>
      <c r="JCT14" s="30"/>
      <c r="JCU14" s="30"/>
      <c r="JCV14" s="30"/>
      <c r="JCW14" s="30"/>
      <c r="JCX14" s="30"/>
      <c r="JCY14" s="30"/>
      <c r="JCZ14" s="30"/>
      <c r="JDA14" s="30"/>
      <c r="JDB14" s="30"/>
      <c r="JDC14" s="30"/>
      <c r="JDD14" s="30"/>
      <c r="JDE14" s="30"/>
      <c r="JDF14" s="30"/>
      <c r="JDG14" s="30"/>
      <c r="JDH14" s="30"/>
      <c r="JDI14" s="30"/>
      <c r="JDJ14" s="30"/>
      <c r="JDK14" s="30"/>
      <c r="JDL14" s="30"/>
      <c r="JDM14" s="30"/>
      <c r="JDN14" s="30"/>
      <c r="JDO14" s="30"/>
      <c r="JDP14" s="30"/>
      <c r="JDQ14" s="30"/>
      <c r="JDR14" s="30"/>
      <c r="JDS14" s="30"/>
      <c r="JDT14" s="30"/>
      <c r="JDU14" s="30"/>
      <c r="JDV14" s="30"/>
      <c r="JDW14" s="30"/>
      <c r="JDX14" s="30"/>
      <c r="JDY14" s="30"/>
      <c r="JDZ14" s="30"/>
      <c r="JEA14" s="30"/>
      <c r="JEB14" s="30"/>
      <c r="JEC14" s="30"/>
      <c r="JED14" s="30"/>
      <c r="JEE14" s="30"/>
      <c r="JEF14" s="30"/>
      <c r="JEG14" s="30"/>
      <c r="JEH14" s="30"/>
      <c r="JEI14" s="30"/>
      <c r="JEJ14" s="30"/>
      <c r="JEK14" s="30"/>
      <c r="JEL14" s="30"/>
      <c r="JEM14" s="30"/>
      <c r="JEN14" s="30"/>
      <c r="JEO14" s="30"/>
      <c r="JEP14" s="30"/>
      <c r="JEQ14" s="30"/>
      <c r="JER14" s="30"/>
      <c r="JES14" s="30"/>
      <c r="JET14" s="30"/>
      <c r="JEU14" s="30"/>
      <c r="JEV14" s="30"/>
      <c r="JEW14" s="30"/>
      <c r="JEX14" s="30"/>
      <c r="JEY14" s="30"/>
      <c r="JEZ14" s="30"/>
      <c r="JFA14" s="30"/>
      <c r="JFB14" s="30"/>
      <c r="JFC14" s="30"/>
      <c r="JFD14" s="30"/>
      <c r="JFE14" s="30"/>
      <c r="JFF14" s="30"/>
      <c r="JFG14" s="30"/>
      <c r="JFH14" s="30"/>
      <c r="JFI14" s="30"/>
      <c r="JFJ14" s="30"/>
      <c r="JFK14" s="30"/>
      <c r="JFL14" s="30"/>
      <c r="JFM14" s="30"/>
      <c r="JFN14" s="30"/>
      <c r="JFO14" s="30"/>
      <c r="JFP14" s="30"/>
      <c r="JFQ14" s="30"/>
      <c r="JFR14" s="30"/>
      <c r="JFS14" s="30"/>
      <c r="JFT14" s="30"/>
      <c r="JFU14" s="30"/>
      <c r="JFV14" s="30"/>
      <c r="JFW14" s="30"/>
      <c r="JFX14" s="30"/>
      <c r="JFY14" s="30"/>
      <c r="JFZ14" s="30"/>
      <c r="JGA14" s="30"/>
      <c r="JGB14" s="30"/>
      <c r="JGC14" s="30"/>
      <c r="JGD14" s="30"/>
      <c r="JGE14" s="30"/>
      <c r="JGF14" s="30"/>
      <c r="JGG14" s="30"/>
      <c r="JGH14" s="30"/>
      <c r="JGI14" s="30"/>
      <c r="JGJ14" s="30"/>
      <c r="JGK14" s="30"/>
      <c r="JGL14" s="30"/>
      <c r="JGM14" s="30"/>
      <c r="JGN14" s="30"/>
      <c r="JGO14" s="30"/>
      <c r="JGP14" s="30"/>
      <c r="JGQ14" s="30"/>
      <c r="JGR14" s="30"/>
      <c r="JGS14" s="30"/>
      <c r="JGT14" s="30"/>
      <c r="JGU14" s="30"/>
      <c r="JGV14" s="30"/>
      <c r="JGW14" s="30"/>
      <c r="JGX14" s="30"/>
      <c r="JGY14" s="30"/>
      <c r="JGZ14" s="30"/>
      <c r="JHA14" s="30"/>
      <c r="JHB14" s="30"/>
      <c r="JHC14" s="30"/>
      <c r="JHD14" s="30"/>
      <c r="JHE14" s="30"/>
      <c r="JHF14" s="30"/>
      <c r="JHG14" s="30"/>
      <c r="JHH14" s="30"/>
      <c r="JHI14" s="30"/>
      <c r="JHJ14" s="30"/>
      <c r="JHK14" s="30"/>
      <c r="JHL14" s="30"/>
      <c r="JHM14" s="30"/>
      <c r="JHN14" s="30"/>
      <c r="JHO14" s="30"/>
      <c r="JHP14" s="30"/>
      <c r="JHQ14" s="30"/>
      <c r="JHR14" s="30"/>
      <c r="JHS14" s="30"/>
      <c r="JHT14" s="30"/>
      <c r="JHU14" s="30"/>
      <c r="JHV14" s="30"/>
      <c r="JHW14" s="30"/>
      <c r="JHX14" s="30"/>
      <c r="JHY14" s="30"/>
      <c r="JHZ14" s="30"/>
      <c r="JIA14" s="30"/>
      <c r="JIB14" s="30"/>
      <c r="JIC14" s="30"/>
      <c r="JID14" s="30"/>
      <c r="JIE14" s="30"/>
      <c r="JIF14" s="30"/>
      <c r="JIG14" s="30"/>
      <c r="JIH14" s="30"/>
      <c r="JII14" s="30"/>
      <c r="JIJ14" s="30"/>
      <c r="JIK14" s="30"/>
      <c r="JIL14" s="30"/>
      <c r="JIM14" s="30"/>
      <c r="JIN14" s="30"/>
      <c r="JIO14" s="30"/>
      <c r="JIP14" s="30"/>
      <c r="JIQ14" s="30"/>
      <c r="JIR14" s="30"/>
      <c r="JIS14" s="30"/>
      <c r="JIT14" s="30"/>
      <c r="JIU14" s="30"/>
      <c r="JIV14" s="30"/>
      <c r="JIW14" s="30"/>
      <c r="JIX14" s="30"/>
      <c r="JIY14" s="30"/>
      <c r="JIZ14" s="30"/>
      <c r="JJA14" s="30"/>
      <c r="JJB14" s="30"/>
      <c r="JJC14" s="30"/>
      <c r="JJD14" s="30"/>
      <c r="JJE14" s="30"/>
      <c r="JJF14" s="30"/>
      <c r="JJG14" s="30"/>
      <c r="JJH14" s="30"/>
      <c r="JJI14" s="30"/>
      <c r="JJJ14" s="30"/>
      <c r="JJK14" s="30"/>
      <c r="JJL14" s="30"/>
      <c r="JJM14" s="30"/>
      <c r="JJN14" s="30"/>
      <c r="JJO14" s="30"/>
      <c r="JJP14" s="30"/>
      <c r="JJQ14" s="30"/>
      <c r="JJR14" s="30"/>
      <c r="JJS14" s="30"/>
      <c r="JJT14" s="30"/>
      <c r="JJU14" s="30"/>
      <c r="JJV14" s="30"/>
      <c r="JJW14" s="30"/>
      <c r="JJX14" s="30"/>
      <c r="JJY14" s="30"/>
      <c r="JJZ14" s="30"/>
      <c r="JKA14" s="30"/>
      <c r="JKB14" s="30"/>
      <c r="JKC14" s="30"/>
      <c r="JKD14" s="30"/>
      <c r="JKE14" s="30"/>
      <c r="JKF14" s="30"/>
      <c r="JKG14" s="30"/>
      <c r="JKH14" s="30"/>
      <c r="JKI14" s="30"/>
      <c r="JKJ14" s="30"/>
      <c r="JKK14" s="30"/>
      <c r="JKL14" s="30"/>
      <c r="JKM14" s="30"/>
      <c r="JKN14" s="30"/>
      <c r="JKO14" s="30"/>
      <c r="JKP14" s="30"/>
      <c r="JKQ14" s="30"/>
      <c r="JKR14" s="30"/>
      <c r="JKS14" s="30"/>
      <c r="JKT14" s="30"/>
      <c r="JKU14" s="30"/>
      <c r="JKV14" s="30"/>
      <c r="JKW14" s="30"/>
      <c r="JKX14" s="30"/>
      <c r="JKY14" s="30"/>
      <c r="JKZ14" s="30"/>
      <c r="JLA14" s="30"/>
      <c r="JLB14" s="30"/>
      <c r="JLC14" s="30"/>
      <c r="JLD14" s="30"/>
      <c r="JLE14" s="30"/>
      <c r="JLF14" s="30"/>
      <c r="JLG14" s="30"/>
      <c r="JLH14" s="30"/>
      <c r="JLI14" s="30"/>
      <c r="JLJ14" s="30"/>
      <c r="JLK14" s="30"/>
      <c r="JLL14" s="30"/>
      <c r="JLM14" s="30"/>
      <c r="JLN14" s="30"/>
      <c r="JLO14" s="30"/>
      <c r="JLP14" s="30"/>
      <c r="JLQ14" s="30"/>
      <c r="JLR14" s="30"/>
      <c r="JLS14" s="30"/>
      <c r="JLT14" s="30"/>
      <c r="JLU14" s="30"/>
      <c r="JLV14" s="30"/>
      <c r="JLW14" s="30"/>
      <c r="JLX14" s="30"/>
      <c r="JLY14" s="30"/>
      <c r="JLZ14" s="30"/>
      <c r="JMA14" s="30"/>
      <c r="JMB14" s="30"/>
      <c r="JMC14" s="30"/>
      <c r="JMD14" s="30"/>
      <c r="JME14" s="30"/>
      <c r="JMF14" s="30"/>
      <c r="JMG14" s="30"/>
      <c r="JMH14" s="30"/>
      <c r="JMI14" s="30"/>
      <c r="JMJ14" s="30"/>
      <c r="JMK14" s="30"/>
      <c r="JML14" s="30"/>
      <c r="JMM14" s="30"/>
      <c r="JMN14" s="30"/>
      <c r="JMO14" s="30"/>
      <c r="JMP14" s="30"/>
      <c r="JMQ14" s="30"/>
      <c r="JMR14" s="30"/>
      <c r="JMS14" s="30"/>
      <c r="JMT14" s="30"/>
      <c r="JMU14" s="30"/>
      <c r="JMV14" s="30"/>
      <c r="JMW14" s="30"/>
      <c r="JMX14" s="30"/>
      <c r="JMY14" s="30"/>
      <c r="JMZ14" s="30"/>
      <c r="JNA14" s="30"/>
      <c r="JNB14" s="30"/>
      <c r="JNC14" s="30"/>
      <c r="JND14" s="30"/>
      <c r="JNE14" s="30"/>
      <c r="JNF14" s="30"/>
      <c r="JNG14" s="30"/>
      <c r="JNH14" s="30"/>
      <c r="JNI14" s="30"/>
      <c r="JNJ14" s="30"/>
      <c r="JNK14" s="30"/>
      <c r="JNL14" s="30"/>
      <c r="JNM14" s="30"/>
      <c r="JNN14" s="30"/>
      <c r="JNO14" s="30"/>
      <c r="JNP14" s="30"/>
      <c r="JNQ14" s="30"/>
      <c r="JNR14" s="30"/>
      <c r="JNS14" s="30"/>
      <c r="JNT14" s="30"/>
      <c r="JNU14" s="30"/>
      <c r="JNV14" s="30"/>
      <c r="JNW14" s="30"/>
      <c r="JNX14" s="30"/>
      <c r="JNY14" s="30"/>
      <c r="JNZ14" s="30"/>
      <c r="JOA14" s="30"/>
      <c r="JOB14" s="30"/>
      <c r="JOC14" s="30"/>
      <c r="JOD14" s="30"/>
      <c r="JOE14" s="30"/>
      <c r="JOF14" s="30"/>
      <c r="JOG14" s="30"/>
      <c r="JOH14" s="30"/>
      <c r="JOI14" s="30"/>
      <c r="JOJ14" s="30"/>
      <c r="JOK14" s="30"/>
      <c r="JOL14" s="30"/>
      <c r="JOM14" s="30"/>
      <c r="JON14" s="30"/>
      <c r="JOO14" s="30"/>
      <c r="JOP14" s="30"/>
      <c r="JOQ14" s="30"/>
      <c r="JOR14" s="30"/>
      <c r="JOS14" s="30"/>
      <c r="JOT14" s="30"/>
      <c r="JOU14" s="30"/>
      <c r="JOV14" s="30"/>
      <c r="JOW14" s="30"/>
      <c r="JOX14" s="30"/>
      <c r="JOY14" s="30"/>
      <c r="JOZ14" s="30"/>
      <c r="JPA14" s="30"/>
      <c r="JPB14" s="30"/>
      <c r="JPC14" s="30"/>
      <c r="JPD14" s="30"/>
      <c r="JPE14" s="30"/>
      <c r="JPF14" s="30"/>
      <c r="JPG14" s="30"/>
      <c r="JPH14" s="30"/>
      <c r="JPI14" s="30"/>
      <c r="JPJ14" s="30"/>
      <c r="JPK14" s="30"/>
      <c r="JPL14" s="30"/>
      <c r="JPM14" s="30"/>
      <c r="JPN14" s="30"/>
      <c r="JPO14" s="30"/>
      <c r="JPP14" s="30"/>
      <c r="JPQ14" s="30"/>
      <c r="JPR14" s="30"/>
      <c r="JPS14" s="30"/>
      <c r="JPT14" s="30"/>
      <c r="JPU14" s="30"/>
      <c r="JPV14" s="30"/>
      <c r="JPW14" s="30"/>
      <c r="JPX14" s="30"/>
      <c r="JPY14" s="30"/>
      <c r="JPZ14" s="30"/>
      <c r="JQA14" s="30"/>
      <c r="JQB14" s="30"/>
      <c r="JQC14" s="30"/>
      <c r="JQD14" s="30"/>
      <c r="JQE14" s="30"/>
      <c r="JQF14" s="30"/>
      <c r="JQG14" s="30"/>
      <c r="JQH14" s="30"/>
      <c r="JQI14" s="30"/>
      <c r="JQJ14" s="30"/>
      <c r="JQK14" s="30"/>
      <c r="JQL14" s="30"/>
      <c r="JQM14" s="30"/>
      <c r="JQN14" s="30"/>
      <c r="JQO14" s="30"/>
      <c r="JQP14" s="30"/>
      <c r="JQQ14" s="30"/>
      <c r="JQR14" s="30"/>
      <c r="JQS14" s="30"/>
      <c r="JQT14" s="30"/>
      <c r="JQU14" s="30"/>
      <c r="JQV14" s="30"/>
      <c r="JQW14" s="30"/>
      <c r="JQX14" s="30"/>
      <c r="JQY14" s="30"/>
      <c r="JQZ14" s="30"/>
      <c r="JRA14" s="30"/>
      <c r="JRB14" s="30"/>
      <c r="JRC14" s="30"/>
      <c r="JRD14" s="30"/>
      <c r="JRE14" s="30"/>
      <c r="JRF14" s="30"/>
      <c r="JRG14" s="30"/>
      <c r="JRH14" s="30"/>
      <c r="JRI14" s="30"/>
      <c r="JRJ14" s="30"/>
      <c r="JRK14" s="30"/>
      <c r="JRL14" s="30"/>
      <c r="JRM14" s="30"/>
      <c r="JRN14" s="30"/>
      <c r="JRO14" s="30"/>
      <c r="JRP14" s="30"/>
      <c r="JRQ14" s="30"/>
      <c r="JRR14" s="30"/>
      <c r="JRS14" s="30"/>
      <c r="JRT14" s="30"/>
      <c r="JRU14" s="30"/>
      <c r="JRV14" s="30"/>
      <c r="JRW14" s="30"/>
      <c r="JRX14" s="30"/>
      <c r="JRY14" s="30"/>
      <c r="JRZ14" s="30"/>
      <c r="JSA14" s="30"/>
      <c r="JSB14" s="30"/>
      <c r="JSC14" s="30"/>
      <c r="JSD14" s="30"/>
      <c r="JSE14" s="30"/>
      <c r="JSF14" s="30"/>
      <c r="JSG14" s="30"/>
      <c r="JSH14" s="30"/>
      <c r="JSI14" s="30"/>
      <c r="JSJ14" s="30"/>
      <c r="JSK14" s="30"/>
      <c r="JSL14" s="30"/>
      <c r="JSM14" s="30"/>
      <c r="JSN14" s="30"/>
      <c r="JSO14" s="30"/>
      <c r="JSP14" s="30"/>
      <c r="JSQ14" s="30"/>
      <c r="JSR14" s="30"/>
      <c r="JSS14" s="30"/>
      <c r="JST14" s="30"/>
      <c r="JSU14" s="30"/>
      <c r="JSV14" s="30"/>
      <c r="JSW14" s="30"/>
      <c r="JSX14" s="30"/>
      <c r="JSY14" s="30"/>
      <c r="JSZ14" s="30"/>
      <c r="JTA14" s="30"/>
      <c r="JTB14" s="30"/>
      <c r="JTC14" s="30"/>
      <c r="JTD14" s="30"/>
      <c r="JTE14" s="30"/>
      <c r="JTF14" s="30"/>
      <c r="JTG14" s="30"/>
      <c r="JTH14" s="30"/>
      <c r="JTI14" s="30"/>
      <c r="JTJ14" s="30"/>
      <c r="JTK14" s="30"/>
      <c r="JTL14" s="30"/>
      <c r="JTM14" s="30"/>
      <c r="JTN14" s="30"/>
      <c r="JTO14" s="30"/>
      <c r="JTP14" s="30"/>
      <c r="JTQ14" s="30"/>
      <c r="JTR14" s="30"/>
      <c r="JTS14" s="30"/>
      <c r="JTT14" s="30"/>
      <c r="JTU14" s="30"/>
      <c r="JTV14" s="30"/>
      <c r="JTW14" s="30"/>
      <c r="JTX14" s="30"/>
      <c r="JTY14" s="30"/>
      <c r="JTZ14" s="30"/>
      <c r="JUA14" s="30"/>
      <c r="JUB14" s="30"/>
      <c r="JUC14" s="30"/>
      <c r="JUD14" s="30"/>
      <c r="JUE14" s="30"/>
      <c r="JUF14" s="30"/>
      <c r="JUG14" s="30"/>
      <c r="JUH14" s="30"/>
      <c r="JUI14" s="30"/>
      <c r="JUJ14" s="30"/>
      <c r="JUK14" s="30"/>
      <c r="JUL14" s="30"/>
      <c r="JUM14" s="30"/>
      <c r="JUN14" s="30"/>
      <c r="JUO14" s="30"/>
      <c r="JUP14" s="30"/>
      <c r="JUQ14" s="30"/>
      <c r="JUR14" s="30"/>
      <c r="JUS14" s="30"/>
      <c r="JUT14" s="30"/>
      <c r="JUU14" s="30"/>
      <c r="JUV14" s="30"/>
      <c r="JUW14" s="30"/>
      <c r="JUX14" s="30"/>
      <c r="JUY14" s="30"/>
      <c r="JUZ14" s="30"/>
      <c r="JVA14" s="30"/>
      <c r="JVB14" s="30"/>
      <c r="JVC14" s="30"/>
      <c r="JVD14" s="30"/>
      <c r="JVE14" s="30"/>
      <c r="JVF14" s="30"/>
      <c r="JVG14" s="30"/>
      <c r="JVH14" s="30"/>
      <c r="JVI14" s="30"/>
      <c r="JVJ14" s="30"/>
      <c r="JVK14" s="30"/>
      <c r="JVL14" s="30"/>
      <c r="JVM14" s="30"/>
      <c r="JVN14" s="30"/>
      <c r="JVO14" s="30"/>
      <c r="JVP14" s="30"/>
      <c r="JVQ14" s="30"/>
      <c r="JVR14" s="30"/>
      <c r="JVS14" s="30"/>
      <c r="JVT14" s="30"/>
      <c r="JVU14" s="30"/>
      <c r="JVV14" s="30"/>
      <c r="JVW14" s="30"/>
      <c r="JVX14" s="30"/>
      <c r="JVY14" s="30"/>
      <c r="JVZ14" s="30"/>
      <c r="JWA14" s="30"/>
      <c r="JWB14" s="30"/>
      <c r="JWC14" s="30"/>
      <c r="JWD14" s="30"/>
      <c r="JWE14" s="30"/>
      <c r="JWF14" s="30"/>
      <c r="JWG14" s="30"/>
      <c r="JWH14" s="30"/>
      <c r="JWI14" s="30"/>
      <c r="JWJ14" s="30"/>
      <c r="JWK14" s="30"/>
      <c r="JWL14" s="30"/>
      <c r="JWM14" s="30"/>
      <c r="JWN14" s="30"/>
      <c r="JWO14" s="30"/>
      <c r="JWP14" s="30"/>
      <c r="JWQ14" s="30"/>
      <c r="JWR14" s="30"/>
      <c r="JWS14" s="30"/>
      <c r="JWT14" s="30"/>
      <c r="JWU14" s="30"/>
      <c r="JWV14" s="30"/>
      <c r="JWW14" s="30"/>
      <c r="JWX14" s="30"/>
      <c r="JWY14" s="30"/>
      <c r="JWZ14" s="30"/>
      <c r="JXA14" s="30"/>
      <c r="JXB14" s="30"/>
      <c r="JXC14" s="30"/>
      <c r="JXD14" s="30"/>
      <c r="JXE14" s="30"/>
      <c r="JXF14" s="30"/>
      <c r="JXG14" s="30"/>
      <c r="JXH14" s="30"/>
      <c r="JXI14" s="30"/>
      <c r="JXJ14" s="30"/>
      <c r="JXK14" s="30"/>
      <c r="JXL14" s="30"/>
      <c r="JXM14" s="30"/>
      <c r="JXN14" s="30"/>
      <c r="JXO14" s="30"/>
      <c r="JXP14" s="30"/>
      <c r="JXQ14" s="30"/>
      <c r="JXR14" s="30"/>
      <c r="JXS14" s="30"/>
      <c r="JXT14" s="30"/>
      <c r="JXU14" s="30"/>
      <c r="JXV14" s="30"/>
      <c r="JXW14" s="30"/>
      <c r="JXX14" s="30"/>
      <c r="JXY14" s="30"/>
      <c r="JXZ14" s="30"/>
      <c r="JYA14" s="30"/>
      <c r="JYB14" s="30"/>
      <c r="JYC14" s="30"/>
      <c r="JYD14" s="30"/>
      <c r="JYE14" s="30"/>
      <c r="JYF14" s="30"/>
      <c r="JYG14" s="30"/>
      <c r="JYH14" s="30"/>
      <c r="JYI14" s="30"/>
      <c r="JYJ14" s="30"/>
      <c r="JYK14" s="30"/>
      <c r="JYL14" s="30"/>
      <c r="JYM14" s="30"/>
      <c r="JYN14" s="30"/>
      <c r="JYO14" s="30"/>
      <c r="JYP14" s="30"/>
      <c r="JYQ14" s="30"/>
      <c r="JYR14" s="30"/>
      <c r="JYS14" s="30"/>
      <c r="JYT14" s="30"/>
      <c r="JYU14" s="30"/>
      <c r="JYV14" s="30"/>
      <c r="JYW14" s="30"/>
      <c r="JYX14" s="30"/>
      <c r="JYY14" s="30"/>
      <c r="JYZ14" s="30"/>
      <c r="JZA14" s="30"/>
      <c r="JZB14" s="30"/>
      <c r="JZC14" s="30"/>
      <c r="JZD14" s="30"/>
      <c r="JZE14" s="30"/>
      <c r="JZF14" s="30"/>
      <c r="JZG14" s="30"/>
      <c r="JZH14" s="30"/>
      <c r="JZI14" s="30"/>
      <c r="JZJ14" s="30"/>
      <c r="JZK14" s="30"/>
      <c r="JZL14" s="30"/>
      <c r="JZM14" s="30"/>
      <c r="JZN14" s="30"/>
      <c r="JZO14" s="30"/>
      <c r="JZP14" s="30"/>
      <c r="JZQ14" s="30"/>
      <c r="JZR14" s="30"/>
      <c r="JZS14" s="30"/>
      <c r="JZT14" s="30"/>
      <c r="JZU14" s="30"/>
      <c r="JZV14" s="30"/>
      <c r="JZW14" s="30"/>
      <c r="JZX14" s="30"/>
      <c r="JZY14" s="30"/>
      <c r="JZZ14" s="30"/>
      <c r="KAA14" s="30"/>
      <c r="KAB14" s="30"/>
      <c r="KAC14" s="30"/>
      <c r="KAD14" s="30"/>
      <c r="KAE14" s="30"/>
      <c r="KAF14" s="30"/>
      <c r="KAG14" s="30"/>
      <c r="KAH14" s="30"/>
      <c r="KAI14" s="30"/>
      <c r="KAJ14" s="30"/>
      <c r="KAK14" s="30"/>
      <c r="KAL14" s="30"/>
      <c r="KAM14" s="30"/>
      <c r="KAN14" s="30"/>
      <c r="KAO14" s="30"/>
      <c r="KAP14" s="30"/>
      <c r="KAQ14" s="30"/>
      <c r="KAR14" s="30"/>
      <c r="KAS14" s="30"/>
      <c r="KAT14" s="30"/>
      <c r="KAU14" s="30"/>
      <c r="KAV14" s="30"/>
      <c r="KAW14" s="30"/>
      <c r="KAX14" s="30"/>
      <c r="KAY14" s="30"/>
      <c r="KAZ14" s="30"/>
      <c r="KBA14" s="30"/>
      <c r="KBB14" s="30"/>
      <c r="KBC14" s="30"/>
      <c r="KBD14" s="30"/>
      <c r="KBE14" s="30"/>
      <c r="KBF14" s="30"/>
      <c r="KBG14" s="30"/>
      <c r="KBH14" s="30"/>
      <c r="KBI14" s="30"/>
      <c r="KBJ14" s="30"/>
      <c r="KBK14" s="30"/>
      <c r="KBL14" s="30"/>
      <c r="KBM14" s="30"/>
      <c r="KBN14" s="30"/>
      <c r="KBO14" s="30"/>
      <c r="KBP14" s="30"/>
      <c r="KBQ14" s="30"/>
      <c r="KBR14" s="30"/>
      <c r="KBS14" s="30"/>
      <c r="KBT14" s="30"/>
      <c r="KBU14" s="30"/>
      <c r="KBV14" s="30"/>
      <c r="KBW14" s="30"/>
      <c r="KBX14" s="30"/>
      <c r="KBY14" s="30"/>
      <c r="KBZ14" s="30"/>
      <c r="KCA14" s="30"/>
      <c r="KCB14" s="30"/>
      <c r="KCC14" s="30"/>
      <c r="KCD14" s="30"/>
      <c r="KCE14" s="30"/>
      <c r="KCF14" s="30"/>
      <c r="KCG14" s="30"/>
      <c r="KCH14" s="30"/>
      <c r="KCI14" s="30"/>
      <c r="KCJ14" s="30"/>
      <c r="KCK14" s="30"/>
      <c r="KCL14" s="30"/>
      <c r="KCM14" s="30"/>
      <c r="KCN14" s="30"/>
      <c r="KCO14" s="30"/>
      <c r="KCP14" s="30"/>
      <c r="KCQ14" s="30"/>
      <c r="KCR14" s="30"/>
      <c r="KCS14" s="30"/>
      <c r="KCT14" s="30"/>
      <c r="KCU14" s="30"/>
      <c r="KCV14" s="30"/>
      <c r="KCW14" s="30"/>
      <c r="KCX14" s="30"/>
      <c r="KCY14" s="30"/>
      <c r="KCZ14" s="30"/>
      <c r="KDA14" s="30"/>
      <c r="KDB14" s="30"/>
      <c r="KDC14" s="30"/>
      <c r="KDD14" s="30"/>
      <c r="KDE14" s="30"/>
      <c r="KDF14" s="30"/>
      <c r="KDG14" s="30"/>
      <c r="KDH14" s="30"/>
      <c r="KDI14" s="30"/>
      <c r="KDJ14" s="30"/>
      <c r="KDK14" s="30"/>
      <c r="KDL14" s="30"/>
      <c r="KDM14" s="30"/>
      <c r="KDN14" s="30"/>
      <c r="KDO14" s="30"/>
      <c r="KDP14" s="30"/>
      <c r="KDQ14" s="30"/>
      <c r="KDR14" s="30"/>
      <c r="KDS14" s="30"/>
      <c r="KDT14" s="30"/>
      <c r="KDU14" s="30"/>
      <c r="KDV14" s="30"/>
      <c r="KDW14" s="30"/>
      <c r="KDX14" s="30"/>
      <c r="KDY14" s="30"/>
      <c r="KDZ14" s="30"/>
      <c r="KEA14" s="30"/>
      <c r="KEB14" s="30"/>
      <c r="KEC14" s="30"/>
      <c r="KED14" s="30"/>
      <c r="KEE14" s="30"/>
      <c r="KEF14" s="30"/>
      <c r="KEG14" s="30"/>
      <c r="KEH14" s="30"/>
      <c r="KEI14" s="30"/>
      <c r="KEJ14" s="30"/>
      <c r="KEK14" s="30"/>
      <c r="KEL14" s="30"/>
      <c r="KEM14" s="30"/>
      <c r="KEN14" s="30"/>
      <c r="KEO14" s="30"/>
      <c r="KEP14" s="30"/>
      <c r="KEQ14" s="30"/>
      <c r="KER14" s="30"/>
      <c r="KES14" s="30"/>
      <c r="KET14" s="30"/>
      <c r="KEU14" s="30"/>
      <c r="KEV14" s="30"/>
      <c r="KEW14" s="30"/>
      <c r="KEX14" s="30"/>
      <c r="KEY14" s="30"/>
      <c r="KEZ14" s="30"/>
      <c r="KFA14" s="30"/>
      <c r="KFB14" s="30"/>
      <c r="KFC14" s="30"/>
      <c r="KFD14" s="30"/>
      <c r="KFE14" s="30"/>
      <c r="KFF14" s="30"/>
      <c r="KFG14" s="30"/>
      <c r="KFH14" s="30"/>
      <c r="KFI14" s="30"/>
      <c r="KFJ14" s="30"/>
      <c r="KFK14" s="30"/>
      <c r="KFL14" s="30"/>
      <c r="KFM14" s="30"/>
      <c r="KFN14" s="30"/>
      <c r="KFO14" s="30"/>
      <c r="KFP14" s="30"/>
      <c r="KFQ14" s="30"/>
      <c r="KFR14" s="30"/>
      <c r="KFS14" s="30"/>
      <c r="KFT14" s="30"/>
      <c r="KFU14" s="30"/>
      <c r="KFV14" s="30"/>
      <c r="KFW14" s="30"/>
      <c r="KFX14" s="30"/>
      <c r="KFY14" s="30"/>
      <c r="KFZ14" s="30"/>
      <c r="KGA14" s="30"/>
      <c r="KGB14" s="30"/>
      <c r="KGC14" s="30"/>
      <c r="KGD14" s="30"/>
      <c r="KGE14" s="30"/>
      <c r="KGF14" s="30"/>
      <c r="KGG14" s="30"/>
      <c r="KGH14" s="30"/>
      <c r="KGI14" s="30"/>
      <c r="KGJ14" s="30"/>
      <c r="KGK14" s="30"/>
      <c r="KGL14" s="30"/>
      <c r="KGM14" s="30"/>
      <c r="KGN14" s="30"/>
      <c r="KGO14" s="30"/>
      <c r="KGP14" s="30"/>
      <c r="KGQ14" s="30"/>
      <c r="KGR14" s="30"/>
      <c r="KGS14" s="30"/>
      <c r="KGT14" s="30"/>
      <c r="KGU14" s="30"/>
      <c r="KGV14" s="30"/>
      <c r="KGW14" s="30"/>
      <c r="KGX14" s="30"/>
      <c r="KGY14" s="30"/>
      <c r="KGZ14" s="30"/>
      <c r="KHA14" s="30"/>
      <c r="KHB14" s="30"/>
      <c r="KHC14" s="30"/>
      <c r="KHD14" s="30"/>
      <c r="KHE14" s="30"/>
      <c r="KHF14" s="30"/>
      <c r="KHG14" s="30"/>
      <c r="KHH14" s="30"/>
      <c r="KHI14" s="30"/>
      <c r="KHJ14" s="30"/>
      <c r="KHK14" s="30"/>
      <c r="KHL14" s="30"/>
      <c r="KHM14" s="30"/>
      <c r="KHN14" s="30"/>
      <c r="KHO14" s="30"/>
      <c r="KHP14" s="30"/>
      <c r="KHQ14" s="30"/>
      <c r="KHR14" s="30"/>
      <c r="KHS14" s="30"/>
      <c r="KHT14" s="30"/>
      <c r="KHU14" s="30"/>
      <c r="KHV14" s="30"/>
      <c r="KHW14" s="30"/>
      <c r="KHX14" s="30"/>
      <c r="KHY14" s="30"/>
      <c r="KHZ14" s="30"/>
      <c r="KIA14" s="30"/>
      <c r="KIB14" s="30"/>
      <c r="KIC14" s="30"/>
      <c r="KID14" s="30"/>
      <c r="KIE14" s="30"/>
      <c r="KIF14" s="30"/>
      <c r="KIG14" s="30"/>
      <c r="KIH14" s="30"/>
      <c r="KII14" s="30"/>
      <c r="KIJ14" s="30"/>
      <c r="KIK14" s="30"/>
      <c r="KIL14" s="30"/>
      <c r="KIM14" s="30"/>
      <c r="KIN14" s="30"/>
      <c r="KIO14" s="30"/>
      <c r="KIP14" s="30"/>
      <c r="KIQ14" s="30"/>
      <c r="KIR14" s="30"/>
      <c r="KIS14" s="30"/>
      <c r="KIT14" s="30"/>
      <c r="KIU14" s="30"/>
      <c r="KIV14" s="30"/>
      <c r="KIW14" s="30"/>
      <c r="KIX14" s="30"/>
      <c r="KIY14" s="30"/>
      <c r="KIZ14" s="30"/>
      <c r="KJA14" s="30"/>
      <c r="KJB14" s="30"/>
      <c r="KJC14" s="30"/>
      <c r="KJD14" s="30"/>
      <c r="KJE14" s="30"/>
      <c r="KJF14" s="30"/>
      <c r="KJG14" s="30"/>
      <c r="KJH14" s="30"/>
      <c r="KJI14" s="30"/>
      <c r="KJJ14" s="30"/>
      <c r="KJK14" s="30"/>
      <c r="KJL14" s="30"/>
      <c r="KJM14" s="30"/>
      <c r="KJN14" s="30"/>
      <c r="KJO14" s="30"/>
      <c r="KJP14" s="30"/>
      <c r="KJQ14" s="30"/>
      <c r="KJR14" s="30"/>
      <c r="KJS14" s="30"/>
      <c r="KJT14" s="30"/>
      <c r="KJU14" s="30"/>
      <c r="KJV14" s="30"/>
      <c r="KJW14" s="30"/>
      <c r="KJX14" s="30"/>
      <c r="KJY14" s="30"/>
      <c r="KJZ14" s="30"/>
      <c r="KKA14" s="30"/>
      <c r="KKB14" s="30"/>
      <c r="KKC14" s="30"/>
      <c r="KKD14" s="30"/>
      <c r="KKE14" s="30"/>
      <c r="KKF14" s="30"/>
      <c r="KKG14" s="30"/>
      <c r="KKH14" s="30"/>
      <c r="KKI14" s="30"/>
      <c r="KKJ14" s="30"/>
      <c r="KKK14" s="30"/>
      <c r="KKL14" s="30"/>
      <c r="KKM14" s="30"/>
      <c r="KKN14" s="30"/>
      <c r="KKO14" s="30"/>
      <c r="KKP14" s="30"/>
      <c r="KKQ14" s="30"/>
      <c r="KKR14" s="30"/>
      <c r="KKS14" s="30"/>
      <c r="KKT14" s="30"/>
      <c r="KKU14" s="30"/>
      <c r="KKV14" s="30"/>
      <c r="KKW14" s="30"/>
      <c r="KKX14" s="30"/>
      <c r="KKY14" s="30"/>
      <c r="KKZ14" s="30"/>
      <c r="KLA14" s="30"/>
      <c r="KLB14" s="30"/>
      <c r="KLC14" s="30"/>
      <c r="KLD14" s="30"/>
      <c r="KLE14" s="30"/>
      <c r="KLF14" s="30"/>
      <c r="KLG14" s="30"/>
      <c r="KLH14" s="30"/>
      <c r="KLI14" s="30"/>
      <c r="KLJ14" s="30"/>
      <c r="KLK14" s="30"/>
      <c r="KLL14" s="30"/>
      <c r="KLM14" s="30"/>
      <c r="KLN14" s="30"/>
      <c r="KLO14" s="30"/>
      <c r="KLP14" s="30"/>
      <c r="KLQ14" s="30"/>
      <c r="KLR14" s="30"/>
      <c r="KLS14" s="30"/>
      <c r="KLT14" s="30"/>
      <c r="KLU14" s="30"/>
      <c r="KLV14" s="30"/>
      <c r="KLW14" s="30"/>
      <c r="KLX14" s="30"/>
      <c r="KLY14" s="30"/>
      <c r="KLZ14" s="30"/>
      <c r="KMA14" s="30"/>
      <c r="KMB14" s="30"/>
      <c r="KMC14" s="30"/>
      <c r="KMD14" s="30"/>
      <c r="KME14" s="30"/>
      <c r="KMF14" s="30"/>
      <c r="KMG14" s="30"/>
      <c r="KMH14" s="30"/>
      <c r="KMI14" s="30"/>
      <c r="KMJ14" s="30"/>
      <c r="KMK14" s="30"/>
      <c r="KML14" s="30"/>
      <c r="KMM14" s="30"/>
      <c r="KMN14" s="30"/>
      <c r="KMO14" s="30"/>
      <c r="KMP14" s="30"/>
      <c r="KMQ14" s="30"/>
      <c r="KMR14" s="30"/>
      <c r="KMS14" s="30"/>
      <c r="KMT14" s="30"/>
      <c r="KMU14" s="30"/>
      <c r="KMV14" s="30"/>
      <c r="KMW14" s="30"/>
      <c r="KMX14" s="30"/>
      <c r="KMY14" s="30"/>
      <c r="KMZ14" s="30"/>
      <c r="KNA14" s="30"/>
      <c r="KNB14" s="30"/>
      <c r="KNC14" s="30"/>
      <c r="KND14" s="30"/>
      <c r="KNE14" s="30"/>
      <c r="KNF14" s="30"/>
      <c r="KNG14" s="30"/>
      <c r="KNH14" s="30"/>
      <c r="KNI14" s="30"/>
      <c r="KNJ14" s="30"/>
      <c r="KNK14" s="30"/>
      <c r="KNL14" s="30"/>
      <c r="KNM14" s="30"/>
      <c r="KNN14" s="30"/>
      <c r="KNO14" s="30"/>
      <c r="KNP14" s="30"/>
      <c r="KNQ14" s="30"/>
      <c r="KNR14" s="30"/>
      <c r="KNS14" s="30"/>
      <c r="KNT14" s="30"/>
      <c r="KNU14" s="30"/>
      <c r="KNV14" s="30"/>
      <c r="KNW14" s="30"/>
      <c r="KNX14" s="30"/>
      <c r="KNY14" s="30"/>
      <c r="KNZ14" s="30"/>
      <c r="KOA14" s="30"/>
      <c r="KOB14" s="30"/>
      <c r="KOC14" s="30"/>
      <c r="KOD14" s="30"/>
      <c r="KOE14" s="30"/>
      <c r="KOF14" s="30"/>
      <c r="KOG14" s="30"/>
      <c r="KOH14" s="30"/>
      <c r="KOI14" s="30"/>
      <c r="KOJ14" s="30"/>
      <c r="KOK14" s="30"/>
      <c r="KOL14" s="30"/>
      <c r="KOM14" s="30"/>
      <c r="KON14" s="30"/>
      <c r="KOO14" s="30"/>
      <c r="KOP14" s="30"/>
      <c r="KOQ14" s="30"/>
      <c r="KOR14" s="30"/>
      <c r="KOS14" s="30"/>
      <c r="KOT14" s="30"/>
      <c r="KOU14" s="30"/>
      <c r="KOV14" s="30"/>
      <c r="KOW14" s="30"/>
      <c r="KOX14" s="30"/>
      <c r="KOY14" s="30"/>
      <c r="KOZ14" s="30"/>
      <c r="KPA14" s="30"/>
      <c r="KPB14" s="30"/>
      <c r="KPC14" s="30"/>
      <c r="KPD14" s="30"/>
      <c r="KPE14" s="30"/>
      <c r="KPF14" s="30"/>
      <c r="KPG14" s="30"/>
      <c r="KPH14" s="30"/>
      <c r="KPI14" s="30"/>
      <c r="KPJ14" s="30"/>
      <c r="KPK14" s="30"/>
      <c r="KPL14" s="30"/>
      <c r="KPM14" s="30"/>
      <c r="KPN14" s="30"/>
      <c r="KPO14" s="30"/>
      <c r="KPP14" s="30"/>
      <c r="KPQ14" s="30"/>
      <c r="KPR14" s="30"/>
      <c r="KPS14" s="30"/>
      <c r="KPT14" s="30"/>
      <c r="KPU14" s="30"/>
      <c r="KPV14" s="30"/>
      <c r="KPW14" s="30"/>
      <c r="KPX14" s="30"/>
      <c r="KPY14" s="30"/>
      <c r="KPZ14" s="30"/>
      <c r="KQA14" s="30"/>
      <c r="KQB14" s="30"/>
      <c r="KQC14" s="30"/>
      <c r="KQD14" s="30"/>
      <c r="KQE14" s="30"/>
      <c r="KQF14" s="30"/>
      <c r="KQG14" s="30"/>
      <c r="KQH14" s="30"/>
      <c r="KQI14" s="30"/>
      <c r="KQJ14" s="30"/>
      <c r="KQK14" s="30"/>
      <c r="KQL14" s="30"/>
      <c r="KQM14" s="30"/>
      <c r="KQN14" s="30"/>
      <c r="KQO14" s="30"/>
      <c r="KQP14" s="30"/>
      <c r="KQQ14" s="30"/>
      <c r="KQR14" s="30"/>
      <c r="KQS14" s="30"/>
      <c r="KQT14" s="30"/>
      <c r="KQU14" s="30"/>
      <c r="KQV14" s="30"/>
      <c r="KQW14" s="30"/>
      <c r="KQX14" s="30"/>
      <c r="KQY14" s="30"/>
      <c r="KQZ14" s="30"/>
      <c r="KRA14" s="30"/>
      <c r="KRB14" s="30"/>
      <c r="KRC14" s="30"/>
      <c r="KRD14" s="30"/>
      <c r="KRE14" s="30"/>
      <c r="KRF14" s="30"/>
      <c r="KRG14" s="30"/>
      <c r="KRH14" s="30"/>
      <c r="KRI14" s="30"/>
      <c r="KRJ14" s="30"/>
      <c r="KRK14" s="30"/>
      <c r="KRL14" s="30"/>
      <c r="KRM14" s="30"/>
      <c r="KRN14" s="30"/>
      <c r="KRO14" s="30"/>
      <c r="KRP14" s="30"/>
      <c r="KRQ14" s="30"/>
      <c r="KRR14" s="30"/>
      <c r="KRS14" s="30"/>
      <c r="KRT14" s="30"/>
      <c r="KRU14" s="30"/>
      <c r="KRV14" s="30"/>
      <c r="KRW14" s="30"/>
      <c r="KRX14" s="30"/>
      <c r="KRY14" s="30"/>
      <c r="KRZ14" s="30"/>
      <c r="KSA14" s="30"/>
      <c r="KSB14" s="30"/>
      <c r="KSC14" s="30"/>
      <c r="KSD14" s="30"/>
      <c r="KSE14" s="30"/>
      <c r="KSF14" s="30"/>
      <c r="KSG14" s="30"/>
      <c r="KSH14" s="30"/>
      <c r="KSI14" s="30"/>
      <c r="KSJ14" s="30"/>
      <c r="KSK14" s="30"/>
      <c r="KSL14" s="30"/>
      <c r="KSM14" s="30"/>
      <c r="KSN14" s="30"/>
      <c r="KSO14" s="30"/>
      <c r="KSP14" s="30"/>
      <c r="KSQ14" s="30"/>
      <c r="KSR14" s="30"/>
      <c r="KSS14" s="30"/>
      <c r="KST14" s="30"/>
      <c r="KSU14" s="30"/>
      <c r="KSV14" s="30"/>
      <c r="KSW14" s="30"/>
      <c r="KSX14" s="30"/>
      <c r="KSY14" s="30"/>
      <c r="KSZ14" s="30"/>
      <c r="KTA14" s="30"/>
      <c r="KTB14" s="30"/>
      <c r="KTC14" s="30"/>
      <c r="KTD14" s="30"/>
      <c r="KTE14" s="30"/>
      <c r="KTF14" s="30"/>
      <c r="KTG14" s="30"/>
      <c r="KTH14" s="30"/>
      <c r="KTI14" s="30"/>
      <c r="KTJ14" s="30"/>
      <c r="KTK14" s="30"/>
      <c r="KTL14" s="30"/>
      <c r="KTM14" s="30"/>
      <c r="KTN14" s="30"/>
      <c r="KTO14" s="30"/>
      <c r="KTP14" s="30"/>
      <c r="KTQ14" s="30"/>
      <c r="KTR14" s="30"/>
      <c r="KTS14" s="30"/>
      <c r="KTT14" s="30"/>
      <c r="KTU14" s="30"/>
      <c r="KTV14" s="30"/>
      <c r="KTW14" s="30"/>
      <c r="KTX14" s="30"/>
      <c r="KTY14" s="30"/>
      <c r="KTZ14" s="30"/>
      <c r="KUA14" s="30"/>
      <c r="KUB14" s="30"/>
      <c r="KUC14" s="30"/>
      <c r="KUD14" s="30"/>
      <c r="KUE14" s="30"/>
      <c r="KUF14" s="30"/>
      <c r="KUG14" s="30"/>
      <c r="KUH14" s="30"/>
      <c r="KUI14" s="30"/>
      <c r="KUJ14" s="30"/>
      <c r="KUK14" s="30"/>
      <c r="KUL14" s="30"/>
      <c r="KUM14" s="30"/>
      <c r="KUN14" s="30"/>
      <c r="KUO14" s="30"/>
      <c r="KUP14" s="30"/>
      <c r="KUQ14" s="30"/>
      <c r="KUR14" s="30"/>
      <c r="KUS14" s="30"/>
      <c r="KUT14" s="30"/>
      <c r="KUU14" s="30"/>
      <c r="KUV14" s="30"/>
      <c r="KUW14" s="30"/>
      <c r="KUX14" s="30"/>
      <c r="KUY14" s="30"/>
      <c r="KUZ14" s="30"/>
      <c r="KVA14" s="30"/>
      <c r="KVB14" s="30"/>
      <c r="KVC14" s="30"/>
      <c r="KVD14" s="30"/>
      <c r="KVE14" s="30"/>
      <c r="KVF14" s="30"/>
      <c r="KVG14" s="30"/>
      <c r="KVH14" s="30"/>
      <c r="KVI14" s="30"/>
      <c r="KVJ14" s="30"/>
      <c r="KVK14" s="30"/>
      <c r="KVL14" s="30"/>
      <c r="KVM14" s="30"/>
      <c r="KVN14" s="30"/>
      <c r="KVO14" s="30"/>
      <c r="KVP14" s="30"/>
      <c r="KVQ14" s="30"/>
      <c r="KVR14" s="30"/>
      <c r="KVS14" s="30"/>
      <c r="KVT14" s="30"/>
      <c r="KVU14" s="30"/>
      <c r="KVV14" s="30"/>
      <c r="KVW14" s="30"/>
      <c r="KVX14" s="30"/>
      <c r="KVY14" s="30"/>
      <c r="KVZ14" s="30"/>
      <c r="KWA14" s="30"/>
      <c r="KWB14" s="30"/>
      <c r="KWC14" s="30"/>
      <c r="KWD14" s="30"/>
      <c r="KWE14" s="30"/>
      <c r="KWF14" s="30"/>
      <c r="KWG14" s="30"/>
      <c r="KWH14" s="30"/>
      <c r="KWI14" s="30"/>
      <c r="KWJ14" s="30"/>
      <c r="KWK14" s="30"/>
      <c r="KWL14" s="30"/>
      <c r="KWM14" s="30"/>
      <c r="KWN14" s="30"/>
      <c r="KWO14" s="30"/>
      <c r="KWP14" s="30"/>
      <c r="KWQ14" s="30"/>
      <c r="KWR14" s="30"/>
      <c r="KWS14" s="30"/>
      <c r="KWT14" s="30"/>
      <c r="KWU14" s="30"/>
      <c r="KWV14" s="30"/>
      <c r="KWW14" s="30"/>
      <c r="KWX14" s="30"/>
      <c r="KWY14" s="30"/>
      <c r="KWZ14" s="30"/>
      <c r="KXA14" s="30"/>
      <c r="KXB14" s="30"/>
      <c r="KXC14" s="30"/>
      <c r="KXD14" s="30"/>
      <c r="KXE14" s="30"/>
      <c r="KXF14" s="30"/>
      <c r="KXG14" s="30"/>
      <c r="KXH14" s="30"/>
      <c r="KXI14" s="30"/>
      <c r="KXJ14" s="30"/>
      <c r="KXK14" s="30"/>
      <c r="KXL14" s="30"/>
      <c r="KXM14" s="30"/>
      <c r="KXN14" s="30"/>
      <c r="KXO14" s="30"/>
      <c r="KXP14" s="30"/>
      <c r="KXQ14" s="30"/>
      <c r="KXR14" s="30"/>
      <c r="KXS14" s="30"/>
      <c r="KXT14" s="30"/>
      <c r="KXU14" s="30"/>
      <c r="KXV14" s="30"/>
      <c r="KXW14" s="30"/>
      <c r="KXX14" s="30"/>
      <c r="KXY14" s="30"/>
      <c r="KXZ14" s="30"/>
      <c r="KYA14" s="30"/>
      <c r="KYB14" s="30"/>
      <c r="KYC14" s="30"/>
      <c r="KYD14" s="30"/>
      <c r="KYE14" s="30"/>
      <c r="KYF14" s="30"/>
      <c r="KYG14" s="30"/>
      <c r="KYH14" s="30"/>
      <c r="KYI14" s="30"/>
      <c r="KYJ14" s="30"/>
      <c r="KYK14" s="30"/>
      <c r="KYL14" s="30"/>
      <c r="KYM14" s="30"/>
      <c r="KYN14" s="30"/>
      <c r="KYO14" s="30"/>
      <c r="KYP14" s="30"/>
      <c r="KYQ14" s="30"/>
      <c r="KYR14" s="30"/>
      <c r="KYS14" s="30"/>
      <c r="KYT14" s="30"/>
      <c r="KYU14" s="30"/>
      <c r="KYV14" s="30"/>
      <c r="KYW14" s="30"/>
      <c r="KYX14" s="30"/>
      <c r="KYY14" s="30"/>
      <c r="KYZ14" s="30"/>
      <c r="KZA14" s="30"/>
      <c r="KZB14" s="30"/>
      <c r="KZC14" s="30"/>
      <c r="KZD14" s="30"/>
      <c r="KZE14" s="30"/>
      <c r="KZF14" s="30"/>
      <c r="KZG14" s="30"/>
      <c r="KZH14" s="30"/>
      <c r="KZI14" s="30"/>
      <c r="KZJ14" s="30"/>
      <c r="KZK14" s="30"/>
      <c r="KZL14" s="30"/>
      <c r="KZM14" s="30"/>
      <c r="KZN14" s="30"/>
      <c r="KZO14" s="30"/>
      <c r="KZP14" s="30"/>
      <c r="KZQ14" s="30"/>
      <c r="KZR14" s="30"/>
      <c r="KZS14" s="30"/>
      <c r="KZT14" s="30"/>
      <c r="KZU14" s="30"/>
      <c r="KZV14" s="30"/>
      <c r="KZW14" s="30"/>
      <c r="KZX14" s="30"/>
      <c r="KZY14" s="30"/>
      <c r="KZZ14" s="30"/>
      <c r="LAA14" s="30"/>
      <c r="LAB14" s="30"/>
      <c r="LAC14" s="30"/>
      <c r="LAD14" s="30"/>
      <c r="LAE14" s="30"/>
      <c r="LAF14" s="30"/>
      <c r="LAG14" s="30"/>
      <c r="LAH14" s="30"/>
      <c r="LAI14" s="30"/>
      <c r="LAJ14" s="30"/>
      <c r="LAK14" s="30"/>
      <c r="LAL14" s="30"/>
      <c r="LAM14" s="30"/>
      <c r="LAN14" s="30"/>
      <c r="LAO14" s="30"/>
      <c r="LAP14" s="30"/>
      <c r="LAQ14" s="30"/>
      <c r="LAR14" s="30"/>
      <c r="LAS14" s="30"/>
      <c r="LAT14" s="30"/>
      <c r="LAU14" s="30"/>
      <c r="LAV14" s="30"/>
      <c r="LAW14" s="30"/>
      <c r="LAX14" s="30"/>
      <c r="LAY14" s="30"/>
      <c r="LAZ14" s="30"/>
      <c r="LBA14" s="30"/>
      <c r="LBB14" s="30"/>
      <c r="LBC14" s="30"/>
      <c r="LBD14" s="30"/>
      <c r="LBE14" s="30"/>
      <c r="LBF14" s="30"/>
      <c r="LBG14" s="30"/>
      <c r="LBH14" s="30"/>
      <c r="LBI14" s="30"/>
      <c r="LBJ14" s="30"/>
      <c r="LBK14" s="30"/>
      <c r="LBL14" s="30"/>
      <c r="LBM14" s="30"/>
      <c r="LBN14" s="30"/>
      <c r="LBO14" s="30"/>
      <c r="LBP14" s="30"/>
      <c r="LBQ14" s="30"/>
      <c r="LBR14" s="30"/>
      <c r="LBS14" s="30"/>
      <c r="LBT14" s="30"/>
      <c r="LBU14" s="30"/>
      <c r="LBV14" s="30"/>
      <c r="LBW14" s="30"/>
      <c r="LBX14" s="30"/>
      <c r="LBY14" s="30"/>
      <c r="LBZ14" s="30"/>
      <c r="LCA14" s="30"/>
      <c r="LCB14" s="30"/>
      <c r="LCC14" s="30"/>
      <c r="LCD14" s="30"/>
      <c r="LCE14" s="30"/>
      <c r="LCF14" s="30"/>
      <c r="LCG14" s="30"/>
      <c r="LCH14" s="30"/>
      <c r="LCI14" s="30"/>
      <c r="LCJ14" s="30"/>
      <c r="LCK14" s="30"/>
      <c r="LCL14" s="30"/>
      <c r="LCM14" s="30"/>
      <c r="LCN14" s="30"/>
      <c r="LCO14" s="30"/>
      <c r="LCP14" s="30"/>
      <c r="LCQ14" s="30"/>
      <c r="LCR14" s="30"/>
      <c r="LCS14" s="30"/>
      <c r="LCT14" s="30"/>
      <c r="LCU14" s="30"/>
      <c r="LCV14" s="30"/>
      <c r="LCW14" s="30"/>
      <c r="LCX14" s="30"/>
      <c r="LCY14" s="30"/>
      <c r="LCZ14" s="30"/>
      <c r="LDA14" s="30"/>
      <c r="LDB14" s="30"/>
      <c r="LDC14" s="30"/>
      <c r="LDD14" s="30"/>
      <c r="LDE14" s="30"/>
      <c r="LDF14" s="30"/>
      <c r="LDG14" s="30"/>
      <c r="LDH14" s="30"/>
      <c r="LDI14" s="30"/>
      <c r="LDJ14" s="30"/>
      <c r="LDK14" s="30"/>
      <c r="LDL14" s="30"/>
      <c r="LDM14" s="30"/>
      <c r="LDN14" s="30"/>
      <c r="LDO14" s="30"/>
      <c r="LDP14" s="30"/>
      <c r="LDQ14" s="30"/>
      <c r="LDR14" s="30"/>
      <c r="LDS14" s="30"/>
      <c r="LDT14" s="30"/>
      <c r="LDU14" s="30"/>
      <c r="LDV14" s="30"/>
      <c r="LDW14" s="30"/>
      <c r="LDX14" s="30"/>
      <c r="LDY14" s="30"/>
      <c r="LDZ14" s="30"/>
      <c r="LEA14" s="30"/>
      <c r="LEB14" s="30"/>
      <c r="LEC14" s="30"/>
      <c r="LED14" s="30"/>
      <c r="LEE14" s="30"/>
      <c r="LEF14" s="30"/>
      <c r="LEG14" s="30"/>
      <c r="LEH14" s="30"/>
      <c r="LEI14" s="30"/>
      <c r="LEJ14" s="30"/>
      <c r="LEK14" s="30"/>
      <c r="LEL14" s="30"/>
      <c r="LEM14" s="30"/>
      <c r="LEN14" s="30"/>
      <c r="LEO14" s="30"/>
      <c r="LEP14" s="30"/>
      <c r="LEQ14" s="30"/>
      <c r="LER14" s="30"/>
      <c r="LES14" s="30"/>
      <c r="LET14" s="30"/>
      <c r="LEU14" s="30"/>
      <c r="LEV14" s="30"/>
      <c r="LEW14" s="30"/>
      <c r="LEX14" s="30"/>
      <c r="LEY14" s="30"/>
      <c r="LEZ14" s="30"/>
      <c r="LFA14" s="30"/>
      <c r="LFB14" s="30"/>
      <c r="LFC14" s="30"/>
      <c r="LFD14" s="30"/>
      <c r="LFE14" s="30"/>
      <c r="LFF14" s="30"/>
      <c r="LFG14" s="30"/>
      <c r="LFH14" s="30"/>
      <c r="LFI14" s="30"/>
      <c r="LFJ14" s="30"/>
      <c r="LFK14" s="30"/>
      <c r="LFL14" s="30"/>
      <c r="LFM14" s="30"/>
      <c r="LFN14" s="30"/>
      <c r="LFO14" s="30"/>
      <c r="LFP14" s="30"/>
      <c r="LFQ14" s="30"/>
      <c r="LFR14" s="30"/>
      <c r="LFS14" s="30"/>
      <c r="LFT14" s="30"/>
      <c r="LFU14" s="30"/>
      <c r="LFV14" s="30"/>
      <c r="LFW14" s="30"/>
      <c r="LFX14" s="30"/>
      <c r="LFY14" s="30"/>
      <c r="LFZ14" s="30"/>
      <c r="LGA14" s="30"/>
      <c r="LGB14" s="30"/>
      <c r="LGC14" s="30"/>
      <c r="LGD14" s="30"/>
      <c r="LGE14" s="30"/>
      <c r="LGF14" s="30"/>
      <c r="LGG14" s="30"/>
      <c r="LGH14" s="30"/>
      <c r="LGI14" s="30"/>
      <c r="LGJ14" s="30"/>
      <c r="LGK14" s="30"/>
      <c r="LGL14" s="30"/>
      <c r="LGM14" s="30"/>
      <c r="LGN14" s="30"/>
      <c r="LGO14" s="30"/>
      <c r="LGP14" s="30"/>
      <c r="LGQ14" s="30"/>
      <c r="LGR14" s="30"/>
      <c r="LGS14" s="30"/>
      <c r="LGT14" s="30"/>
      <c r="LGU14" s="30"/>
      <c r="LGV14" s="30"/>
      <c r="LGW14" s="30"/>
      <c r="LGX14" s="30"/>
      <c r="LGY14" s="30"/>
      <c r="LGZ14" s="30"/>
      <c r="LHA14" s="30"/>
      <c r="LHB14" s="30"/>
      <c r="LHC14" s="30"/>
      <c r="LHD14" s="30"/>
      <c r="LHE14" s="30"/>
      <c r="LHF14" s="30"/>
      <c r="LHG14" s="30"/>
      <c r="LHH14" s="30"/>
      <c r="LHI14" s="30"/>
      <c r="LHJ14" s="30"/>
      <c r="LHK14" s="30"/>
      <c r="LHL14" s="30"/>
      <c r="LHM14" s="30"/>
      <c r="LHN14" s="30"/>
      <c r="LHO14" s="30"/>
      <c r="LHP14" s="30"/>
      <c r="LHQ14" s="30"/>
      <c r="LHR14" s="30"/>
      <c r="LHS14" s="30"/>
      <c r="LHT14" s="30"/>
      <c r="LHU14" s="30"/>
      <c r="LHV14" s="30"/>
      <c r="LHW14" s="30"/>
      <c r="LHX14" s="30"/>
      <c r="LHY14" s="30"/>
      <c r="LHZ14" s="30"/>
      <c r="LIA14" s="30"/>
      <c r="LIB14" s="30"/>
      <c r="LIC14" s="30"/>
      <c r="LID14" s="30"/>
      <c r="LIE14" s="30"/>
      <c r="LIF14" s="30"/>
      <c r="LIG14" s="30"/>
      <c r="LIH14" s="30"/>
      <c r="LII14" s="30"/>
      <c r="LIJ14" s="30"/>
      <c r="LIK14" s="30"/>
      <c r="LIL14" s="30"/>
      <c r="LIM14" s="30"/>
      <c r="LIN14" s="30"/>
      <c r="LIO14" s="30"/>
      <c r="LIP14" s="30"/>
      <c r="LIQ14" s="30"/>
      <c r="LIR14" s="30"/>
      <c r="LIS14" s="30"/>
      <c r="LIT14" s="30"/>
      <c r="LIU14" s="30"/>
      <c r="LIV14" s="30"/>
      <c r="LIW14" s="30"/>
      <c r="LIX14" s="30"/>
      <c r="LIY14" s="30"/>
      <c r="LIZ14" s="30"/>
      <c r="LJA14" s="30"/>
      <c r="LJB14" s="30"/>
      <c r="LJC14" s="30"/>
      <c r="LJD14" s="30"/>
      <c r="LJE14" s="30"/>
      <c r="LJF14" s="30"/>
      <c r="LJG14" s="30"/>
      <c r="LJH14" s="30"/>
      <c r="LJI14" s="30"/>
      <c r="LJJ14" s="30"/>
      <c r="LJK14" s="30"/>
      <c r="LJL14" s="30"/>
      <c r="LJM14" s="30"/>
      <c r="LJN14" s="30"/>
      <c r="LJO14" s="30"/>
      <c r="LJP14" s="30"/>
      <c r="LJQ14" s="30"/>
      <c r="LJR14" s="30"/>
      <c r="LJS14" s="30"/>
      <c r="LJT14" s="30"/>
      <c r="LJU14" s="30"/>
      <c r="LJV14" s="30"/>
      <c r="LJW14" s="30"/>
      <c r="LJX14" s="30"/>
      <c r="LJY14" s="30"/>
      <c r="LJZ14" s="30"/>
      <c r="LKA14" s="30"/>
      <c r="LKB14" s="30"/>
      <c r="LKC14" s="30"/>
      <c r="LKD14" s="30"/>
      <c r="LKE14" s="30"/>
      <c r="LKF14" s="30"/>
      <c r="LKG14" s="30"/>
      <c r="LKH14" s="30"/>
      <c r="LKI14" s="30"/>
      <c r="LKJ14" s="30"/>
      <c r="LKK14" s="30"/>
      <c r="LKL14" s="30"/>
      <c r="LKM14" s="30"/>
      <c r="LKN14" s="30"/>
      <c r="LKO14" s="30"/>
      <c r="LKP14" s="30"/>
      <c r="LKQ14" s="30"/>
      <c r="LKR14" s="30"/>
      <c r="LKS14" s="30"/>
      <c r="LKT14" s="30"/>
      <c r="LKU14" s="30"/>
      <c r="LKV14" s="30"/>
      <c r="LKW14" s="30"/>
      <c r="LKX14" s="30"/>
      <c r="LKY14" s="30"/>
      <c r="LKZ14" s="30"/>
      <c r="LLA14" s="30"/>
      <c r="LLB14" s="30"/>
      <c r="LLC14" s="30"/>
      <c r="LLD14" s="30"/>
      <c r="LLE14" s="30"/>
      <c r="LLF14" s="30"/>
      <c r="LLG14" s="30"/>
      <c r="LLH14" s="30"/>
      <c r="LLI14" s="30"/>
      <c r="LLJ14" s="30"/>
      <c r="LLK14" s="30"/>
      <c r="LLL14" s="30"/>
      <c r="LLM14" s="30"/>
      <c r="LLN14" s="30"/>
      <c r="LLO14" s="30"/>
      <c r="LLP14" s="30"/>
      <c r="LLQ14" s="30"/>
      <c r="LLR14" s="30"/>
      <c r="LLS14" s="30"/>
      <c r="LLT14" s="30"/>
      <c r="LLU14" s="30"/>
      <c r="LLV14" s="30"/>
      <c r="LLW14" s="30"/>
      <c r="LLX14" s="30"/>
      <c r="LLY14" s="30"/>
      <c r="LLZ14" s="30"/>
      <c r="LMA14" s="30"/>
      <c r="LMB14" s="30"/>
      <c r="LMC14" s="30"/>
      <c r="LMD14" s="30"/>
      <c r="LME14" s="30"/>
      <c r="LMF14" s="30"/>
      <c r="LMG14" s="30"/>
      <c r="LMH14" s="30"/>
      <c r="LMI14" s="30"/>
      <c r="LMJ14" s="30"/>
      <c r="LMK14" s="30"/>
      <c r="LML14" s="30"/>
      <c r="LMM14" s="30"/>
      <c r="LMN14" s="30"/>
      <c r="LMO14" s="30"/>
      <c r="LMP14" s="30"/>
      <c r="LMQ14" s="30"/>
      <c r="LMR14" s="30"/>
      <c r="LMS14" s="30"/>
      <c r="LMT14" s="30"/>
      <c r="LMU14" s="30"/>
      <c r="LMV14" s="30"/>
      <c r="LMW14" s="30"/>
      <c r="LMX14" s="30"/>
      <c r="LMY14" s="30"/>
      <c r="LMZ14" s="30"/>
      <c r="LNA14" s="30"/>
      <c r="LNB14" s="30"/>
      <c r="LNC14" s="30"/>
      <c r="LND14" s="30"/>
      <c r="LNE14" s="30"/>
      <c r="LNF14" s="30"/>
      <c r="LNG14" s="30"/>
      <c r="LNH14" s="30"/>
      <c r="LNI14" s="30"/>
      <c r="LNJ14" s="30"/>
      <c r="LNK14" s="30"/>
      <c r="LNL14" s="30"/>
      <c r="LNM14" s="30"/>
      <c r="LNN14" s="30"/>
      <c r="LNO14" s="30"/>
      <c r="LNP14" s="30"/>
      <c r="LNQ14" s="30"/>
      <c r="LNR14" s="30"/>
      <c r="LNS14" s="30"/>
      <c r="LNT14" s="30"/>
      <c r="LNU14" s="30"/>
      <c r="LNV14" s="30"/>
      <c r="LNW14" s="30"/>
      <c r="LNX14" s="30"/>
      <c r="LNY14" s="30"/>
      <c r="LNZ14" s="30"/>
      <c r="LOA14" s="30"/>
      <c r="LOB14" s="30"/>
      <c r="LOC14" s="30"/>
      <c r="LOD14" s="30"/>
      <c r="LOE14" s="30"/>
      <c r="LOF14" s="30"/>
      <c r="LOG14" s="30"/>
      <c r="LOH14" s="30"/>
      <c r="LOI14" s="30"/>
      <c r="LOJ14" s="30"/>
      <c r="LOK14" s="30"/>
      <c r="LOL14" s="30"/>
      <c r="LOM14" s="30"/>
      <c r="LON14" s="30"/>
      <c r="LOO14" s="30"/>
      <c r="LOP14" s="30"/>
      <c r="LOQ14" s="30"/>
      <c r="LOR14" s="30"/>
      <c r="LOS14" s="30"/>
      <c r="LOT14" s="30"/>
      <c r="LOU14" s="30"/>
      <c r="LOV14" s="30"/>
      <c r="LOW14" s="30"/>
      <c r="LOX14" s="30"/>
      <c r="LOY14" s="30"/>
      <c r="LOZ14" s="30"/>
      <c r="LPA14" s="30"/>
      <c r="LPB14" s="30"/>
      <c r="LPC14" s="30"/>
      <c r="LPD14" s="30"/>
      <c r="LPE14" s="30"/>
      <c r="LPF14" s="30"/>
      <c r="LPG14" s="30"/>
      <c r="LPH14" s="30"/>
      <c r="LPI14" s="30"/>
      <c r="LPJ14" s="30"/>
      <c r="LPK14" s="30"/>
      <c r="LPL14" s="30"/>
      <c r="LPM14" s="30"/>
      <c r="LPN14" s="30"/>
      <c r="LPO14" s="30"/>
      <c r="LPP14" s="30"/>
      <c r="LPQ14" s="30"/>
      <c r="LPR14" s="30"/>
      <c r="LPS14" s="30"/>
      <c r="LPT14" s="30"/>
      <c r="LPU14" s="30"/>
      <c r="LPV14" s="30"/>
      <c r="LPW14" s="30"/>
      <c r="LPX14" s="30"/>
      <c r="LPY14" s="30"/>
      <c r="LPZ14" s="30"/>
      <c r="LQA14" s="30"/>
      <c r="LQB14" s="30"/>
      <c r="LQC14" s="30"/>
      <c r="LQD14" s="30"/>
      <c r="LQE14" s="30"/>
      <c r="LQF14" s="30"/>
      <c r="LQG14" s="30"/>
      <c r="LQH14" s="30"/>
      <c r="LQI14" s="30"/>
      <c r="LQJ14" s="30"/>
      <c r="LQK14" s="30"/>
      <c r="LQL14" s="30"/>
      <c r="LQM14" s="30"/>
      <c r="LQN14" s="30"/>
      <c r="LQO14" s="30"/>
      <c r="LQP14" s="30"/>
      <c r="LQQ14" s="30"/>
      <c r="LQR14" s="30"/>
      <c r="LQS14" s="30"/>
      <c r="LQT14" s="30"/>
      <c r="LQU14" s="30"/>
      <c r="LQV14" s="30"/>
      <c r="LQW14" s="30"/>
      <c r="LQX14" s="30"/>
      <c r="LQY14" s="30"/>
      <c r="LQZ14" s="30"/>
      <c r="LRA14" s="30"/>
      <c r="LRB14" s="30"/>
      <c r="LRC14" s="30"/>
      <c r="LRD14" s="30"/>
      <c r="LRE14" s="30"/>
      <c r="LRF14" s="30"/>
      <c r="LRG14" s="30"/>
      <c r="LRH14" s="30"/>
      <c r="LRI14" s="30"/>
      <c r="LRJ14" s="30"/>
      <c r="LRK14" s="30"/>
      <c r="LRL14" s="30"/>
      <c r="LRM14" s="30"/>
      <c r="LRN14" s="30"/>
      <c r="LRO14" s="30"/>
      <c r="LRP14" s="30"/>
      <c r="LRQ14" s="30"/>
      <c r="LRR14" s="30"/>
      <c r="LRS14" s="30"/>
      <c r="LRT14" s="30"/>
      <c r="LRU14" s="30"/>
      <c r="LRV14" s="30"/>
      <c r="LRW14" s="30"/>
      <c r="LRX14" s="30"/>
      <c r="LRY14" s="30"/>
      <c r="LRZ14" s="30"/>
      <c r="LSA14" s="30"/>
      <c r="LSB14" s="30"/>
      <c r="LSC14" s="30"/>
      <c r="LSD14" s="30"/>
      <c r="LSE14" s="30"/>
      <c r="LSF14" s="30"/>
      <c r="LSG14" s="30"/>
      <c r="LSH14" s="30"/>
      <c r="LSI14" s="30"/>
      <c r="LSJ14" s="30"/>
      <c r="LSK14" s="30"/>
      <c r="LSL14" s="30"/>
      <c r="LSM14" s="30"/>
      <c r="LSN14" s="30"/>
      <c r="LSO14" s="30"/>
      <c r="LSP14" s="30"/>
      <c r="LSQ14" s="30"/>
      <c r="LSR14" s="30"/>
      <c r="LSS14" s="30"/>
      <c r="LST14" s="30"/>
      <c r="LSU14" s="30"/>
      <c r="LSV14" s="30"/>
      <c r="LSW14" s="30"/>
      <c r="LSX14" s="30"/>
      <c r="LSY14" s="30"/>
      <c r="LSZ14" s="30"/>
      <c r="LTA14" s="30"/>
      <c r="LTB14" s="30"/>
      <c r="LTC14" s="30"/>
      <c r="LTD14" s="30"/>
      <c r="LTE14" s="30"/>
      <c r="LTF14" s="30"/>
      <c r="LTG14" s="30"/>
      <c r="LTH14" s="30"/>
      <c r="LTI14" s="30"/>
      <c r="LTJ14" s="30"/>
      <c r="LTK14" s="30"/>
      <c r="LTL14" s="30"/>
      <c r="LTM14" s="30"/>
      <c r="LTN14" s="30"/>
      <c r="LTO14" s="30"/>
      <c r="LTP14" s="30"/>
      <c r="LTQ14" s="30"/>
      <c r="LTR14" s="30"/>
      <c r="LTS14" s="30"/>
      <c r="LTT14" s="30"/>
      <c r="LTU14" s="30"/>
      <c r="LTV14" s="30"/>
      <c r="LTW14" s="30"/>
      <c r="LTX14" s="30"/>
      <c r="LTY14" s="30"/>
      <c r="LTZ14" s="30"/>
      <c r="LUA14" s="30"/>
      <c r="LUB14" s="30"/>
      <c r="LUC14" s="30"/>
      <c r="LUD14" s="30"/>
      <c r="LUE14" s="30"/>
      <c r="LUF14" s="30"/>
      <c r="LUG14" s="30"/>
      <c r="LUH14" s="30"/>
      <c r="LUI14" s="30"/>
      <c r="LUJ14" s="30"/>
      <c r="LUK14" s="30"/>
      <c r="LUL14" s="30"/>
      <c r="LUM14" s="30"/>
      <c r="LUN14" s="30"/>
      <c r="LUO14" s="30"/>
      <c r="LUP14" s="30"/>
      <c r="LUQ14" s="30"/>
      <c r="LUR14" s="30"/>
      <c r="LUS14" s="30"/>
      <c r="LUT14" s="30"/>
      <c r="LUU14" s="30"/>
      <c r="LUV14" s="30"/>
      <c r="LUW14" s="30"/>
      <c r="LUX14" s="30"/>
      <c r="LUY14" s="30"/>
      <c r="LUZ14" s="30"/>
      <c r="LVA14" s="30"/>
      <c r="LVB14" s="30"/>
      <c r="LVC14" s="30"/>
      <c r="LVD14" s="30"/>
      <c r="LVE14" s="30"/>
      <c r="LVF14" s="30"/>
      <c r="LVG14" s="30"/>
      <c r="LVH14" s="30"/>
      <c r="LVI14" s="30"/>
      <c r="LVJ14" s="30"/>
      <c r="LVK14" s="30"/>
      <c r="LVL14" s="30"/>
      <c r="LVM14" s="30"/>
      <c r="LVN14" s="30"/>
      <c r="LVO14" s="30"/>
      <c r="LVP14" s="30"/>
      <c r="LVQ14" s="30"/>
      <c r="LVR14" s="30"/>
      <c r="LVS14" s="30"/>
      <c r="LVT14" s="30"/>
      <c r="LVU14" s="30"/>
      <c r="LVV14" s="30"/>
      <c r="LVW14" s="30"/>
      <c r="LVX14" s="30"/>
      <c r="LVY14" s="30"/>
      <c r="LVZ14" s="30"/>
      <c r="LWA14" s="30"/>
      <c r="LWB14" s="30"/>
      <c r="LWC14" s="30"/>
      <c r="LWD14" s="30"/>
      <c r="LWE14" s="30"/>
      <c r="LWF14" s="30"/>
      <c r="LWG14" s="30"/>
      <c r="LWH14" s="30"/>
      <c r="LWI14" s="30"/>
      <c r="LWJ14" s="30"/>
      <c r="LWK14" s="30"/>
      <c r="LWL14" s="30"/>
      <c r="LWM14" s="30"/>
      <c r="LWN14" s="30"/>
      <c r="LWO14" s="30"/>
      <c r="LWP14" s="30"/>
      <c r="LWQ14" s="30"/>
      <c r="LWR14" s="30"/>
      <c r="LWS14" s="30"/>
      <c r="LWT14" s="30"/>
      <c r="LWU14" s="30"/>
      <c r="LWV14" s="30"/>
      <c r="LWW14" s="30"/>
      <c r="LWX14" s="30"/>
      <c r="LWY14" s="30"/>
      <c r="LWZ14" s="30"/>
      <c r="LXA14" s="30"/>
      <c r="LXB14" s="30"/>
      <c r="LXC14" s="30"/>
      <c r="LXD14" s="30"/>
      <c r="LXE14" s="30"/>
      <c r="LXF14" s="30"/>
      <c r="LXG14" s="30"/>
      <c r="LXH14" s="30"/>
      <c r="LXI14" s="30"/>
      <c r="LXJ14" s="30"/>
      <c r="LXK14" s="30"/>
      <c r="LXL14" s="30"/>
      <c r="LXM14" s="30"/>
      <c r="LXN14" s="30"/>
      <c r="LXO14" s="30"/>
      <c r="LXP14" s="30"/>
      <c r="LXQ14" s="30"/>
      <c r="LXR14" s="30"/>
      <c r="LXS14" s="30"/>
      <c r="LXT14" s="30"/>
      <c r="LXU14" s="30"/>
      <c r="LXV14" s="30"/>
      <c r="LXW14" s="30"/>
      <c r="LXX14" s="30"/>
      <c r="LXY14" s="30"/>
      <c r="LXZ14" s="30"/>
      <c r="LYA14" s="30"/>
      <c r="LYB14" s="30"/>
      <c r="LYC14" s="30"/>
      <c r="LYD14" s="30"/>
      <c r="LYE14" s="30"/>
      <c r="LYF14" s="30"/>
      <c r="LYG14" s="30"/>
      <c r="LYH14" s="30"/>
      <c r="LYI14" s="30"/>
      <c r="LYJ14" s="30"/>
      <c r="LYK14" s="30"/>
      <c r="LYL14" s="30"/>
      <c r="LYM14" s="30"/>
      <c r="LYN14" s="30"/>
      <c r="LYO14" s="30"/>
      <c r="LYP14" s="30"/>
      <c r="LYQ14" s="30"/>
      <c r="LYR14" s="30"/>
      <c r="LYS14" s="30"/>
      <c r="LYT14" s="30"/>
      <c r="LYU14" s="30"/>
      <c r="LYV14" s="30"/>
      <c r="LYW14" s="30"/>
      <c r="LYX14" s="30"/>
      <c r="LYY14" s="30"/>
      <c r="LYZ14" s="30"/>
      <c r="LZA14" s="30"/>
      <c r="LZB14" s="30"/>
      <c r="LZC14" s="30"/>
      <c r="LZD14" s="30"/>
      <c r="LZE14" s="30"/>
      <c r="LZF14" s="30"/>
      <c r="LZG14" s="30"/>
      <c r="LZH14" s="30"/>
      <c r="LZI14" s="30"/>
      <c r="LZJ14" s="30"/>
      <c r="LZK14" s="30"/>
      <c r="LZL14" s="30"/>
      <c r="LZM14" s="30"/>
      <c r="LZN14" s="30"/>
      <c r="LZO14" s="30"/>
      <c r="LZP14" s="30"/>
      <c r="LZQ14" s="30"/>
      <c r="LZR14" s="30"/>
      <c r="LZS14" s="30"/>
      <c r="LZT14" s="30"/>
      <c r="LZU14" s="30"/>
      <c r="LZV14" s="30"/>
      <c r="LZW14" s="30"/>
      <c r="LZX14" s="30"/>
      <c r="LZY14" s="30"/>
      <c r="LZZ14" s="30"/>
      <c r="MAA14" s="30"/>
      <c r="MAB14" s="30"/>
      <c r="MAC14" s="30"/>
      <c r="MAD14" s="30"/>
      <c r="MAE14" s="30"/>
      <c r="MAF14" s="30"/>
      <c r="MAG14" s="30"/>
      <c r="MAH14" s="30"/>
      <c r="MAI14" s="30"/>
      <c r="MAJ14" s="30"/>
      <c r="MAK14" s="30"/>
      <c r="MAL14" s="30"/>
      <c r="MAM14" s="30"/>
      <c r="MAN14" s="30"/>
      <c r="MAO14" s="30"/>
      <c r="MAP14" s="30"/>
      <c r="MAQ14" s="30"/>
      <c r="MAR14" s="30"/>
      <c r="MAS14" s="30"/>
      <c r="MAT14" s="30"/>
      <c r="MAU14" s="30"/>
      <c r="MAV14" s="30"/>
      <c r="MAW14" s="30"/>
      <c r="MAX14" s="30"/>
      <c r="MAY14" s="30"/>
      <c r="MAZ14" s="30"/>
      <c r="MBA14" s="30"/>
      <c r="MBB14" s="30"/>
      <c r="MBC14" s="30"/>
      <c r="MBD14" s="30"/>
      <c r="MBE14" s="30"/>
      <c r="MBF14" s="30"/>
      <c r="MBG14" s="30"/>
      <c r="MBH14" s="30"/>
      <c r="MBI14" s="30"/>
      <c r="MBJ14" s="30"/>
      <c r="MBK14" s="30"/>
      <c r="MBL14" s="30"/>
      <c r="MBM14" s="30"/>
      <c r="MBN14" s="30"/>
      <c r="MBO14" s="30"/>
      <c r="MBP14" s="30"/>
      <c r="MBQ14" s="30"/>
      <c r="MBR14" s="30"/>
      <c r="MBS14" s="30"/>
      <c r="MBT14" s="30"/>
      <c r="MBU14" s="30"/>
      <c r="MBV14" s="30"/>
      <c r="MBW14" s="30"/>
      <c r="MBX14" s="30"/>
      <c r="MBY14" s="30"/>
      <c r="MBZ14" s="30"/>
      <c r="MCA14" s="30"/>
      <c r="MCB14" s="30"/>
      <c r="MCC14" s="30"/>
      <c r="MCD14" s="30"/>
      <c r="MCE14" s="30"/>
      <c r="MCF14" s="30"/>
      <c r="MCG14" s="30"/>
      <c r="MCH14" s="30"/>
      <c r="MCI14" s="30"/>
      <c r="MCJ14" s="30"/>
      <c r="MCK14" s="30"/>
      <c r="MCL14" s="30"/>
      <c r="MCM14" s="30"/>
      <c r="MCN14" s="30"/>
      <c r="MCO14" s="30"/>
      <c r="MCP14" s="30"/>
      <c r="MCQ14" s="30"/>
      <c r="MCR14" s="30"/>
      <c r="MCS14" s="30"/>
      <c r="MCT14" s="30"/>
      <c r="MCU14" s="30"/>
      <c r="MCV14" s="30"/>
      <c r="MCW14" s="30"/>
      <c r="MCX14" s="30"/>
      <c r="MCY14" s="30"/>
      <c r="MCZ14" s="30"/>
      <c r="MDA14" s="30"/>
      <c r="MDB14" s="30"/>
      <c r="MDC14" s="30"/>
      <c r="MDD14" s="30"/>
      <c r="MDE14" s="30"/>
      <c r="MDF14" s="30"/>
      <c r="MDG14" s="30"/>
      <c r="MDH14" s="30"/>
      <c r="MDI14" s="30"/>
      <c r="MDJ14" s="30"/>
      <c r="MDK14" s="30"/>
      <c r="MDL14" s="30"/>
      <c r="MDM14" s="30"/>
      <c r="MDN14" s="30"/>
      <c r="MDO14" s="30"/>
      <c r="MDP14" s="30"/>
      <c r="MDQ14" s="30"/>
      <c r="MDR14" s="30"/>
      <c r="MDS14" s="30"/>
      <c r="MDT14" s="30"/>
      <c r="MDU14" s="30"/>
      <c r="MDV14" s="30"/>
      <c r="MDW14" s="30"/>
      <c r="MDX14" s="30"/>
      <c r="MDY14" s="30"/>
      <c r="MDZ14" s="30"/>
      <c r="MEA14" s="30"/>
      <c r="MEB14" s="30"/>
      <c r="MEC14" s="30"/>
      <c r="MED14" s="30"/>
      <c r="MEE14" s="30"/>
      <c r="MEF14" s="30"/>
      <c r="MEG14" s="30"/>
      <c r="MEH14" s="30"/>
      <c r="MEI14" s="30"/>
      <c r="MEJ14" s="30"/>
      <c r="MEK14" s="30"/>
      <c r="MEL14" s="30"/>
      <c r="MEM14" s="30"/>
      <c r="MEN14" s="30"/>
      <c r="MEO14" s="30"/>
      <c r="MEP14" s="30"/>
      <c r="MEQ14" s="30"/>
      <c r="MER14" s="30"/>
      <c r="MES14" s="30"/>
      <c r="MET14" s="30"/>
      <c r="MEU14" s="30"/>
      <c r="MEV14" s="30"/>
      <c r="MEW14" s="30"/>
      <c r="MEX14" s="30"/>
      <c r="MEY14" s="30"/>
      <c r="MEZ14" s="30"/>
      <c r="MFA14" s="30"/>
      <c r="MFB14" s="30"/>
      <c r="MFC14" s="30"/>
      <c r="MFD14" s="30"/>
      <c r="MFE14" s="30"/>
      <c r="MFF14" s="30"/>
      <c r="MFG14" s="30"/>
      <c r="MFH14" s="30"/>
      <c r="MFI14" s="30"/>
      <c r="MFJ14" s="30"/>
      <c r="MFK14" s="30"/>
      <c r="MFL14" s="30"/>
      <c r="MFM14" s="30"/>
      <c r="MFN14" s="30"/>
      <c r="MFO14" s="30"/>
      <c r="MFP14" s="30"/>
      <c r="MFQ14" s="30"/>
      <c r="MFR14" s="30"/>
      <c r="MFS14" s="30"/>
      <c r="MFT14" s="30"/>
      <c r="MFU14" s="30"/>
      <c r="MFV14" s="30"/>
      <c r="MFW14" s="30"/>
      <c r="MFX14" s="30"/>
      <c r="MFY14" s="30"/>
      <c r="MFZ14" s="30"/>
      <c r="MGA14" s="30"/>
      <c r="MGB14" s="30"/>
      <c r="MGC14" s="30"/>
      <c r="MGD14" s="30"/>
      <c r="MGE14" s="30"/>
      <c r="MGF14" s="30"/>
      <c r="MGG14" s="30"/>
      <c r="MGH14" s="30"/>
      <c r="MGI14" s="30"/>
      <c r="MGJ14" s="30"/>
      <c r="MGK14" s="30"/>
      <c r="MGL14" s="30"/>
      <c r="MGM14" s="30"/>
      <c r="MGN14" s="30"/>
      <c r="MGO14" s="30"/>
      <c r="MGP14" s="30"/>
      <c r="MGQ14" s="30"/>
      <c r="MGR14" s="30"/>
      <c r="MGS14" s="30"/>
      <c r="MGT14" s="30"/>
      <c r="MGU14" s="30"/>
      <c r="MGV14" s="30"/>
      <c r="MGW14" s="30"/>
      <c r="MGX14" s="30"/>
      <c r="MGY14" s="30"/>
      <c r="MGZ14" s="30"/>
      <c r="MHA14" s="30"/>
      <c r="MHB14" s="30"/>
      <c r="MHC14" s="30"/>
      <c r="MHD14" s="30"/>
      <c r="MHE14" s="30"/>
      <c r="MHF14" s="30"/>
      <c r="MHG14" s="30"/>
      <c r="MHH14" s="30"/>
      <c r="MHI14" s="30"/>
      <c r="MHJ14" s="30"/>
      <c r="MHK14" s="30"/>
      <c r="MHL14" s="30"/>
      <c r="MHM14" s="30"/>
      <c r="MHN14" s="30"/>
      <c r="MHO14" s="30"/>
      <c r="MHP14" s="30"/>
      <c r="MHQ14" s="30"/>
      <c r="MHR14" s="30"/>
      <c r="MHS14" s="30"/>
      <c r="MHT14" s="30"/>
      <c r="MHU14" s="30"/>
      <c r="MHV14" s="30"/>
      <c r="MHW14" s="30"/>
      <c r="MHX14" s="30"/>
      <c r="MHY14" s="30"/>
      <c r="MHZ14" s="30"/>
      <c r="MIA14" s="30"/>
      <c r="MIB14" s="30"/>
      <c r="MIC14" s="30"/>
      <c r="MID14" s="30"/>
      <c r="MIE14" s="30"/>
      <c r="MIF14" s="30"/>
      <c r="MIG14" s="30"/>
      <c r="MIH14" s="30"/>
      <c r="MII14" s="30"/>
      <c r="MIJ14" s="30"/>
      <c r="MIK14" s="30"/>
      <c r="MIL14" s="30"/>
      <c r="MIM14" s="30"/>
      <c r="MIN14" s="30"/>
      <c r="MIO14" s="30"/>
      <c r="MIP14" s="30"/>
      <c r="MIQ14" s="30"/>
      <c r="MIR14" s="30"/>
      <c r="MIS14" s="30"/>
      <c r="MIT14" s="30"/>
      <c r="MIU14" s="30"/>
      <c r="MIV14" s="30"/>
      <c r="MIW14" s="30"/>
      <c r="MIX14" s="30"/>
      <c r="MIY14" s="30"/>
      <c r="MIZ14" s="30"/>
      <c r="MJA14" s="30"/>
      <c r="MJB14" s="30"/>
      <c r="MJC14" s="30"/>
      <c r="MJD14" s="30"/>
      <c r="MJE14" s="30"/>
      <c r="MJF14" s="30"/>
      <c r="MJG14" s="30"/>
      <c r="MJH14" s="30"/>
      <c r="MJI14" s="30"/>
      <c r="MJJ14" s="30"/>
      <c r="MJK14" s="30"/>
      <c r="MJL14" s="30"/>
      <c r="MJM14" s="30"/>
      <c r="MJN14" s="30"/>
      <c r="MJO14" s="30"/>
      <c r="MJP14" s="30"/>
      <c r="MJQ14" s="30"/>
      <c r="MJR14" s="30"/>
      <c r="MJS14" s="30"/>
      <c r="MJT14" s="30"/>
      <c r="MJU14" s="30"/>
      <c r="MJV14" s="30"/>
      <c r="MJW14" s="30"/>
      <c r="MJX14" s="30"/>
      <c r="MJY14" s="30"/>
      <c r="MJZ14" s="30"/>
      <c r="MKA14" s="30"/>
      <c r="MKB14" s="30"/>
      <c r="MKC14" s="30"/>
      <c r="MKD14" s="30"/>
      <c r="MKE14" s="30"/>
      <c r="MKF14" s="30"/>
      <c r="MKG14" s="30"/>
      <c r="MKH14" s="30"/>
      <c r="MKI14" s="30"/>
      <c r="MKJ14" s="30"/>
      <c r="MKK14" s="30"/>
      <c r="MKL14" s="30"/>
      <c r="MKM14" s="30"/>
      <c r="MKN14" s="30"/>
      <c r="MKO14" s="30"/>
      <c r="MKP14" s="30"/>
      <c r="MKQ14" s="30"/>
      <c r="MKR14" s="30"/>
      <c r="MKS14" s="30"/>
      <c r="MKT14" s="30"/>
      <c r="MKU14" s="30"/>
      <c r="MKV14" s="30"/>
      <c r="MKW14" s="30"/>
      <c r="MKX14" s="30"/>
      <c r="MKY14" s="30"/>
      <c r="MKZ14" s="30"/>
      <c r="MLA14" s="30"/>
      <c r="MLB14" s="30"/>
      <c r="MLC14" s="30"/>
      <c r="MLD14" s="30"/>
      <c r="MLE14" s="30"/>
      <c r="MLF14" s="30"/>
      <c r="MLG14" s="30"/>
      <c r="MLH14" s="30"/>
      <c r="MLI14" s="30"/>
      <c r="MLJ14" s="30"/>
      <c r="MLK14" s="30"/>
      <c r="MLL14" s="30"/>
      <c r="MLM14" s="30"/>
      <c r="MLN14" s="30"/>
      <c r="MLO14" s="30"/>
      <c r="MLP14" s="30"/>
      <c r="MLQ14" s="30"/>
      <c r="MLR14" s="30"/>
      <c r="MLS14" s="30"/>
      <c r="MLT14" s="30"/>
      <c r="MLU14" s="30"/>
      <c r="MLV14" s="30"/>
      <c r="MLW14" s="30"/>
      <c r="MLX14" s="30"/>
      <c r="MLY14" s="30"/>
      <c r="MLZ14" s="30"/>
      <c r="MMA14" s="30"/>
      <c r="MMB14" s="30"/>
      <c r="MMC14" s="30"/>
      <c r="MMD14" s="30"/>
      <c r="MME14" s="30"/>
      <c r="MMF14" s="30"/>
      <c r="MMG14" s="30"/>
      <c r="MMH14" s="30"/>
      <c r="MMI14" s="30"/>
      <c r="MMJ14" s="30"/>
      <c r="MMK14" s="30"/>
      <c r="MML14" s="30"/>
      <c r="MMM14" s="30"/>
      <c r="MMN14" s="30"/>
      <c r="MMO14" s="30"/>
      <c r="MMP14" s="30"/>
      <c r="MMQ14" s="30"/>
      <c r="MMR14" s="30"/>
      <c r="MMS14" s="30"/>
      <c r="MMT14" s="30"/>
      <c r="MMU14" s="30"/>
      <c r="MMV14" s="30"/>
      <c r="MMW14" s="30"/>
      <c r="MMX14" s="30"/>
      <c r="MMY14" s="30"/>
      <c r="MMZ14" s="30"/>
      <c r="MNA14" s="30"/>
      <c r="MNB14" s="30"/>
      <c r="MNC14" s="30"/>
      <c r="MND14" s="30"/>
      <c r="MNE14" s="30"/>
      <c r="MNF14" s="30"/>
      <c r="MNG14" s="30"/>
      <c r="MNH14" s="30"/>
      <c r="MNI14" s="30"/>
      <c r="MNJ14" s="30"/>
      <c r="MNK14" s="30"/>
      <c r="MNL14" s="30"/>
      <c r="MNM14" s="30"/>
      <c r="MNN14" s="30"/>
      <c r="MNO14" s="30"/>
      <c r="MNP14" s="30"/>
      <c r="MNQ14" s="30"/>
      <c r="MNR14" s="30"/>
      <c r="MNS14" s="30"/>
      <c r="MNT14" s="30"/>
      <c r="MNU14" s="30"/>
      <c r="MNV14" s="30"/>
      <c r="MNW14" s="30"/>
      <c r="MNX14" s="30"/>
      <c r="MNY14" s="30"/>
      <c r="MNZ14" s="30"/>
      <c r="MOA14" s="30"/>
      <c r="MOB14" s="30"/>
      <c r="MOC14" s="30"/>
      <c r="MOD14" s="30"/>
      <c r="MOE14" s="30"/>
      <c r="MOF14" s="30"/>
      <c r="MOG14" s="30"/>
      <c r="MOH14" s="30"/>
      <c r="MOI14" s="30"/>
      <c r="MOJ14" s="30"/>
      <c r="MOK14" s="30"/>
      <c r="MOL14" s="30"/>
      <c r="MOM14" s="30"/>
      <c r="MON14" s="30"/>
      <c r="MOO14" s="30"/>
      <c r="MOP14" s="30"/>
      <c r="MOQ14" s="30"/>
      <c r="MOR14" s="30"/>
      <c r="MOS14" s="30"/>
      <c r="MOT14" s="30"/>
      <c r="MOU14" s="30"/>
      <c r="MOV14" s="30"/>
      <c r="MOW14" s="30"/>
      <c r="MOX14" s="30"/>
      <c r="MOY14" s="30"/>
      <c r="MOZ14" s="30"/>
      <c r="MPA14" s="30"/>
      <c r="MPB14" s="30"/>
      <c r="MPC14" s="30"/>
      <c r="MPD14" s="30"/>
      <c r="MPE14" s="30"/>
      <c r="MPF14" s="30"/>
      <c r="MPG14" s="30"/>
      <c r="MPH14" s="30"/>
      <c r="MPI14" s="30"/>
      <c r="MPJ14" s="30"/>
      <c r="MPK14" s="30"/>
      <c r="MPL14" s="30"/>
      <c r="MPM14" s="30"/>
      <c r="MPN14" s="30"/>
      <c r="MPO14" s="30"/>
      <c r="MPP14" s="30"/>
      <c r="MPQ14" s="30"/>
      <c r="MPR14" s="30"/>
      <c r="MPS14" s="30"/>
      <c r="MPT14" s="30"/>
      <c r="MPU14" s="30"/>
      <c r="MPV14" s="30"/>
      <c r="MPW14" s="30"/>
      <c r="MPX14" s="30"/>
      <c r="MPY14" s="30"/>
      <c r="MPZ14" s="30"/>
      <c r="MQA14" s="30"/>
      <c r="MQB14" s="30"/>
      <c r="MQC14" s="30"/>
      <c r="MQD14" s="30"/>
      <c r="MQE14" s="30"/>
      <c r="MQF14" s="30"/>
      <c r="MQG14" s="30"/>
      <c r="MQH14" s="30"/>
      <c r="MQI14" s="30"/>
      <c r="MQJ14" s="30"/>
      <c r="MQK14" s="30"/>
      <c r="MQL14" s="30"/>
      <c r="MQM14" s="30"/>
      <c r="MQN14" s="30"/>
      <c r="MQO14" s="30"/>
      <c r="MQP14" s="30"/>
      <c r="MQQ14" s="30"/>
      <c r="MQR14" s="30"/>
      <c r="MQS14" s="30"/>
      <c r="MQT14" s="30"/>
      <c r="MQU14" s="30"/>
      <c r="MQV14" s="30"/>
      <c r="MQW14" s="30"/>
      <c r="MQX14" s="30"/>
      <c r="MQY14" s="30"/>
      <c r="MQZ14" s="30"/>
      <c r="MRA14" s="30"/>
      <c r="MRB14" s="30"/>
      <c r="MRC14" s="30"/>
      <c r="MRD14" s="30"/>
      <c r="MRE14" s="30"/>
      <c r="MRF14" s="30"/>
      <c r="MRG14" s="30"/>
      <c r="MRH14" s="30"/>
      <c r="MRI14" s="30"/>
      <c r="MRJ14" s="30"/>
      <c r="MRK14" s="30"/>
      <c r="MRL14" s="30"/>
      <c r="MRM14" s="30"/>
      <c r="MRN14" s="30"/>
      <c r="MRO14" s="30"/>
      <c r="MRP14" s="30"/>
      <c r="MRQ14" s="30"/>
      <c r="MRR14" s="30"/>
      <c r="MRS14" s="30"/>
      <c r="MRT14" s="30"/>
      <c r="MRU14" s="30"/>
      <c r="MRV14" s="30"/>
      <c r="MRW14" s="30"/>
      <c r="MRX14" s="30"/>
      <c r="MRY14" s="30"/>
      <c r="MRZ14" s="30"/>
      <c r="MSA14" s="30"/>
      <c r="MSB14" s="30"/>
      <c r="MSC14" s="30"/>
      <c r="MSD14" s="30"/>
      <c r="MSE14" s="30"/>
      <c r="MSF14" s="30"/>
      <c r="MSG14" s="30"/>
      <c r="MSH14" s="30"/>
      <c r="MSI14" s="30"/>
      <c r="MSJ14" s="30"/>
      <c r="MSK14" s="30"/>
      <c r="MSL14" s="30"/>
      <c r="MSM14" s="30"/>
      <c r="MSN14" s="30"/>
      <c r="MSO14" s="30"/>
      <c r="MSP14" s="30"/>
      <c r="MSQ14" s="30"/>
      <c r="MSR14" s="30"/>
      <c r="MSS14" s="30"/>
      <c r="MST14" s="30"/>
      <c r="MSU14" s="30"/>
      <c r="MSV14" s="30"/>
      <c r="MSW14" s="30"/>
      <c r="MSX14" s="30"/>
      <c r="MSY14" s="30"/>
      <c r="MSZ14" s="30"/>
      <c r="MTA14" s="30"/>
      <c r="MTB14" s="30"/>
      <c r="MTC14" s="30"/>
      <c r="MTD14" s="30"/>
      <c r="MTE14" s="30"/>
      <c r="MTF14" s="30"/>
      <c r="MTG14" s="30"/>
      <c r="MTH14" s="30"/>
      <c r="MTI14" s="30"/>
      <c r="MTJ14" s="30"/>
      <c r="MTK14" s="30"/>
      <c r="MTL14" s="30"/>
      <c r="MTM14" s="30"/>
      <c r="MTN14" s="30"/>
      <c r="MTO14" s="30"/>
      <c r="MTP14" s="30"/>
      <c r="MTQ14" s="30"/>
      <c r="MTR14" s="30"/>
      <c r="MTS14" s="30"/>
      <c r="MTT14" s="30"/>
      <c r="MTU14" s="30"/>
      <c r="MTV14" s="30"/>
      <c r="MTW14" s="30"/>
      <c r="MTX14" s="30"/>
      <c r="MTY14" s="30"/>
      <c r="MTZ14" s="30"/>
      <c r="MUA14" s="30"/>
      <c r="MUB14" s="30"/>
      <c r="MUC14" s="30"/>
      <c r="MUD14" s="30"/>
      <c r="MUE14" s="30"/>
      <c r="MUF14" s="30"/>
      <c r="MUG14" s="30"/>
      <c r="MUH14" s="30"/>
      <c r="MUI14" s="30"/>
      <c r="MUJ14" s="30"/>
      <c r="MUK14" s="30"/>
      <c r="MUL14" s="30"/>
      <c r="MUM14" s="30"/>
      <c r="MUN14" s="30"/>
      <c r="MUO14" s="30"/>
      <c r="MUP14" s="30"/>
      <c r="MUQ14" s="30"/>
      <c r="MUR14" s="30"/>
      <c r="MUS14" s="30"/>
      <c r="MUT14" s="30"/>
      <c r="MUU14" s="30"/>
      <c r="MUV14" s="30"/>
      <c r="MUW14" s="30"/>
      <c r="MUX14" s="30"/>
      <c r="MUY14" s="30"/>
      <c r="MUZ14" s="30"/>
      <c r="MVA14" s="30"/>
      <c r="MVB14" s="30"/>
      <c r="MVC14" s="30"/>
      <c r="MVD14" s="30"/>
      <c r="MVE14" s="30"/>
      <c r="MVF14" s="30"/>
      <c r="MVG14" s="30"/>
      <c r="MVH14" s="30"/>
      <c r="MVI14" s="30"/>
      <c r="MVJ14" s="30"/>
      <c r="MVK14" s="30"/>
      <c r="MVL14" s="30"/>
      <c r="MVM14" s="30"/>
      <c r="MVN14" s="30"/>
      <c r="MVO14" s="30"/>
      <c r="MVP14" s="30"/>
      <c r="MVQ14" s="30"/>
      <c r="MVR14" s="30"/>
      <c r="MVS14" s="30"/>
      <c r="MVT14" s="30"/>
      <c r="MVU14" s="30"/>
      <c r="MVV14" s="30"/>
      <c r="MVW14" s="30"/>
      <c r="MVX14" s="30"/>
      <c r="MVY14" s="30"/>
      <c r="MVZ14" s="30"/>
      <c r="MWA14" s="30"/>
      <c r="MWB14" s="30"/>
      <c r="MWC14" s="30"/>
      <c r="MWD14" s="30"/>
      <c r="MWE14" s="30"/>
      <c r="MWF14" s="30"/>
      <c r="MWG14" s="30"/>
      <c r="MWH14" s="30"/>
      <c r="MWI14" s="30"/>
      <c r="MWJ14" s="30"/>
      <c r="MWK14" s="30"/>
      <c r="MWL14" s="30"/>
      <c r="MWM14" s="30"/>
      <c r="MWN14" s="30"/>
      <c r="MWO14" s="30"/>
      <c r="MWP14" s="30"/>
      <c r="MWQ14" s="30"/>
      <c r="MWR14" s="30"/>
      <c r="MWS14" s="30"/>
      <c r="MWT14" s="30"/>
      <c r="MWU14" s="30"/>
      <c r="MWV14" s="30"/>
      <c r="MWW14" s="30"/>
      <c r="MWX14" s="30"/>
      <c r="MWY14" s="30"/>
      <c r="MWZ14" s="30"/>
      <c r="MXA14" s="30"/>
      <c r="MXB14" s="30"/>
      <c r="MXC14" s="30"/>
      <c r="MXD14" s="30"/>
      <c r="MXE14" s="30"/>
      <c r="MXF14" s="30"/>
      <c r="MXG14" s="30"/>
      <c r="MXH14" s="30"/>
      <c r="MXI14" s="30"/>
      <c r="MXJ14" s="30"/>
      <c r="MXK14" s="30"/>
      <c r="MXL14" s="30"/>
      <c r="MXM14" s="30"/>
      <c r="MXN14" s="30"/>
      <c r="MXO14" s="30"/>
      <c r="MXP14" s="30"/>
      <c r="MXQ14" s="30"/>
      <c r="MXR14" s="30"/>
      <c r="MXS14" s="30"/>
      <c r="MXT14" s="30"/>
      <c r="MXU14" s="30"/>
      <c r="MXV14" s="30"/>
      <c r="MXW14" s="30"/>
      <c r="MXX14" s="30"/>
      <c r="MXY14" s="30"/>
      <c r="MXZ14" s="30"/>
      <c r="MYA14" s="30"/>
      <c r="MYB14" s="30"/>
      <c r="MYC14" s="30"/>
      <c r="MYD14" s="30"/>
      <c r="MYE14" s="30"/>
      <c r="MYF14" s="30"/>
      <c r="MYG14" s="30"/>
      <c r="MYH14" s="30"/>
      <c r="MYI14" s="30"/>
      <c r="MYJ14" s="30"/>
      <c r="MYK14" s="30"/>
      <c r="MYL14" s="30"/>
      <c r="MYM14" s="30"/>
      <c r="MYN14" s="30"/>
      <c r="MYO14" s="30"/>
      <c r="MYP14" s="30"/>
      <c r="MYQ14" s="30"/>
      <c r="MYR14" s="30"/>
      <c r="MYS14" s="30"/>
      <c r="MYT14" s="30"/>
      <c r="MYU14" s="30"/>
      <c r="MYV14" s="30"/>
      <c r="MYW14" s="30"/>
      <c r="MYX14" s="30"/>
      <c r="MYY14" s="30"/>
      <c r="MYZ14" s="30"/>
      <c r="MZA14" s="30"/>
      <c r="MZB14" s="30"/>
      <c r="MZC14" s="30"/>
      <c r="MZD14" s="30"/>
      <c r="MZE14" s="30"/>
      <c r="MZF14" s="30"/>
      <c r="MZG14" s="30"/>
      <c r="MZH14" s="30"/>
      <c r="MZI14" s="30"/>
      <c r="MZJ14" s="30"/>
      <c r="MZK14" s="30"/>
      <c r="MZL14" s="30"/>
      <c r="MZM14" s="30"/>
      <c r="MZN14" s="30"/>
      <c r="MZO14" s="30"/>
      <c r="MZP14" s="30"/>
      <c r="MZQ14" s="30"/>
      <c r="MZR14" s="30"/>
      <c r="MZS14" s="30"/>
      <c r="MZT14" s="30"/>
      <c r="MZU14" s="30"/>
      <c r="MZV14" s="30"/>
      <c r="MZW14" s="30"/>
      <c r="MZX14" s="30"/>
      <c r="MZY14" s="30"/>
      <c r="MZZ14" s="30"/>
      <c r="NAA14" s="30"/>
      <c r="NAB14" s="30"/>
      <c r="NAC14" s="30"/>
      <c r="NAD14" s="30"/>
      <c r="NAE14" s="30"/>
      <c r="NAF14" s="30"/>
      <c r="NAG14" s="30"/>
      <c r="NAH14" s="30"/>
      <c r="NAI14" s="30"/>
      <c r="NAJ14" s="30"/>
      <c r="NAK14" s="30"/>
      <c r="NAL14" s="30"/>
      <c r="NAM14" s="30"/>
      <c r="NAN14" s="30"/>
      <c r="NAO14" s="30"/>
      <c r="NAP14" s="30"/>
      <c r="NAQ14" s="30"/>
      <c r="NAR14" s="30"/>
      <c r="NAS14" s="30"/>
      <c r="NAT14" s="30"/>
      <c r="NAU14" s="30"/>
      <c r="NAV14" s="30"/>
      <c r="NAW14" s="30"/>
      <c r="NAX14" s="30"/>
      <c r="NAY14" s="30"/>
      <c r="NAZ14" s="30"/>
      <c r="NBA14" s="30"/>
      <c r="NBB14" s="30"/>
      <c r="NBC14" s="30"/>
      <c r="NBD14" s="30"/>
      <c r="NBE14" s="30"/>
      <c r="NBF14" s="30"/>
      <c r="NBG14" s="30"/>
      <c r="NBH14" s="30"/>
      <c r="NBI14" s="30"/>
      <c r="NBJ14" s="30"/>
      <c r="NBK14" s="30"/>
      <c r="NBL14" s="30"/>
      <c r="NBM14" s="30"/>
      <c r="NBN14" s="30"/>
      <c r="NBO14" s="30"/>
      <c r="NBP14" s="30"/>
      <c r="NBQ14" s="30"/>
      <c r="NBR14" s="30"/>
      <c r="NBS14" s="30"/>
      <c r="NBT14" s="30"/>
      <c r="NBU14" s="30"/>
      <c r="NBV14" s="30"/>
      <c r="NBW14" s="30"/>
      <c r="NBX14" s="30"/>
      <c r="NBY14" s="30"/>
      <c r="NBZ14" s="30"/>
      <c r="NCA14" s="30"/>
      <c r="NCB14" s="30"/>
      <c r="NCC14" s="30"/>
      <c r="NCD14" s="30"/>
      <c r="NCE14" s="30"/>
      <c r="NCF14" s="30"/>
      <c r="NCG14" s="30"/>
      <c r="NCH14" s="30"/>
      <c r="NCI14" s="30"/>
      <c r="NCJ14" s="30"/>
      <c r="NCK14" s="30"/>
      <c r="NCL14" s="30"/>
      <c r="NCM14" s="30"/>
      <c r="NCN14" s="30"/>
      <c r="NCO14" s="30"/>
      <c r="NCP14" s="30"/>
      <c r="NCQ14" s="30"/>
      <c r="NCR14" s="30"/>
      <c r="NCS14" s="30"/>
      <c r="NCT14" s="30"/>
      <c r="NCU14" s="30"/>
      <c r="NCV14" s="30"/>
      <c r="NCW14" s="30"/>
      <c r="NCX14" s="30"/>
      <c r="NCY14" s="30"/>
      <c r="NCZ14" s="30"/>
      <c r="NDA14" s="30"/>
      <c r="NDB14" s="30"/>
      <c r="NDC14" s="30"/>
      <c r="NDD14" s="30"/>
      <c r="NDE14" s="30"/>
      <c r="NDF14" s="30"/>
      <c r="NDG14" s="30"/>
      <c r="NDH14" s="30"/>
      <c r="NDI14" s="30"/>
      <c r="NDJ14" s="30"/>
      <c r="NDK14" s="30"/>
      <c r="NDL14" s="30"/>
      <c r="NDM14" s="30"/>
      <c r="NDN14" s="30"/>
      <c r="NDO14" s="30"/>
      <c r="NDP14" s="30"/>
      <c r="NDQ14" s="30"/>
      <c r="NDR14" s="30"/>
      <c r="NDS14" s="30"/>
      <c r="NDT14" s="30"/>
      <c r="NDU14" s="30"/>
      <c r="NDV14" s="30"/>
      <c r="NDW14" s="30"/>
      <c r="NDX14" s="30"/>
      <c r="NDY14" s="30"/>
      <c r="NDZ14" s="30"/>
      <c r="NEA14" s="30"/>
      <c r="NEB14" s="30"/>
      <c r="NEC14" s="30"/>
      <c r="NED14" s="30"/>
      <c r="NEE14" s="30"/>
      <c r="NEF14" s="30"/>
      <c r="NEG14" s="30"/>
      <c r="NEH14" s="30"/>
      <c r="NEI14" s="30"/>
      <c r="NEJ14" s="30"/>
      <c r="NEK14" s="30"/>
      <c r="NEL14" s="30"/>
      <c r="NEM14" s="30"/>
      <c r="NEN14" s="30"/>
      <c r="NEO14" s="30"/>
      <c r="NEP14" s="30"/>
      <c r="NEQ14" s="30"/>
      <c r="NER14" s="30"/>
      <c r="NES14" s="30"/>
      <c r="NET14" s="30"/>
      <c r="NEU14" s="30"/>
      <c r="NEV14" s="30"/>
      <c r="NEW14" s="30"/>
      <c r="NEX14" s="30"/>
      <c r="NEY14" s="30"/>
      <c r="NEZ14" s="30"/>
      <c r="NFA14" s="30"/>
      <c r="NFB14" s="30"/>
      <c r="NFC14" s="30"/>
      <c r="NFD14" s="30"/>
      <c r="NFE14" s="30"/>
      <c r="NFF14" s="30"/>
      <c r="NFG14" s="30"/>
      <c r="NFH14" s="30"/>
      <c r="NFI14" s="30"/>
      <c r="NFJ14" s="30"/>
      <c r="NFK14" s="30"/>
      <c r="NFL14" s="30"/>
      <c r="NFM14" s="30"/>
      <c r="NFN14" s="30"/>
      <c r="NFO14" s="30"/>
      <c r="NFP14" s="30"/>
      <c r="NFQ14" s="30"/>
      <c r="NFR14" s="30"/>
      <c r="NFS14" s="30"/>
      <c r="NFT14" s="30"/>
      <c r="NFU14" s="30"/>
      <c r="NFV14" s="30"/>
      <c r="NFW14" s="30"/>
      <c r="NFX14" s="30"/>
      <c r="NFY14" s="30"/>
      <c r="NFZ14" s="30"/>
      <c r="NGA14" s="30"/>
      <c r="NGB14" s="30"/>
      <c r="NGC14" s="30"/>
      <c r="NGD14" s="30"/>
      <c r="NGE14" s="30"/>
      <c r="NGF14" s="30"/>
      <c r="NGG14" s="30"/>
      <c r="NGH14" s="30"/>
      <c r="NGI14" s="30"/>
      <c r="NGJ14" s="30"/>
      <c r="NGK14" s="30"/>
      <c r="NGL14" s="30"/>
      <c r="NGM14" s="30"/>
      <c r="NGN14" s="30"/>
      <c r="NGO14" s="30"/>
      <c r="NGP14" s="30"/>
      <c r="NGQ14" s="30"/>
      <c r="NGR14" s="30"/>
      <c r="NGS14" s="30"/>
      <c r="NGT14" s="30"/>
      <c r="NGU14" s="30"/>
      <c r="NGV14" s="30"/>
      <c r="NGW14" s="30"/>
      <c r="NGX14" s="30"/>
      <c r="NGY14" s="30"/>
      <c r="NGZ14" s="30"/>
      <c r="NHA14" s="30"/>
      <c r="NHB14" s="30"/>
      <c r="NHC14" s="30"/>
      <c r="NHD14" s="30"/>
      <c r="NHE14" s="30"/>
      <c r="NHF14" s="30"/>
      <c r="NHG14" s="30"/>
      <c r="NHH14" s="30"/>
      <c r="NHI14" s="30"/>
      <c r="NHJ14" s="30"/>
      <c r="NHK14" s="30"/>
      <c r="NHL14" s="30"/>
      <c r="NHM14" s="30"/>
      <c r="NHN14" s="30"/>
      <c r="NHO14" s="30"/>
      <c r="NHP14" s="30"/>
      <c r="NHQ14" s="30"/>
      <c r="NHR14" s="30"/>
      <c r="NHS14" s="30"/>
      <c r="NHT14" s="30"/>
      <c r="NHU14" s="30"/>
      <c r="NHV14" s="30"/>
      <c r="NHW14" s="30"/>
      <c r="NHX14" s="30"/>
      <c r="NHY14" s="30"/>
      <c r="NHZ14" s="30"/>
      <c r="NIA14" s="30"/>
      <c r="NIB14" s="30"/>
      <c r="NIC14" s="30"/>
      <c r="NID14" s="30"/>
      <c r="NIE14" s="30"/>
      <c r="NIF14" s="30"/>
      <c r="NIG14" s="30"/>
      <c r="NIH14" s="30"/>
      <c r="NII14" s="30"/>
      <c r="NIJ14" s="30"/>
      <c r="NIK14" s="30"/>
      <c r="NIL14" s="30"/>
      <c r="NIM14" s="30"/>
      <c r="NIN14" s="30"/>
      <c r="NIO14" s="30"/>
      <c r="NIP14" s="30"/>
      <c r="NIQ14" s="30"/>
      <c r="NIR14" s="30"/>
      <c r="NIS14" s="30"/>
      <c r="NIT14" s="30"/>
      <c r="NIU14" s="30"/>
      <c r="NIV14" s="30"/>
      <c r="NIW14" s="30"/>
      <c r="NIX14" s="30"/>
      <c r="NIY14" s="30"/>
      <c r="NIZ14" s="30"/>
      <c r="NJA14" s="30"/>
      <c r="NJB14" s="30"/>
      <c r="NJC14" s="30"/>
      <c r="NJD14" s="30"/>
      <c r="NJE14" s="30"/>
      <c r="NJF14" s="30"/>
      <c r="NJG14" s="30"/>
      <c r="NJH14" s="30"/>
      <c r="NJI14" s="30"/>
      <c r="NJJ14" s="30"/>
      <c r="NJK14" s="30"/>
      <c r="NJL14" s="30"/>
      <c r="NJM14" s="30"/>
      <c r="NJN14" s="30"/>
      <c r="NJO14" s="30"/>
      <c r="NJP14" s="30"/>
      <c r="NJQ14" s="30"/>
      <c r="NJR14" s="30"/>
      <c r="NJS14" s="30"/>
      <c r="NJT14" s="30"/>
      <c r="NJU14" s="30"/>
      <c r="NJV14" s="30"/>
      <c r="NJW14" s="30"/>
      <c r="NJX14" s="30"/>
      <c r="NJY14" s="30"/>
      <c r="NJZ14" s="30"/>
      <c r="NKA14" s="30"/>
      <c r="NKB14" s="30"/>
      <c r="NKC14" s="30"/>
      <c r="NKD14" s="30"/>
      <c r="NKE14" s="30"/>
      <c r="NKF14" s="30"/>
      <c r="NKG14" s="30"/>
      <c r="NKH14" s="30"/>
      <c r="NKI14" s="30"/>
      <c r="NKJ14" s="30"/>
      <c r="NKK14" s="30"/>
      <c r="NKL14" s="30"/>
      <c r="NKM14" s="30"/>
      <c r="NKN14" s="30"/>
      <c r="NKO14" s="30"/>
      <c r="NKP14" s="30"/>
      <c r="NKQ14" s="30"/>
      <c r="NKR14" s="30"/>
      <c r="NKS14" s="30"/>
      <c r="NKT14" s="30"/>
      <c r="NKU14" s="30"/>
      <c r="NKV14" s="30"/>
      <c r="NKW14" s="30"/>
      <c r="NKX14" s="30"/>
      <c r="NKY14" s="30"/>
      <c r="NKZ14" s="30"/>
      <c r="NLA14" s="30"/>
      <c r="NLB14" s="30"/>
      <c r="NLC14" s="30"/>
      <c r="NLD14" s="30"/>
      <c r="NLE14" s="30"/>
      <c r="NLF14" s="30"/>
      <c r="NLG14" s="30"/>
      <c r="NLH14" s="30"/>
      <c r="NLI14" s="30"/>
      <c r="NLJ14" s="30"/>
      <c r="NLK14" s="30"/>
      <c r="NLL14" s="30"/>
      <c r="NLM14" s="30"/>
      <c r="NLN14" s="30"/>
      <c r="NLO14" s="30"/>
      <c r="NLP14" s="30"/>
      <c r="NLQ14" s="30"/>
      <c r="NLR14" s="30"/>
      <c r="NLS14" s="30"/>
      <c r="NLT14" s="30"/>
      <c r="NLU14" s="30"/>
      <c r="NLV14" s="30"/>
      <c r="NLW14" s="30"/>
      <c r="NLX14" s="30"/>
      <c r="NLY14" s="30"/>
      <c r="NLZ14" s="30"/>
      <c r="NMA14" s="30"/>
      <c r="NMB14" s="30"/>
      <c r="NMC14" s="30"/>
      <c r="NMD14" s="30"/>
      <c r="NME14" s="30"/>
      <c r="NMF14" s="30"/>
      <c r="NMG14" s="30"/>
      <c r="NMH14" s="30"/>
      <c r="NMI14" s="30"/>
      <c r="NMJ14" s="30"/>
      <c r="NMK14" s="30"/>
      <c r="NML14" s="30"/>
      <c r="NMM14" s="30"/>
      <c r="NMN14" s="30"/>
      <c r="NMO14" s="30"/>
      <c r="NMP14" s="30"/>
      <c r="NMQ14" s="30"/>
      <c r="NMR14" s="30"/>
      <c r="NMS14" s="30"/>
      <c r="NMT14" s="30"/>
      <c r="NMU14" s="30"/>
      <c r="NMV14" s="30"/>
      <c r="NMW14" s="30"/>
      <c r="NMX14" s="30"/>
      <c r="NMY14" s="30"/>
      <c r="NMZ14" s="30"/>
      <c r="NNA14" s="30"/>
      <c r="NNB14" s="30"/>
      <c r="NNC14" s="30"/>
      <c r="NND14" s="30"/>
      <c r="NNE14" s="30"/>
      <c r="NNF14" s="30"/>
      <c r="NNG14" s="30"/>
      <c r="NNH14" s="30"/>
      <c r="NNI14" s="30"/>
      <c r="NNJ14" s="30"/>
      <c r="NNK14" s="30"/>
      <c r="NNL14" s="30"/>
      <c r="NNM14" s="30"/>
      <c r="NNN14" s="30"/>
      <c r="NNO14" s="30"/>
      <c r="NNP14" s="30"/>
      <c r="NNQ14" s="30"/>
      <c r="NNR14" s="30"/>
      <c r="NNS14" s="30"/>
      <c r="NNT14" s="30"/>
      <c r="NNU14" s="30"/>
      <c r="NNV14" s="30"/>
      <c r="NNW14" s="30"/>
      <c r="NNX14" s="30"/>
      <c r="NNY14" s="30"/>
      <c r="NNZ14" s="30"/>
      <c r="NOA14" s="30"/>
      <c r="NOB14" s="30"/>
      <c r="NOC14" s="30"/>
      <c r="NOD14" s="30"/>
      <c r="NOE14" s="30"/>
      <c r="NOF14" s="30"/>
      <c r="NOG14" s="30"/>
      <c r="NOH14" s="30"/>
      <c r="NOI14" s="30"/>
      <c r="NOJ14" s="30"/>
      <c r="NOK14" s="30"/>
      <c r="NOL14" s="30"/>
      <c r="NOM14" s="30"/>
      <c r="NON14" s="30"/>
      <c r="NOO14" s="30"/>
      <c r="NOP14" s="30"/>
      <c r="NOQ14" s="30"/>
      <c r="NOR14" s="30"/>
      <c r="NOS14" s="30"/>
      <c r="NOT14" s="30"/>
      <c r="NOU14" s="30"/>
      <c r="NOV14" s="30"/>
      <c r="NOW14" s="30"/>
      <c r="NOX14" s="30"/>
      <c r="NOY14" s="30"/>
      <c r="NOZ14" s="30"/>
      <c r="NPA14" s="30"/>
      <c r="NPB14" s="30"/>
      <c r="NPC14" s="30"/>
      <c r="NPD14" s="30"/>
      <c r="NPE14" s="30"/>
      <c r="NPF14" s="30"/>
      <c r="NPG14" s="30"/>
      <c r="NPH14" s="30"/>
      <c r="NPI14" s="30"/>
      <c r="NPJ14" s="30"/>
      <c r="NPK14" s="30"/>
      <c r="NPL14" s="30"/>
      <c r="NPM14" s="30"/>
      <c r="NPN14" s="30"/>
      <c r="NPO14" s="30"/>
      <c r="NPP14" s="30"/>
      <c r="NPQ14" s="30"/>
      <c r="NPR14" s="30"/>
      <c r="NPS14" s="30"/>
      <c r="NPT14" s="30"/>
      <c r="NPU14" s="30"/>
      <c r="NPV14" s="30"/>
      <c r="NPW14" s="30"/>
      <c r="NPX14" s="30"/>
      <c r="NPY14" s="30"/>
      <c r="NPZ14" s="30"/>
      <c r="NQA14" s="30"/>
      <c r="NQB14" s="30"/>
      <c r="NQC14" s="30"/>
      <c r="NQD14" s="30"/>
      <c r="NQE14" s="30"/>
      <c r="NQF14" s="30"/>
      <c r="NQG14" s="30"/>
      <c r="NQH14" s="30"/>
      <c r="NQI14" s="30"/>
      <c r="NQJ14" s="30"/>
      <c r="NQK14" s="30"/>
      <c r="NQL14" s="30"/>
      <c r="NQM14" s="30"/>
      <c r="NQN14" s="30"/>
      <c r="NQO14" s="30"/>
      <c r="NQP14" s="30"/>
      <c r="NQQ14" s="30"/>
      <c r="NQR14" s="30"/>
      <c r="NQS14" s="30"/>
      <c r="NQT14" s="30"/>
      <c r="NQU14" s="30"/>
      <c r="NQV14" s="30"/>
      <c r="NQW14" s="30"/>
      <c r="NQX14" s="30"/>
      <c r="NQY14" s="30"/>
      <c r="NQZ14" s="30"/>
      <c r="NRA14" s="30"/>
      <c r="NRB14" s="30"/>
      <c r="NRC14" s="30"/>
      <c r="NRD14" s="30"/>
      <c r="NRE14" s="30"/>
      <c r="NRF14" s="30"/>
      <c r="NRG14" s="30"/>
      <c r="NRH14" s="30"/>
      <c r="NRI14" s="30"/>
      <c r="NRJ14" s="30"/>
      <c r="NRK14" s="30"/>
      <c r="NRL14" s="30"/>
      <c r="NRM14" s="30"/>
      <c r="NRN14" s="30"/>
      <c r="NRO14" s="30"/>
      <c r="NRP14" s="30"/>
      <c r="NRQ14" s="30"/>
      <c r="NRR14" s="30"/>
      <c r="NRS14" s="30"/>
      <c r="NRT14" s="30"/>
      <c r="NRU14" s="30"/>
      <c r="NRV14" s="30"/>
      <c r="NRW14" s="30"/>
      <c r="NRX14" s="30"/>
      <c r="NRY14" s="30"/>
      <c r="NRZ14" s="30"/>
      <c r="NSA14" s="30"/>
      <c r="NSB14" s="30"/>
      <c r="NSC14" s="30"/>
      <c r="NSD14" s="30"/>
      <c r="NSE14" s="30"/>
      <c r="NSF14" s="30"/>
      <c r="NSG14" s="30"/>
      <c r="NSH14" s="30"/>
      <c r="NSI14" s="30"/>
      <c r="NSJ14" s="30"/>
      <c r="NSK14" s="30"/>
      <c r="NSL14" s="30"/>
      <c r="NSM14" s="30"/>
      <c r="NSN14" s="30"/>
      <c r="NSO14" s="30"/>
      <c r="NSP14" s="30"/>
      <c r="NSQ14" s="30"/>
      <c r="NSR14" s="30"/>
      <c r="NSS14" s="30"/>
      <c r="NST14" s="30"/>
      <c r="NSU14" s="30"/>
      <c r="NSV14" s="30"/>
      <c r="NSW14" s="30"/>
      <c r="NSX14" s="30"/>
      <c r="NSY14" s="30"/>
      <c r="NSZ14" s="30"/>
      <c r="NTA14" s="30"/>
      <c r="NTB14" s="30"/>
      <c r="NTC14" s="30"/>
      <c r="NTD14" s="30"/>
      <c r="NTE14" s="30"/>
      <c r="NTF14" s="30"/>
      <c r="NTG14" s="30"/>
      <c r="NTH14" s="30"/>
      <c r="NTI14" s="30"/>
      <c r="NTJ14" s="30"/>
      <c r="NTK14" s="30"/>
      <c r="NTL14" s="30"/>
      <c r="NTM14" s="30"/>
      <c r="NTN14" s="30"/>
      <c r="NTO14" s="30"/>
      <c r="NTP14" s="30"/>
      <c r="NTQ14" s="30"/>
      <c r="NTR14" s="30"/>
      <c r="NTS14" s="30"/>
      <c r="NTT14" s="30"/>
      <c r="NTU14" s="30"/>
      <c r="NTV14" s="30"/>
      <c r="NTW14" s="30"/>
      <c r="NTX14" s="30"/>
      <c r="NTY14" s="30"/>
      <c r="NTZ14" s="30"/>
      <c r="NUA14" s="30"/>
      <c r="NUB14" s="30"/>
      <c r="NUC14" s="30"/>
      <c r="NUD14" s="30"/>
      <c r="NUE14" s="30"/>
      <c r="NUF14" s="30"/>
      <c r="NUG14" s="30"/>
      <c r="NUH14" s="30"/>
      <c r="NUI14" s="30"/>
      <c r="NUJ14" s="30"/>
      <c r="NUK14" s="30"/>
      <c r="NUL14" s="30"/>
      <c r="NUM14" s="30"/>
      <c r="NUN14" s="30"/>
      <c r="NUO14" s="30"/>
      <c r="NUP14" s="30"/>
      <c r="NUQ14" s="30"/>
      <c r="NUR14" s="30"/>
      <c r="NUS14" s="30"/>
      <c r="NUT14" s="30"/>
      <c r="NUU14" s="30"/>
      <c r="NUV14" s="30"/>
      <c r="NUW14" s="30"/>
      <c r="NUX14" s="30"/>
      <c r="NUY14" s="30"/>
      <c r="NUZ14" s="30"/>
      <c r="NVA14" s="30"/>
      <c r="NVB14" s="30"/>
      <c r="NVC14" s="30"/>
      <c r="NVD14" s="30"/>
      <c r="NVE14" s="30"/>
      <c r="NVF14" s="30"/>
      <c r="NVG14" s="30"/>
      <c r="NVH14" s="30"/>
      <c r="NVI14" s="30"/>
      <c r="NVJ14" s="30"/>
      <c r="NVK14" s="30"/>
      <c r="NVL14" s="30"/>
      <c r="NVM14" s="30"/>
      <c r="NVN14" s="30"/>
      <c r="NVO14" s="30"/>
      <c r="NVP14" s="30"/>
      <c r="NVQ14" s="30"/>
      <c r="NVR14" s="30"/>
      <c r="NVS14" s="30"/>
      <c r="NVT14" s="30"/>
      <c r="NVU14" s="30"/>
      <c r="NVV14" s="30"/>
      <c r="NVW14" s="30"/>
      <c r="NVX14" s="30"/>
      <c r="NVY14" s="30"/>
      <c r="NVZ14" s="30"/>
      <c r="NWA14" s="30"/>
      <c r="NWB14" s="30"/>
      <c r="NWC14" s="30"/>
      <c r="NWD14" s="30"/>
      <c r="NWE14" s="30"/>
      <c r="NWF14" s="30"/>
      <c r="NWG14" s="30"/>
      <c r="NWH14" s="30"/>
      <c r="NWI14" s="30"/>
      <c r="NWJ14" s="30"/>
      <c r="NWK14" s="30"/>
      <c r="NWL14" s="30"/>
      <c r="NWM14" s="30"/>
      <c r="NWN14" s="30"/>
      <c r="NWO14" s="30"/>
      <c r="NWP14" s="30"/>
      <c r="NWQ14" s="30"/>
      <c r="NWR14" s="30"/>
      <c r="NWS14" s="30"/>
      <c r="NWT14" s="30"/>
      <c r="NWU14" s="30"/>
      <c r="NWV14" s="30"/>
      <c r="NWW14" s="30"/>
      <c r="NWX14" s="30"/>
      <c r="NWY14" s="30"/>
      <c r="NWZ14" s="30"/>
      <c r="NXA14" s="30"/>
      <c r="NXB14" s="30"/>
      <c r="NXC14" s="30"/>
      <c r="NXD14" s="30"/>
      <c r="NXE14" s="30"/>
      <c r="NXF14" s="30"/>
      <c r="NXG14" s="30"/>
      <c r="NXH14" s="30"/>
      <c r="NXI14" s="30"/>
      <c r="NXJ14" s="30"/>
      <c r="NXK14" s="30"/>
      <c r="NXL14" s="30"/>
      <c r="NXM14" s="30"/>
      <c r="NXN14" s="30"/>
      <c r="NXO14" s="30"/>
      <c r="NXP14" s="30"/>
      <c r="NXQ14" s="30"/>
      <c r="NXR14" s="30"/>
      <c r="NXS14" s="30"/>
      <c r="NXT14" s="30"/>
      <c r="NXU14" s="30"/>
      <c r="NXV14" s="30"/>
      <c r="NXW14" s="30"/>
      <c r="NXX14" s="30"/>
      <c r="NXY14" s="30"/>
      <c r="NXZ14" s="30"/>
      <c r="NYA14" s="30"/>
      <c r="NYB14" s="30"/>
      <c r="NYC14" s="30"/>
      <c r="NYD14" s="30"/>
      <c r="NYE14" s="30"/>
      <c r="NYF14" s="30"/>
      <c r="NYG14" s="30"/>
      <c r="NYH14" s="30"/>
      <c r="NYI14" s="30"/>
      <c r="NYJ14" s="30"/>
      <c r="NYK14" s="30"/>
      <c r="NYL14" s="30"/>
      <c r="NYM14" s="30"/>
      <c r="NYN14" s="30"/>
      <c r="NYO14" s="30"/>
      <c r="NYP14" s="30"/>
      <c r="NYQ14" s="30"/>
      <c r="NYR14" s="30"/>
      <c r="NYS14" s="30"/>
      <c r="NYT14" s="30"/>
      <c r="NYU14" s="30"/>
      <c r="NYV14" s="30"/>
      <c r="NYW14" s="30"/>
      <c r="NYX14" s="30"/>
      <c r="NYY14" s="30"/>
      <c r="NYZ14" s="30"/>
      <c r="NZA14" s="30"/>
      <c r="NZB14" s="30"/>
      <c r="NZC14" s="30"/>
      <c r="NZD14" s="30"/>
      <c r="NZE14" s="30"/>
      <c r="NZF14" s="30"/>
      <c r="NZG14" s="30"/>
      <c r="NZH14" s="30"/>
      <c r="NZI14" s="30"/>
      <c r="NZJ14" s="30"/>
      <c r="NZK14" s="30"/>
      <c r="NZL14" s="30"/>
      <c r="NZM14" s="30"/>
      <c r="NZN14" s="30"/>
      <c r="NZO14" s="30"/>
      <c r="NZP14" s="30"/>
      <c r="NZQ14" s="30"/>
      <c r="NZR14" s="30"/>
      <c r="NZS14" s="30"/>
      <c r="NZT14" s="30"/>
      <c r="NZU14" s="30"/>
      <c r="NZV14" s="30"/>
      <c r="NZW14" s="30"/>
      <c r="NZX14" s="30"/>
      <c r="NZY14" s="30"/>
      <c r="NZZ14" s="30"/>
      <c r="OAA14" s="30"/>
      <c r="OAB14" s="30"/>
      <c r="OAC14" s="30"/>
      <c r="OAD14" s="30"/>
      <c r="OAE14" s="30"/>
      <c r="OAF14" s="30"/>
      <c r="OAG14" s="30"/>
      <c r="OAH14" s="30"/>
      <c r="OAI14" s="30"/>
      <c r="OAJ14" s="30"/>
      <c r="OAK14" s="30"/>
      <c r="OAL14" s="30"/>
      <c r="OAM14" s="30"/>
      <c r="OAN14" s="30"/>
      <c r="OAO14" s="30"/>
      <c r="OAP14" s="30"/>
      <c r="OAQ14" s="30"/>
      <c r="OAR14" s="30"/>
      <c r="OAS14" s="30"/>
      <c r="OAT14" s="30"/>
      <c r="OAU14" s="30"/>
      <c r="OAV14" s="30"/>
      <c r="OAW14" s="30"/>
      <c r="OAX14" s="30"/>
      <c r="OAY14" s="30"/>
      <c r="OAZ14" s="30"/>
      <c r="OBA14" s="30"/>
      <c r="OBB14" s="30"/>
      <c r="OBC14" s="30"/>
      <c r="OBD14" s="30"/>
      <c r="OBE14" s="30"/>
      <c r="OBF14" s="30"/>
      <c r="OBG14" s="30"/>
      <c r="OBH14" s="30"/>
      <c r="OBI14" s="30"/>
      <c r="OBJ14" s="30"/>
      <c r="OBK14" s="30"/>
      <c r="OBL14" s="30"/>
      <c r="OBM14" s="30"/>
      <c r="OBN14" s="30"/>
      <c r="OBO14" s="30"/>
      <c r="OBP14" s="30"/>
      <c r="OBQ14" s="30"/>
      <c r="OBR14" s="30"/>
      <c r="OBS14" s="30"/>
      <c r="OBT14" s="30"/>
      <c r="OBU14" s="30"/>
      <c r="OBV14" s="30"/>
      <c r="OBW14" s="30"/>
      <c r="OBX14" s="30"/>
      <c r="OBY14" s="30"/>
      <c r="OBZ14" s="30"/>
      <c r="OCA14" s="30"/>
      <c r="OCB14" s="30"/>
      <c r="OCC14" s="30"/>
      <c r="OCD14" s="30"/>
      <c r="OCE14" s="30"/>
      <c r="OCF14" s="30"/>
      <c r="OCG14" s="30"/>
      <c r="OCH14" s="30"/>
      <c r="OCI14" s="30"/>
      <c r="OCJ14" s="30"/>
      <c r="OCK14" s="30"/>
      <c r="OCL14" s="30"/>
      <c r="OCM14" s="30"/>
      <c r="OCN14" s="30"/>
      <c r="OCO14" s="30"/>
      <c r="OCP14" s="30"/>
      <c r="OCQ14" s="30"/>
      <c r="OCR14" s="30"/>
      <c r="OCS14" s="30"/>
      <c r="OCT14" s="30"/>
      <c r="OCU14" s="30"/>
      <c r="OCV14" s="30"/>
      <c r="OCW14" s="30"/>
      <c r="OCX14" s="30"/>
      <c r="OCY14" s="30"/>
      <c r="OCZ14" s="30"/>
      <c r="ODA14" s="30"/>
      <c r="ODB14" s="30"/>
      <c r="ODC14" s="30"/>
      <c r="ODD14" s="30"/>
      <c r="ODE14" s="30"/>
      <c r="ODF14" s="30"/>
      <c r="ODG14" s="30"/>
      <c r="ODH14" s="30"/>
      <c r="ODI14" s="30"/>
      <c r="ODJ14" s="30"/>
      <c r="ODK14" s="30"/>
      <c r="ODL14" s="30"/>
      <c r="ODM14" s="30"/>
      <c r="ODN14" s="30"/>
      <c r="ODO14" s="30"/>
      <c r="ODP14" s="30"/>
      <c r="ODQ14" s="30"/>
      <c r="ODR14" s="30"/>
      <c r="ODS14" s="30"/>
      <c r="ODT14" s="30"/>
      <c r="ODU14" s="30"/>
      <c r="ODV14" s="30"/>
      <c r="ODW14" s="30"/>
      <c r="ODX14" s="30"/>
      <c r="ODY14" s="30"/>
      <c r="ODZ14" s="30"/>
      <c r="OEA14" s="30"/>
      <c r="OEB14" s="30"/>
      <c r="OEC14" s="30"/>
      <c r="OED14" s="30"/>
      <c r="OEE14" s="30"/>
      <c r="OEF14" s="30"/>
      <c r="OEG14" s="30"/>
      <c r="OEH14" s="30"/>
      <c r="OEI14" s="30"/>
      <c r="OEJ14" s="30"/>
      <c r="OEK14" s="30"/>
      <c r="OEL14" s="30"/>
      <c r="OEM14" s="30"/>
      <c r="OEN14" s="30"/>
      <c r="OEO14" s="30"/>
      <c r="OEP14" s="30"/>
      <c r="OEQ14" s="30"/>
      <c r="OER14" s="30"/>
      <c r="OES14" s="30"/>
      <c r="OET14" s="30"/>
      <c r="OEU14" s="30"/>
      <c r="OEV14" s="30"/>
      <c r="OEW14" s="30"/>
      <c r="OEX14" s="30"/>
      <c r="OEY14" s="30"/>
      <c r="OEZ14" s="30"/>
      <c r="OFA14" s="30"/>
      <c r="OFB14" s="30"/>
      <c r="OFC14" s="30"/>
      <c r="OFD14" s="30"/>
      <c r="OFE14" s="30"/>
      <c r="OFF14" s="30"/>
      <c r="OFG14" s="30"/>
      <c r="OFH14" s="30"/>
      <c r="OFI14" s="30"/>
      <c r="OFJ14" s="30"/>
      <c r="OFK14" s="30"/>
      <c r="OFL14" s="30"/>
      <c r="OFM14" s="30"/>
      <c r="OFN14" s="30"/>
      <c r="OFO14" s="30"/>
      <c r="OFP14" s="30"/>
      <c r="OFQ14" s="30"/>
      <c r="OFR14" s="30"/>
      <c r="OFS14" s="30"/>
      <c r="OFT14" s="30"/>
      <c r="OFU14" s="30"/>
      <c r="OFV14" s="30"/>
      <c r="OFW14" s="30"/>
      <c r="OFX14" s="30"/>
      <c r="OFY14" s="30"/>
      <c r="OFZ14" s="30"/>
      <c r="OGA14" s="30"/>
      <c r="OGB14" s="30"/>
      <c r="OGC14" s="30"/>
      <c r="OGD14" s="30"/>
      <c r="OGE14" s="30"/>
      <c r="OGF14" s="30"/>
      <c r="OGG14" s="30"/>
      <c r="OGH14" s="30"/>
      <c r="OGI14" s="30"/>
      <c r="OGJ14" s="30"/>
      <c r="OGK14" s="30"/>
      <c r="OGL14" s="30"/>
      <c r="OGM14" s="30"/>
      <c r="OGN14" s="30"/>
      <c r="OGO14" s="30"/>
      <c r="OGP14" s="30"/>
      <c r="OGQ14" s="30"/>
      <c r="OGR14" s="30"/>
      <c r="OGS14" s="30"/>
      <c r="OGT14" s="30"/>
      <c r="OGU14" s="30"/>
      <c r="OGV14" s="30"/>
      <c r="OGW14" s="30"/>
      <c r="OGX14" s="30"/>
      <c r="OGY14" s="30"/>
      <c r="OGZ14" s="30"/>
      <c r="OHA14" s="30"/>
      <c r="OHB14" s="30"/>
      <c r="OHC14" s="30"/>
      <c r="OHD14" s="30"/>
      <c r="OHE14" s="30"/>
      <c r="OHF14" s="30"/>
      <c r="OHG14" s="30"/>
      <c r="OHH14" s="30"/>
      <c r="OHI14" s="30"/>
      <c r="OHJ14" s="30"/>
      <c r="OHK14" s="30"/>
      <c r="OHL14" s="30"/>
      <c r="OHM14" s="30"/>
      <c r="OHN14" s="30"/>
      <c r="OHO14" s="30"/>
      <c r="OHP14" s="30"/>
      <c r="OHQ14" s="30"/>
      <c r="OHR14" s="30"/>
      <c r="OHS14" s="30"/>
      <c r="OHT14" s="30"/>
      <c r="OHU14" s="30"/>
      <c r="OHV14" s="30"/>
      <c r="OHW14" s="30"/>
      <c r="OHX14" s="30"/>
      <c r="OHY14" s="30"/>
      <c r="OHZ14" s="30"/>
      <c r="OIA14" s="30"/>
      <c r="OIB14" s="30"/>
      <c r="OIC14" s="30"/>
      <c r="OID14" s="30"/>
      <c r="OIE14" s="30"/>
      <c r="OIF14" s="30"/>
      <c r="OIG14" s="30"/>
      <c r="OIH14" s="30"/>
      <c r="OII14" s="30"/>
      <c r="OIJ14" s="30"/>
      <c r="OIK14" s="30"/>
      <c r="OIL14" s="30"/>
      <c r="OIM14" s="30"/>
      <c r="OIN14" s="30"/>
      <c r="OIO14" s="30"/>
      <c r="OIP14" s="30"/>
      <c r="OIQ14" s="30"/>
      <c r="OIR14" s="30"/>
      <c r="OIS14" s="30"/>
      <c r="OIT14" s="30"/>
      <c r="OIU14" s="30"/>
      <c r="OIV14" s="30"/>
      <c r="OIW14" s="30"/>
      <c r="OIX14" s="30"/>
      <c r="OIY14" s="30"/>
      <c r="OIZ14" s="30"/>
      <c r="OJA14" s="30"/>
      <c r="OJB14" s="30"/>
      <c r="OJC14" s="30"/>
      <c r="OJD14" s="30"/>
      <c r="OJE14" s="30"/>
      <c r="OJF14" s="30"/>
      <c r="OJG14" s="30"/>
      <c r="OJH14" s="30"/>
      <c r="OJI14" s="30"/>
      <c r="OJJ14" s="30"/>
      <c r="OJK14" s="30"/>
      <c r="OJL14" s="30"/>
      <c r="OJM14" s="30"/>
      <c r="OJN14" s="30"/>
      <c r="OJO14" s="30"/>
      <c r="OJP14" s="30"/>
      <c r="OJQ14" s="30"/>
      <c r="OJR14" s="30"/>
      <c r="OJS14" s="30"/>
      <c r="OJT14" s="30"/>
      <c r="OJU14" s="30"/>
      <c r="OJV14" s="30"/>
      <c r="OJW14" s="30"/>
      <c r="OJX14" s="30"/>
      <c r="OJY14" s="30"/>
      <c r="OJZ14" s="30"/>
      <c r="OKA14" s="30"/>
      <c r="OKB14" s="30"/>
      <c r="OKC14" s="30"/>
      <c r="OKD14" s="30"/>
      <c r="OKE14" s="30"/>
      <c r="OKF14" s="30"/>
      <c r="OKG14" s="30"/>
      <c r="OKH14" s="30"/>
      <c r="OKI14" s="30"/>
      <c r="OKJ14" s="30"/>
      <c r="OKK14" s="30"/>
      <c r="OKL14" s="30"/>
      <c r="OKM14" s="30"/>
      <c r="OKN14" s="30"/>
      <c r="OKO14" s="30"/>
      <c r="OKP14" s="30"/>
      <c r="OKQ14" s="30"/>
      <c r="OKR14" s="30"/>
      <c r="OKS14" s="30"/>
      <c r="OKT14" s="30"/>
      <c r="OKU14" s="30"/>
      <c r="OKV14" s="30"/>
      <c r="OKW14" s="30"/>
      <c r="OKX14" s="30"/>
      <c r="OKY14" s="30"/>
      <c r="OKZ14" s="30"/>
      <c r="OLA14" s="30"/>
      <c r="OLB14" s="30"/>
      <c r="OLC14" s="30"/>
      <c r="OLD14" s="30"/>
      <c r="OLE14" s="30"/>
      <c r="OLF14" s="30"/>
      <c r="OLG14" s="30"/>
      <c r="OLH14" s="30"/>
      <c r="OLI14" s="30"/>
      <c r="OLJ14" s="30"/>
      <c r="OLK14" s="30"/>
      <c r="OLL14" s="30"/>
      <c r="OLM14" s="30"/>
      <c r="OLN14" s="30"/>
      <c r="OLO14" s="30"/>
      <c r="OLP14" s="30"/>
      <c r="OLQ14" s="30"/>
      <c r="OLR14" s="30"/>
      <c r="OLS14" s="30"/>
      <c r="OLT14" s="30"/>
      <c r="OLU14" s="30"/>
      <c r="OLV14" s="30"/>
      <c r="OLW14" s="30"/>
      <c r="OLX14" s="30"/>
      <c r="OLY14" s="30"/>
      <c r="OLZ14" s="30"/>
      <c r="OMA14" s="30"/>
      <c r="OMB14" s="30"/>
      <c r="OMC14" s="30"/>
      <c r="OMD14" s="30"/>
      <c r="OME14" s="30"/>
      <c r="OMF14" s="30"/>
      <c r="OMG14" s="30"/>
      <c r="OMH14" s="30"/>
      <c r="OMI14" s="30"/>
      <c r="OMJ14" s="30"/>
      <c r="OMK14" s="30"/>
      <c r="OML14" s="30"/>
      <c r="OMM14" s="30"/>
      <c r="OMN14" s="30"/>
      <c r="OMO14" s="30"/>
      <c r="OMP14" s="30"/>
      <c r="OMQ14" s="30"/>
      <c r="OMR14" s="30"/>
      <c r="OMS14" s="30"/>
      <c r="OMT14" s="30"/>
      <c r="OMU14" s="30"/>
      <c r="OMV14" s="30"/>
      <c r="OMW14" s="30"/>
      <c r="OMX14" s="30"/>
      <c r="OMY14" s="30"/>
      <c r="OMZ14" s="30"/>
      <c r="ONA14" s="30"/>
      <c r="ONB14" s="30"/>
      <c r="ONC14" s="30"/>
      <c r="OND14" s="30"/>
      <c r="ONE14" s="30"/>
      <c r="ONF14" s="30"/>
      <c r="ONG14" s="30"/>
      <c r="ONH14" s="30"/>
      <c r="ONI14" s="30"/>
      <c r="ONJ14" s="30"/>
      <c r="ONK14" s="30"/>
      <c r="ONL14" s="30"/>
      <c r="ONM14" s="30"/>
      <c r="ONN14" s="30"/>
      <c r="ONO14" s="30"/>
      <c r="ONP14" s="30"/>
      <c r="ONQ14" s="30"/>
      <c r="ONR14" s="30"/>
      <c r="ONS14" s="30"/>
      <c r="ONT14" s="30"/>
      <c r="ONU14" s="30"/>
      <c r="ONV14" s="30"/>
      <c r="ONW14" s="30"/>
      <c r="ONX14" s="30"/>
      <c r="ONY14" s="30"/>
      <c r="ONZ14" s="30"/>
      <c r="OOA14" s="30"/>
      <c r="OOB14" s="30"/>
      <c r="OOC14" s="30"/>
      <c r="OOD14" s="30"/>
      <c r="OOE14" s="30"/>
      <c r="OOF14" s="30"/>
      <c r="OOG14" s="30"/>
      <c r="OOH14" s="30"/>
      <c r="OOI14" s="30"/>
      <c r="OOJ14" s="30"/>
      <c r="OOK14" s="30"/>
      <c r="OOL14" s="30"/>
      <c r="OOM14" s="30"/>
      <c r="OON14" s="30"/>
      <c r="OOO14" s="30"/>
      <c r="OOP14" s="30"/>
      <c r="OOQ14" s="30"/>
      <c r="OOR14" s="30"/>
      <c r="OOS14" s="30"/>
      <c r="OOT14" s="30"/>
      <c r="OOU14" s="30"/>
      <c r="OOV14" s="30"/>
      <c r="OOW14" s="30"/>
      <c r="OOX14" s="30"/>
      <c r="OOY14" s="30"/>
      <c r="OOZ14" s="30"/>
      <c r="OPA14" s="30"/>
      <c r="OPB14" s="30"/>
      <c r="OPC14" s="30"/>
      <c r="OPD14" s="30"/>
      <c r="OPE14" s="30"/>
      <c r="OPF14" s="30"/>
      <c r="OPG14" s="30"/>
      <c r="OPH14" s="30"/>
      <c r="OPI14" s="30"/>
      <c r="OPJ14" s="30"/>
      <c r="OPK14" s="30"/>
      <c r="OPL14" s="30"/>
      <c r="OPM14" s="30"/>
      <c r="OPN14" s="30"/>
      <c r="OPO14" s="30"/>
      <c r="OPP14" s="30"/>
      <c r="OPQ14" s="30"/>
      <c r="OPR14" s="30"/>
      <c r="OPS14" s="30"/>
      <c r="OPT14" s="30"/>
      <c r="OPU14" s="30"/>
      <c r="OPV14" s="30"/>
      <c r="OPW14" s="30"/>
      <c r="OPX14" s="30"/>
      <c r="OPY14" s="30"/>
      <c r="OPZ14" s="30"/>
      <c r="OQA14" s="30"/>
      <c r="OQB14" s="30"/>
      <c r="OQC14" s="30"/>
      <c r="OQD14" s="30"/>
      <c r="OQE14" s="30"/>
      <c r="OQF14" s="30"/>
      <c r="OQG14" s="30"/>
      <c r="OQH14" s="30"/>
      <c r="OQI14" s="30"/>
      <c r="OQJ14" s="30"/>
      <c r="OQK14" s="30"/>
      <c r="OQL14" s="30"/>
      <c r="OQM14" s="30"/>
      <c r="OQN14" s="30"/>
      <c r="OQO14" s="30"/>
      <c r="OQP14" s="30"/>
      <c r="OQQ14" s="30"/>
      <c r="OQR14" s="30"/>
      <c r="OQS14" s="30"/>
      <c r="OQT14" s="30"/>
      <c r="OQU14" s="30"/>
      <c r="OQV14" s="30"/>
      <c r="OQW14" s="30"/>
      <c r="OQX14" s="30"/>
      <c r="OQY14" s="30"/>
      <c r="OQZ14" s="30"/>
      <c r="ORA14" s="30"/>
      <c r="ORB14" s="30"/>
      <c r="ORC14" s="30"/>
      <c r="ORD14" s="30"/>
      <c r="ORE14" s="30"/>
      <c r="ORF14" s="30"/>
      <c r="ORG14" s="30"/>
      <c r="ORH14" s="30"/>
      <c r="ORI14" s="30"/>
      <c r="ORJ14" s="30"/>
      <c r="ORK14" s="30"/>
      <c r="ORL14" s="30"/>
      <c r="ORM14" s="30"/>
      <c r="ORN14" s="30"/>
      <c r="ORO14" s="30"/>
      <c r="ORP14" s="30"/>
      <c r="ORQ14" s="30"/>
      <c r="ORR14" s="30"/>
      <c r="ORS14" s="30"/>
      <c r="ORT14" s="30"/>
      <c r="ORU14" s="30"/>
      <c r="ORV14" s="30"/>
      <c r="ORW14" s="30"/>
      <c r="ORX14" s="30"/>
      <c r="ORY14" s="30"/>
      <c r="ORZ14" s="30"/>
      <c r="OSA14" s="30"/>
      <c r="OSB14" s="30"/>
      <c r="OSC14" s="30"/>
      <c r="OSD14" s="30"/>
      <c r="OSE14" s="30"/>
      <c r="OSF14" s="30"/>
      <c r="OSG14" s="30"/>
      <c r="OSH14" s="30"/>
      <c r="OSI14" s="30"/>
      <c r="OSJ14" s="30"/>
      <c r="OSK14" s="30"/>
      <c r="OSL14" s="30"/>
      <c r="OSM14" s="30"/>
      <c r="OSN14" s="30"/>
      <c r="OSO14" s="30"/>
      <c r="OSP14" s="30"/>
      <c r="OSQ14" s="30"/>
      <c r="OSR14" s="30"/>
      <c r="OSS14" s="30"/>
      <c r="OST14" s="30"/>
      <c r="OSU14" s="30"/>
      <c r="OSV14" s="30"/>
      <c r="OSW14" s="30"/>
      <c r="OSX14" s="30"/>
      <c r="OSY14" s="30"/>
      <c r="OSZ14" s="30"/>
      <c r="OTA14" s="30"/>
      <c r="OTB14" s="30"/>
      <c r="OTC14" s="30"/>
      <c r="OTD14" s="30"/>
      <c r="OTE14" s="30"/>
      <c r="OTF14" s="30"/>
      <c r="OTG14" s="30"/>
      <c r="OTH14" s="30"/>
      <c r="OTI14" s="30"/>
      <c r="OTJ14" s="30"/>
      <c r="OTK14" s="30"/>
      <c r="OTL14" s="30"/>
      <c r="OTM14" s="30"/>
      <c r="OTN14" s="30"/>
      <c r="OTO14" s="30"/>
      <c r="OTP14" s="30"/>
      <c r="OTQ14" s="30"/>
      <c r="OTR14" s="30"/>
      <c r="OTS14" s="30"/>
      <c r="OTT14" s="30"/>
      <c r="OTU14" s="30"/>
      <c r="OTV14" s="30"/>
      <c r="OTW14" s="30"/>
      <c r="OTX14" s="30"/>
      <c r="OTY14" s="30"/>
      <c r="OTZ14" s="30"/>
      <c r="OUA14" s="30"/>
      <c r="OUB14" s="30"/>
      <c r="OUC14" s="30"/>
      <c r="OUD14" s="30"/>
      <c r="OUE14" s="30"/>
      <c r="OUF14" s="30"/>
      <c r="OUG14" s="30"/>
      <c r="OUH14" s="30"/>
      <c r="OUI14" s="30"/>
      <c r="OUJ14" s="30"/>
      <c r="OUK14" s="30"/>
      <c r="OUL14" s="30"/>
      <c r="OUM14" s="30"/>
      <c r="OUN14" s="30"/>
      <c r="OUO14" s="30"/>
      <c r="OUP14" s="30"/>
      <c r="OUQ14" s="30"/>
      <c r="OUR14" s="30"/>
      <c r="OUS14" s="30"/>
      <c r="OUT14" s="30"/>
      <c r="OUU14" s="30"/>
      <c r="OUV14" s="30"/>
      <c r="OUW14" s="30"/>
      <c r="OUX14" s="30"/>
      <c r="OUY14" s="30"/>
      <c r="OUZ14" s="30"/>
      <c r="OVA14" s="30"/>
      <c r="OVB14" s="30"/>
      <c r="OVC14" s="30"/>
      <c r="OVD14" s="30"/>
      <c r="OVE14" s="30"/>
      <c r="OVF14" s="30"/>
      <c r="OVG14" s="30"/>
      <c r="OVH14" s="30"/>
      <c r="OVI14" s="30"/>
      <c r="OVJ14" s="30"/>
      <c r="OVK14" s="30"/>
      <c r="OVL14" s="30"/>
      <c r="OVM14" s="30"/>
      <c r="OVN14" s="30"/>
      <c r="OVO14" s="30"/>
      <c r="OVP14" s="30"/>
      <c r="OVQ14" s="30"/>
      <c r="OVR14" s="30"/>
      <c r="OVS14" s="30"/>
      <c r="OVT14" s="30"/>
      <c r="OVU14" s="30"/>
      <c r="OVV14" s="30"/>
      <c r="OVW14" s="30"/>
      <c r="OVX14" s="30"/>
      <c r="OVY14" s="30"/>
      <c r="OVZ14" s="30"/>
      <c r="OWA14" s="30"/>
      <c r="OWB14" s="30"/>
      <c r="OWC14" s="30"/>
      <c r="OWD14" s="30"/>
      <c r="OWE14" s="30"/>
      <c r="OWF14" s="30"/>
      <c r="OWG14" s="30"/>
      <c r="OWH14" s="30"/>
      <c r="OWI14" s="30"/>
      <c r="OWJ14" s="30"/>
      <c r="OWK14" s="30"/>
      <c r="OWL14" s="30"/>
      <c r="OWM14" s="30"/>
      <c r="OWN14" s="30"/>
      <c r="OWO14" s="30"/>
      <c r="OWP14" s="30"/>
      <c r="OWQ14" s="30"/>
      <c r="OWR14" s="30"/>
      <c r="OWS14" s="30"/>
      <c r="OWT14" s="30"/>
      <c r="OWU14" s="30"/>
      <c r="OWV14" s="30"/>
      <c r="OWW14" s="30"/>
      <c r="OWX14" s="30"/>
      <c r="OWY14" s="30"/>
      <c r="OWZ14" s="30"/>
      <c r="OXA14" s="30"/>
      <c r="OXB14" s="30"/>
      <c r="OXC14" s="30"/>
      <c r="OXD14" s="30"/>
      <c r="OXE14" s="30"/>
      <c r="OXF14" s="30"/>
      <c r="OXG14" s="30"/>
      <c r="OXH14" s="30"/>
      <c r="OXI14" s="30"/>
      <c r="OXJ14" s="30"/>
      <c r="OXK14" s="30"/>
      <c r="OXL14" s="30"/>
      <c r="OXM14" s="30"/>
      <c r="OXN14" s="30"/>
      <c r="OXO14" s="30"/>
      <c r="OXP14" s="30"/>
      <c r="OXQ14" s="30"/>
      <c r="OXR14" s="30"/>
      <c r="OXS14" s="30"/>
      <c r="OXT14" s="30"/>
      <c r="OXU14" s="30"/>
      <c r="OXV14" s="30"/>
      <c r="OXW14" s="30"/>
      <c r="OXX14" s="30"/>
      <c r="OXY14" s="30"/>
      <c r="OXZ14" s="30"/>
      <c r="OYA14" s="30"/>
      <c r="OYB14" s="30"/>
      <c r="OYC14" s="30"/>
      <c r="OYD14" s="30"/>
      <c r="OYE14" s="30"/>
      <c r="OYF14" s="30"/>
      <c r="OYG14" s="30"/>
      <c r="OYH14" s="30"/>
      <c r="OYI14" s="30"/>
      <c r="OYJ14" s="30"/>
      <c r="OYK14" s="30"/>
      <c r="OYL14" s="30"/>
      <c r="OYM14" s="30"/>
      <c r="OYN14" s="30"/>
      <c r="OYO14" s="30"/>
      <c r="OYP14" s="30"/>
      <c r="OYQ14" s="30"/>
      <c r="OYR14" s="30"/>
      <c r="OYS14" s="30"/>
      <c r="OYT14" s="30"/>
      <c r="OYU14" s="30"/>
      <c r="OYV14" s="30"/>
      <c r="OYW14" s="30"/>
      <c r="OYX14" s="30"/>
      <c r="OYY14" s="30"/>
      <c r="OYZ14" s="30"/>
      <c r="OZA14" s="30"/>
      <c r="OZB14" s="30"/>
      <c r="OZC14" s="30"/>
      <c r="OZD14" s="30"/>
      <c r="OZE14" s="30"/>
      <c r="OZF14" s="30"/>
      <c r="OZG14" s="30"/>
      <c r="OZH14" s="30"/>
      <c r="OZI14" s="30"/>
      <c r="OZJ14" s="30"/>
      <c r="OZK14" s="30"/>
      <c r="OZL14" s="30"/>
      <c r="OZM14" s="30"/>
      <c r="OZN14" s="30"/>
      <c r="OZO14" s="30"/>
      <c r="OZP14" s="30"/>
      <c r="OZQ14" s="30"/>
      <c r="OZR14" s="30"/>
      <c r="OZS14" s="30"/>
      <c r="OZT14" s="30"/>
      <c r="OZU14" s="30"/>
      <c r="OZV14" s="30"/>
      <c r="OZW14" s="30"/>
      <c r="OZX14" s="30"/>
      <c r="OZY14" s="30"/>
      <c r="OZZ14" s="30"/>
      <c r="PAA14" s="30"/>
      <c r="PAB14" s="30"/>
      <c r="PAC14" s="30"/>
      <c r="PAD14" s="30"/>
      <c r="PAE14" s="30"/>
      <c r="PAF14" s="30"/>
      <c r="PAG14" s="30"/>
      <c r="PAH14" s="30"/>
      <c r="PAI14" s="30"/>
      <c r="PAJ14" s="30"/>
      <c r="PAK14" s="30"/>
      <c r="PAL14" s="30"/>
      <c r="PAM14" s="30"/>
      <c r="PAN14" s="30"/>
      <c r="PAO14" s="30"/>
      <c r="PAP14" s="30"/>
      <c r="PAQ14" s="30"/>
      <c r="PAR14" s="30"/>
      <c r="PAS14" s="30"/>
      <c r="PAT14" s="30"/>
      <c r="PAU14" s="30"/>
      <c r="PAV14" s="30"/>
      <c r="PAW14" s="30"/>
      <c r="PAX14" s="30"/>
      <c r="PAY14" s="30"/>
      <c r="PAZ14" s="30"/>
      <c r="PBA14" s="30"/>
      <c r="PBB14" s="30"/>
      <c r="PBC14" s="30"/>
      <c r="PBD14" s="30"/>
      <c r="PBE14" s="30"/>
      <c r="PBF14" s="30"/>
      <c r="PBG14" s="30"/>
      <c r="PBH14" s="30"/>
      <c r="PBI14" s="30"/>
      <c r="PBJ14" s="30"/>
      <c r="PBK14" s="30"/>
      <c r="PBL14" s="30"/>
      <c r="PBM14" s="30"/>
      <c r="PBN14" s="30"/>
      <c r="PBO14" s="30"/>
      <c r="PBP14" s="30"/>
      <c r="PBQ14" s="30"/>
      <c r="PBR14" s="30"/>
      <c r="PBS14" s="30"/>
      <c r="PBT14" s="30"/>
      <c r="PBU14" s="30"/>
      <c r="PBV14" s="30"/>
      <c r="PBW14" s="30"/>
      <c r="PBX14" s="30"/>
      <c r="PBY14" s="30"/>
      <c r="PBZ14" s="30"/>
      <c r="PCA14" s="30"/>
      <c r="PCB14" s="30"/>
      <c r="PCC14" s="30"/>
      <c r="PCD14" s="30"/>
      <c r="PCE14" s="30"/>
      <c r="PCF14" s="30"/>
      <c r="PCG14" s="30"/>
      <c r="PCH14" s="30"/>
      <c r="PCI14" s="30"/>
      <c r="PCJ14" s="30"/>
      <c r="PCK14" s="30"/>
      <c r="PCL14" s="30"/>
      <c r="PCM14" s="30"/>
      <c r="PCN14" s="30"/>
      <c r="PCO14" s="30"/>
      <c r="PCP14" s="30"/>
      <c r="PCQ14" s="30"/>
      <c r="PCR14" s="30"/>
      <c r="PCS14" s="30"/>
      <c r="PCT14" s="30"/>
      <c r="PCU14" s="30"/>
      <c r="PCV14" s="30"/>
      <c r="PCW14" s="30"/>
      <c r="PCX14" s="30"/>
      <c r="PCY14" s="30"/>
      <c r="PCZ14" s="30"/>
      <c r="PDA14" s="30"/>
      <c r="PDB14" s="30"/>
      <c r="PDC14" s="30"/>
      <c r="PDD14" s="30"/>
      <c r="PDE14" s="30"/>
      <c r="PDF14" s="30"/>
      <c r="PDG14" s="30"/>
      <c r="PDH14" s="30"/>
      <c r="PDI14" s="30"/>
      <c r="PDJ14" s="30"/>
      <c r="PDK14" s="30"/>
      <c r="PDL14" s="30"/>
      <c r="PDM14" s="30"/>
      <c r="PDN14" s="30"/>
      <c r="PDO14" s="30"/>
      <c r="PDP14" s="30"/>
      <c r="PDQ14" s="30"/>
      <c r="PDR14" s="30"/>
      <c r="PDS14" s="30"/>
      <c r="PDT14" s="30"/>
      <c r="PDU14" s="30"/>
      <c r="PDV14" s="30"/>
      <c r="PDW14" s="30"/>
      <c r="PDX14" s="30"/>
      <c r="PDY14" s="30"/>
      <c r="PDZ14" s="30"/>
      <c r="PEA14" s="30"/>
      <c r="PEB14" s="30"/>
      <c r="PEC14" s="30"/>
      <c r="PED14" s="30"/>
      <c r="PEE14" s="30"/>
      <c r="PEF14" s="30"/>
      <c r="PEG14" s="30"/>
      <c r="PEH14" s="30"/>
      <c r="PEI14" s="30"/>
      <c r="PEJ14" s="30"/>
      <c r="PEK14" s="30"/>
      <c r="PEL14" s="30"/>
      <c r="PEM14" s="30"/>
      <c r="PEN14" s="30"/>
      <c r="PEO14" s="30"/>
      <c r="PEP14" s="30"/>
      <c r="PEQ14" s="30"/>
      <c r="PER14" s="30"/>
      <c r="PES14" s="30"/>
      <c r="PET14" s="30"/>
      <c r="PEU14" s="30"/>
      <c r="PEV14" s="30"/>
      <c r="PEW14" s="30"/>
      <c r="PEX14" s="30"/>
      <c r="PEY14" s="30"/>
      <c r="PEZ14" s="30"/>
      <c r="PFA14" s="30"/>
      <c r="PFB14" s="30"/>
      <c r="PFC14" s="30"/>
      <c r="PFD14" s="30"/>
      <c r="PFE14" s="30"/>
      <c r="PFF14" s="30"/>
      <c r="PFG14" s="30"/>
      <c r="PFH14" s="30"/>
      <c r="PFI14" s="30"/>
      <c r="PFJ14" s="30"/>
      <c r="PFK14" s="30"/>
      <c r="PFL14" s="30"/>
      <c r="PFM14" s="30"/>
      <c r="PFN14" s="30"/>
      <c r="PFO14" s="30"/>
      <c r="PFP14" s="30"/>
      <c r="PFQ14" s="30"/>
      <c r="PFR14" s="30"/>
      <c r="PFS14" s="30"/>
      <c r="PFT14" s="30"/>
      <c r="PFU14" s="30"/>
      <c r="PFV14" s="30"/>
      <c r="PFW14" s="30"/>
      <c r="PFX14" s="30"/>
      <c r="PFY14" s="30"/>
      <c r="PFZ14" s="30"/>
      <c r="PGA14" s="30"/>
      <c r="PGB14" s="30"/>
      <c r="PGC14" s="30"/>
      <c r="PGD14" s="30"/>
      <c r="PGE14" s="30"/>
      <c r="PGF14" s="30"/>
      <c r="PGG14" s="30"/>
      <c r="PGH14" s="30"/>
      <c r="PGI14" s="30"/>
      <c r="PGJ14" s="30"/>
      <c r="PGK14" s="30"/>
      <c r="PGL14" s="30"/>
      <c r="PGM14" s="30"/>
      <c r="PGN14" s="30"/>
      <c r="PGO14" s="30"/>
      <c r="PGP14" s="30"/>
      <c r="PGQ14" s="30"/>
      <c r="PGR14" s="30"/>
      <c r="PGS14" s="30"/>
      <c r="PGT14" s="30"/>
      <c r="PGU14" s="30"/>
      <c r="PGV14" s="30"/>
      <c r="PGW14" s="30"/>
      <c r="PGX14" s="30"/>
      <c r="PGY14" s="30"/>
      <c r="PGZ14" s="30"/>
      <c r="PHA14" s="30"/>
      <c r="PHB14" s="30"/>
      <c r="PHC14" s="30"/>
      <c r="PHD14" s="30"/>
      <c r="PHE14" s="30"/>
      <c r="PHF14" s="30"/>
      <c r="PHG14" s="30"/>
      <c r="PHH14" s="30"/>
      <c r="PHI14" s="30"/>
      <c r="PHJ14" s="30"/>
      <c r="PHK14" s="30"/>
      <c r="PHL14" s="30"/>
      <c r="PHM14" s="30"/>
      <c r="PHN14" s="30"/>
      <c r="PHO14" s="30"/>
      <c r="PHP14" s="30"/>
      <c r="PHQ14" s="30"/>
      <c r="PHR14" s="30"/>
      <c r="PHS14" s="30"/>
      <c r="PHT14" s="30"/>
      <c r="PHU14" s="30"/>
      <c r="PHV14" s="30"/>
      <c r="PHW14" s="30"/>
      <c r="PHX14" s="30"/>
      <c r="PHY14" s="30"/>
      <c r="PHZ14" s="30"/>
      <c r="PIA14" s="30"/>
      <c r="PIB14" s="30"/>
      <c r="PIC14" s="30"/>
      <c r="PID14" s="30"/>
      <c r="PIE14" s="30"/>
      <c r="PIF14" s="30"/>
      <c r="PIG14" s="30"/>
      <c r="PIH14" s="30"/>
      <c r="PII14" s="30"/>
      <c r="PIJ14" s="30"/>
      <c r="PIK14" s="30"/>
      <c r="PIL14" s="30"/>
      <c r="PIM14" s="30"/>
      <c r="PIN14" s="30"/>
      <c r="PIO14" s="30"/>
      <c r="PIP14" s="30"/>
      <c r="PIQ14" s="30"/>
      <c r="PIR14" s="30"/>
      <c r="PIS14" s="30"/>
      <c r="PIT14" s="30"/>
      <c r="PIU14" s="30"/>
      <c r="PIV14" s="30"/>
      <c r="PIW14" s="30"/>
      <c r="PIX14" s="30"/>
      <c r="PIY14" s="30"/>
      <c r="PIZ14" s="30"/>
      <c r="PJA14" s="30"/>
      <c r="PJB14" s="30"/>
      <c r="PJC14" s="30"/>
      <c r="PJD14" s="30"/>
      <c r="PJE14" s="30"/>
      <c r="PJF14" s="30"/>
      <c r="PJG14" s="30"/>
      <c r="PJH14" s="30"/>
      <c r="PJI14" s="30"/>
      <c r="PJJ14" s="30"/>
      <c r="PJK14" s="30"/>
      <c r="PJL14" s="30"/>
      <c r="PJM14" s="30"/>
      <c r="PJN14" s="30"/>
      <c r="PJO14" s="30"/>
      <c r="PJP14" s="30"/>
      <c r="PJQ14" s="30"/>
      <c r="PJR14" s="30"/>
      <c r="PJS14" s="30"/>
      <c r="PJT14" s="30"/>
      <c r="PJU14" s="30"/>
      <c r="PJV14" s="30"/>
      <c r="PJW14" s="30"/>
      <c r="PJX14" s="30"/>
      <c r="PJY14" s="30"/>
      <c r="PJZ14" s="30"/>
      <c r="PKA14" s="30"/>
      <c r="PKB14" s="30"/>
      <c r="PKC14" s="30"/>
      <c r="PKD14" s="30"/>
      <c r="PKE14" s="30"/>
      <c r="PKF14" s="30"/>
      <c r="PKG14" s="30"/>
      <c r="PKH14" s="30"/>
      <c r="PKI14" s="30"/>
      <c r="PKJ14" s="30"/>
      <c r="PKK14" s="30"/>
      <c r="PKL14" s="30"/>
      <c r="PKM14" s="30"/>
      <c r="PKN14" s="30"/>
      <c r="PKO14" s="30"/>
      <c r="PKP14" s="30"/>
      <c r="PKQ14" s="30"/>
      <c r="PKR14" s="30"/>
      <c r="PKS14" s="30"/>
      <c r="PKT14" s="30"/>
      <c r="PKU14" s="30"/>
      <c r="PKV14" s="30"/>
      <c r="PKW14" s="30"/>
      <c r="PKX14" s="30"/>
      <c r="PKY14" s="30"/>
      <c r="PKZ14" s="30"/>
      <c r="PLA14" s="30"/>
      <c r="PLB14" s="30"/>
      <c r="PLC14" s="30"/>
      <c r="PLD14" s="30"/>
      <c r="PLE14" s="30"/>
      <c r="PLF14" s="30"/>
      <c r="PLG14" s="30"/>
      <c r="PLH14" s="30"/>
      <c r="PLI14" s="30"/>
      <c r="PLJ14" s="30"/>
      <c r="PLK14" s="30"/>
      <c r="PLL14" s="30"/>
      <c r="PLM14" s="30"/>
      <c r="PLN14" s="30"/>
      <c r="PLO14" s="30"/>
      <c r="PLP14" s="30"/>
      <c r="PLQ14" s="30"/>
      <c r="PLR14" s="30"/>
      <c r="PLS14" s="30"/>
      <c r="PLT14" s="30"/>
      <c r="PLU14" s="30"/>
      <c r="PLV14" s="30"/>
      <c r="PLW14" s="30"/>
      <c r="PLX14" s="30"/>
      <c r="PLY14" s="30"/>
      <c r="PLZ14" s="30"/>
      <c r="PMA14" s="30"/>
      <c r="PMB14" s="30"/>
      <c r="PMC14" s="30"/>
      <c r="PMD14" s="30"/>
      <c r="PME14" s="30"/>
      <c r="PMF14" s="30"/>
      <c r="PMG14" s="30"/>
      <c r="PMH14" s="30"/>
      <c r="PMI14" s="30"/>
      <c r="PMJ14" s="30"/>
      <c r="PMK14" s="30"/>
      <c r="PML14" s="30"/>
      <c r="PMM14" s="30"/>
      <c r="PMN14" s="30"/>
      <c r="PMO14" s="30"/>
      <c r="PMP14" s="30"/>
      <c r="PMQ14" s="30"/>
      <c r="PMR14" s="30"/>
      <c r="PMS14" s="30"/>
      <c r="PMT14" s="30"/>
      <c r="PMU14" s="30"/>
      <c r="PMV14" s="30"/>
      <c r="PMW14" s="30"/>
      <c r="PMX14" s="30"/>
      <c r="PMY14" s="30"/>
      <c r="PMZ14" s="30"/>
      <c r="PNA14" s="30"/>
      <c r="PNB14" s="30"/>
      <c r="PNC14" s="30"/>
      <c r="PND14" s="30"/>
      <c r="PNE14" s="30"/>
      <c r="PNF14" s="30"/>
      <c r="PNG14" s="30"/>
      <c r="PNH14" s="30"/>
      <c r="PNI14" s="30"/>
      <c r="PNJ14" s="30"/>
      <c r="PNK14" s="30"/>
      <c r="PNL14" s="30"/>
      <c r="PNM14" s="30"/>
      <c r="PNN14" s="30"/>
      <c r="PNO14" s="30"/>
      <c r="PNP14" s="30"/>
      <c r="PNQ14" s="30"/>
      <c r="PNR14" s="30"/>
      <c r="PNS14" s="30"/>
      <c r="PNT14" s="30"/>
      <c r="PNU14" s="30"/>
      <c r="PNV14" s="30"/>
      <c r="PNW14" s="30"/>
      <c r="PNX14" s="30"/>
      <c r="PNY14" s="30"/>
      <c r="PNZ14" s="30"/>
      <c r="POA14" s="30"/>
      <c r="POB14" s="30"/>
      <c r="POC14" s="30"/>
      <c r="POD14" s="30"/>
      <c r="POE14" s="30"/>
      <c r="POF14" s="30"/>
      <c r="POG14" s="30"/>
      <c r="POH14" s="30"/>
      <c r="POI14" s="30"/>
      <c r="POJ14" s="30"/>
      <c r="POK14" s="30"/>
      <c r="POL14" s="30"/>
      <c r="POM14" s="30"/>
      <c r="PON14" s="30"/>
      <c r="POO14" s="30"/>
      <c r="POP14" s="30"/>
      <c r="POQ14" s="30"/>
      <c r="POR14" s="30"/>
      <c r="POS14" s="30"/>
      <c r="POT14" s="30"/>
      <c r="POU14" s="30"/>
      <c r="POV14" s="30"/>
      <c r="POW14" s="30"/>
      <c r="POX14" s="30"/>
      <c r="POY14" s="30"/>
      <c r="POZ14" s="30"/>
      <c r="PPA14" s="30"/>
      <c r="PPB14" s="30"/>
      <c r="PPC14" s="30"/>
      <c r="PPD14" s="30"/>
      <c r="PPE14" s="30"/>
      <c r="PPF14" s="30"/>
      <c r="PPG14" s="30"/>
      <c r="PPH14" s="30"/>
      <c r="PPI14" s="30"/>
      <c r="PPJ14" s="30"/>
      <c r="PPK14" s="30"/>
      <c r="PPL14" s="30"/>
      <c r="PPM14" s="30"/>
      <c r="PPN14" s="30"/>
      <c r="PPO14" s="30"/>
      <c r="PPP14" s="30"/>
      <c r="PPQ14" s="30"/>
      <c r="PPR14" s="30"/>
      <c r="PPS14" s="30"/>
      <c r="PPT14" s="30"/>
      <c r="PPU14" s="30"/>
      <c r="PPV14" s="30"/>
      <c r="PPW14" s="30"/>
      <c r="PPX14" s="30"/>
      <c r="PPY14" s="30"/>
      <c r="PPZ14" s="30"/>
      <c r="PQA14" s="30"/>
      <c r="PQB14" s="30"/>
      <c r="PQC14" s="30"/>
      <c r="PQD14" s="30"/>
      <c r="PQE14" s="30"/>
      <c r="PQF14" s="30"/>
      <c r="PQG14" s="30"/>
      <c r="PQH14" s="30"/>
      <c r="PQI14" s="30"/>
      <c r="PQJ14" s="30"/>
      <c r="PQK14" s="30"/>
      <c r="PQL14" s="30"/>
      <c r="PQM14" s="30"/>
      <c r="PQN14" s="30"/>
      <c r="PQO14" s="30"/>
      <c r="PQP14" s="30"/>
      <c r="PQQ14" s="30"/>
      <c r="PQR14" s="30"/>
      <c r="PQS14" s="30"/>
      <c r="PQT14" s="30"/>
      <c r="PQU14" s="30"/>
      <c r="PQV14" s="30"/>
      <c r="PQW14" s="30"/>
      <c r="PQX14" s="30"/>
      <c r="PQY14" s="30"/>
      <c r="PQZ14" s="30"/>
      <c r="PRA14" s="30"/>
      <c r="PRB14" s="30"/>
      <c r="PRC14" s="30"/>
      <c r="PRD14" s="30"/>
      <c r="PRE14" s="30"/>
      <c r="PRF14" s="30"/>
      <c r="PRG14" s="30"/>
      <c r="PRH14" s="30"/>
      <c r="PRI14" s="30"/>
      <c r="PRJ14" s="30"/>
      <c r="PRK14" s="30"/>
      <c r="PRL14" s="30"/>
      <c r="PRM14" s="30"/>
      <c r="PRN14" s="30"/>
      <c r="PRO14" s="30"/>
      <c r="PRP14" s="30"/>
      <c r="PRQ14" s="30"/>
      <c r="PRR14" s="30"/>
      <c r="PRS14" s="30"/>
      <c r="PRT14" s="30"/>
      <c r="PRU14" s="30"/>
      <c r="PRV14" s="30"/>
      <c r="PRW14" s="30"/>
      <c r="PRX14" s="30"/>
      <c r="PRY14" s="30"/>
      <c r="PRZ14" s="30"/>
      <c r="PSA14" s="30"/>
      <c r="PSB14" s="30"/>
      <c r="PSC14" s="30"/>
      <c r="PSD14" s="30"/>
      <c r="PSE14" s="30"/>
      <c r="PSF14" s="30"/>
      <c r="PSG14" s="30"/>
      <c r="PSH14" s="30"/>
      <c r="PSI14" s="30"/>
      <c r="PSJ14" s="30"/>
      <c r="PSK14" s="30"/>
      <c r="PSL14" s="30"/>
      <c r="PSM14" s="30"/>
      <c r="PSN14" s="30"/>
      <c r="PSO14" s="30"/>
      <c r="PSP14" s="30"/>
      <c r="PSQ14" s="30"/>
      <c r="PSR14" s="30"/>
      <c r="PSS14" s="30"/>
      <c r="PST14" s="30"/>
      <c r="PSU14" s="30"/>
      <c r="PSV14" s="30"/>
      <c r="PSW14" s="30"/>
      <c r="PSX14" s="30"/>
      <c r="PSY14" s="30"/>
      <c r="PSZ14" s="30"/>
      <c r="PTA14" s="30"/>
      <c r="PTB14" s="30"/>
      <c r="PTC14" s="30"/>
      <c r="PTD14" s="30"/>
      <c r="PTE14" s="30"/>
      <c r="PTF14" s="30"/>
      <c r="PTG14" s="30"/>
      <c r="PTH14" s="30"/>
      <c r="PTI14" s="30"/>
      <c r="PTJ14" s="30"/>
      <c r="PTK14" s="30"/>
      <c r="PTL14" s="30"/>
      <c r="PTM14" s="30"/>
      <c r="PTN14" s="30"/>
      <c r="PTO14" s="30"/>
      <c r="PTP14" s="30"/>
      <c r="PTQ14" s="30"/>
      <c r="PTR14" s="30"/>
      <c r="PTS14" s="30"/>
      <c r="PTT14" s="30"/>
      <c r="PTU14" s="30"/>
      <c r="PTV14" s="30"/>
      <c r="PTW14" s="30"/>
      <c r="PTX14" s="30"/>
      <c r="PTY14" s="30"/>
      <c r="PTZ14" s="30"/>
      <c r="PUA14" s="30"/>
      <c r="PUB14" s="30"/>
      <c r="PUC14" s="30"/>
      <c r="PUD14" s="30"/>
      <c r="PUE14" s="30"/>
      <c r="PUF14" s="30"/>
      <c r="PUG14" s="30"/>
      <c r="PUH14" s="30"/>
      <c r="PUI14" s="30"/>
      <c r="PUJ14" s="30"/>
      <c r="PUK14" s="30"/>
      <c r="PUL14" s="30"/>
      <c r="PUM14" s="30"/>
      <c r="PUN14" s="30"/>
      <c r="PUO14" s="30"/>
      <c r="PUP14" s="30"/>
      <c r="PUQ14" s="30"/>
      <c r="PUR14" s="30"/>
      <c r="PUS14" s="30"/>
      <c r="PUT14" s="30"/>
      <c r="PUU14" s="30"/>
      <c r="PUV14" s="30"/>
      <c r="PUW14" s="30"/>
      <c r="PUX14" s="30"/>
      <c r="PUY14" s="30"/>
      <c r="PUZ14" s="30"/>
      <c r="PVA14" s="30"/>
      <c r="PVB14" s="30"/>
      <c r="PVC14" s="30"/>
      <c r="PVD14" s="30"/>
      <c r="PVE14" s="30"/>
      <c r="PVF14" s="30"/>
      <c r="PVG14" s="30"/>
      <c r="PVH14" s="30"/>
      <c r="PVI14" s="30"/>
      <c r="PVJ14" s="30"/>
      <c r="PVK14" s="30"/>
      <c r="PVL14" s="30"/>
      <c r="PVM14" s="30"/>
      <c r="PVN14" s="30"/>
      <c r="PVO14" s="30"/>
      <c r="PVP14" s="30"/>
      <c r="PVQ14" s="30"/>
      <c r="PVR14" s="30"/>
      <c r="PVS14" s="30"/>
      <c r="PVT14" s="30"/>
      <c r="PVU14" s="30"/>
      <c r="PVV14" s="30"/>
      <c r="PVW14" s="30"/>
      <c r="PVX14" s="30"/>
      <c r="PVY14" s="30"/>
      <c r="PVZ14" s="30"/>
      <c r="PWA14" s="30"/>
      <c r="PWB14" s="30"/>
      <c r="PWC14" s="30"/>
      <c r="PWD14" s="30"/>
      <c r="PWE14" s="30"/>
      <c r="PWF14" s="30"/>
      <c r="PWG14" s="30"/>
      <c r="PWH14" s="30"/>
      <c r="PWI14" s="30"/>
      <c r="PWJ14" s="30"/>
      <c r="PWK14" s="30"/>
      <c r="PWL14" s="30"/>
      <c r="PWM14" s="30"/>
      <c r="PWN14" s="30"/>
      <c r="PWO14" s="30"/>
      <c r="PWP14" s="30"/>
      <c r="PWQ14" s="30"/>
      <c r="PWR14" s="30"/>
      <c r="PWS14" s="30"/>
      <c r="PWT14" s="30"/>
      <c r="PWU14" s="30"/>
      <c r="PWV14" s="30"/>
      <c r="PWW14" s="30"/>
      <c r="PWX14" s="30"/>
      <c r="PWY14" s="30"/>
      <c r="PWZ14" s="30"/>
      <c r="PXA14" s="30"/>
      <c r="PXB14" s="30"/>
      <c r="PXC14" s="30"/>
      <c r="PXD14" s="30"/>
      <c r="PXE14" s="30"/>
      <c r="PXF14" s="30"/>
      <c r="PXG14" s="30"/>
      <c r="PXH14" s="30"/>
      <c r="PXI14" s="30"/>
      <c r="PXJ14" s="30"/>
      <c r="PXK14" s="30"/>
      <c r="PXL14" s="30"/>
      <c r="PXM14" s="30"/>
      <c r="PXN14" s="30"/>
      <c r="PXO14" s="30"/>
      <c r="PXP14" s="30"/>
      <c r="PXQ14" s="30"/>
      <c r="PXR14" s="30"/>
      <c r="PXS14" s="30"/>
      <c r="PXT14" s="30"/>
      <c r="PXU14" s="30"/>
      <c r="PXV14" s="30"/>
      <c r="PXW14" s="30"/>
      <c r="PXX14" s="30"/>
      <c r="PXY14" s="30"/>
      <c r="PXZ14" s="30"/>
      <c r="PYA14" s="30"/>
      <c r="PYB14" s="30"/>
      <c r="PYC14" s="30"/>
      <c r="PYD14" s="30"/>
      <c r="PYE14" s="30"/>
      <c r="PYF14" s="30"/>
      <c r="PYG14" s="30"/>
      <c r="PYH14" s="30"/>
      <c r="PYI14" s="30"/>
      <c r="PYJ14" s="30"/>
      <c r="PYK14" s="30"/>
      <c r="PYL14" s="30"/>
      <c r="PYM14" s="30"/>
      <c r="PYN14" s="30"/>
      <c r="PYO14" s="30"/>
      <c r="PYP14" s="30"/>
      <c r="PYQ14" s="30"/>
      <c r="PYR14" s="30"/>
      <c r="PYS14" s="30"/>
      <c r="PYT14" s="30"/>
      <c r="PYU14" s="30"/>
      <c r="PYV14" s="30"/>
      <c r="PYW14" s="30"/>
      <c r="PYX14" s="30"/>
      <c r="PYY14" s="30"/>
      <c r="PYZ14" s="30"/>
      <c r="PZA14" s="30"/>
      <c r="PZB14" s="30"/>
      <c r="PZC14" s="30"/>
      <c r="PZD14" s="30"/>
      <c r="PZE14" s="30"/>
      <c r="PZF14" s="30"/>
      <c r="PZG14" s="30"/>
      <c r="PZH14" s="30"/>
      <c r="PZI14" s="30"/>
      <c r="PZJ14" s="30"/>
      <c r="PZK14" s="30"/>
      <c r="PZL14" s="30"/>
      <c r="PZM14" s="30"/>
      <c r="PZN14" s="30"/>
      <c r="PZO14" s="30"/>
      <c r="PZP14" s="30"/>
      <c r="PZQ14" s="30"/>
      <c r="PZR14" s="30"/>
      <c r="PZS14" s="30"/>
      <c r="PZT14" s="30"/>
      <c r="PZU14" s="30"/>
      <c r="PZV14" s="30"/>
      <c r="PZW14" s="30"/>
      <c r="PZX14" s="30"/>
      <c r="PZY14" s="30"/>
      <c r="PZZ14" s="30"/>
      <c r="QAA14" s="30"/>
      <c r="QAB14" s="30"/>
      <c r="QAC14" s="30"/>
      <c r="QAD14" s="30"/>
      <c r="QAE14" s="30"/>
      <c r="QAF14" s="30"/>
      <c r="QAG14" s="30"/>
      <c r="QAH14" s="30"/>
      <c r="QAI14" s="30"/>
      <c r="QAJ14" s="30"/>
      <c r="QAK14" s="30"/>
      <c r="QAL14" s="30"/>
      <c r="QAM14" s="30"/>
      <c r="QAN14" s="30"/>
      <c r="QAO14" s="30"/>
      <c r="QAP14" s="30"/>
      <c r="QAQ14" s="30"/>
      <c r="QAR14" s="30"/>
      <c r="QAS14" s="30"/>
      <c r="QAT14" s="30"/>
      <c r="QAU14" s="30"/>
      <c r="QAV14" s="30"/>
      <c r="QAW14" s="30"/>
      <c r="QAX14" s="30"/>
      <c r="QAY14" s="30"/>
      <c r="QAZ14" s="30"/>
      <c r="QBA14" s="30"/>
      <c r="QBB14" s="30"/>
      <c r="QBC14" s="30"/>
      <c r="QBD14" s="30"/>
      <c r="QBE14" s="30"/>
      <c r="QBF14" s="30"/>
      <c r="QBG14" s="30"/>
      <c r="QBH14" s="30"/>
      <c r="QBI14" s="30"/>
      <c r="QBJ14" s="30"/>
      <c r="QBK14" s="30"/>
      <c r="QBL14" s="30"/>
      <c r="QBM14" s="30"/>
      <c r="QBN14" s="30"/>
      <c r="QBO14" s="30"/>
      <c r="QBP14" s="30"/>
      <c r="QBQ14" s="30"/>
      <c r="QBR14" s="30"/>
      <c r="QBS14" s="30"/>
      <c r="QBT14" s="30"/>
      <c r="QBU14" s="30"/>
      <c r="QBV14" s="30"/>
      <c r="QBW14" s="30"/>
      <c r="QBX14" s="30"/>
      <c r="QBY14" s="30"/>
      <c r="QBZ14" s="30"/>
      <c r="QCA14" s="30"/>
      <c r="QCB14" s="30"/>
      <c r="QCC14" s="30"/>
      <c r="QCD14" s="30"/>
      <c r="QCE14" s="30"/>
      <c r="QCF14" s="30"/>
      <c r="QCG14" s="30"/>
      <c r="QCH14" s="30"/>
      <c r="QCI14" s="30"/>
      <c r="QCJ14" s="30"/>
      <c r="QCK14" s="30"/>
      <c r="QCL14" s="30"/>
      <c r="QCM14" s="30"/>
      <c r="QCN14" s="30"/>
      <c r="QCO14" s="30"/>
      <c r="QCP14" s="30"/>
      <c r="QCQ14" s="30"/>
      <c r="QCR14" s="30"/>
      <c r="QCS14" s="30"/>
      <c r="QCT14" s="30"/>
      <c r="QCU14" s="30"/>
      <c r="QCV14" s="30"/>
      <c r="QCW14" s="30"/>
      <c r="QCX14" s="30"/>
      <c r="QCY14" s="30"/>
      <c r="QCZ14" s="30"/>
      <c r="QDA14" s="30"/>
      <c r="QDB14" s="30"/>
      <c r="QDC14" s="30"/>
      <c r="QDD14" s="30"/>
      <c r="QDE14" s="30"/>
      <c r="QDF14" s="30"/>
      <c r="QDG14" s="30"/>
      <c r="QDH14" s="30"/>
      <c r="QDI14" s="30"/>
      <c r="QDJ14" s="30"/>
      <c r="QDK14" s="30"/>
      <c r="QDL14" s="30"/>
      <c r="QDM14" s="30"/>
      <c r="QDN14" s="30"/>
      <c r="QDO14" s="30"/>
      <c r="QDP14" s="30"/>
      <c r="QDQ14" s="30"/>
      <c r="QDR14" s="30"/>
      <c r="QDS14" s="30"/>
      <c r="QDT14" s="30"/>
      <c r="QDU14" s="30"/>
      <c r="QDV14" s="30"/>
      <c r="QDW14" s="30"/>
      <c r="QDX14" s="30"/>
      <c r="QDY14" s="30"/>
      <c r="QDZ14" s="30"/>
      <c r="QEA14" s="30"/>
      <c r="QEB14" s="30"/>
      <c r="QEC14" s="30"/>
      <c r="QED14" s="30"/>
      <c r="QEE14" s="30"/>
      <c r="QEF14" s="30"/>
      <c r="QEG14" s="30"/>
      <c r="QEH14" s="30"/>
      <c r="QEI14" s="30"/>
      <c r="QEJ14" s="30"/>
      <c r="QEK14" s="30"/>
      <c r="QEL14" s="30"/>
      <c r="QEM14" s="30"/>
      <c r="QEN14" s="30"/>
      <c r="QEO14" s="30"/>
      <c r="QEP14" s="30"/>
      <c r="QEQ14" s="30"/>
      <c r="QER14" s="30"/>
      <c r="QES14" s="30"/>
      <c r="QET14" s="30"/>
      <c r="QEU14" s="30"/>
      <c r="QEV14" s="30"/>
      <c r="QEW14" s="30"/>
      <c r="QEX14" s="30"/>
      <c r="QEY14" s="30"/>
      <c r="QEZ14" s="30"/>
      <c r="QFA14" s="30"/>
      <c r="QFB14" s="30"/>
      <c r="QFC14" s="30"/>
      <c r="QFD14" s="30"/>
      <c r="QFE14" s="30"/>
      <c r="QFF14" s="30"/>
      <c r="QFG14" s="30"/>
      <c r="QFH14" s="30"/>
      <c r="QFI14" s="30"/>
      <c r="QFJ14" s="30"/>
      <c r="QFK14" s="30"/>
      <c r="QFL14" s="30"/>
      <c r="QFM14" s="30"/>
      <c r="QFN14" s="30"/>
      <c r="QFO14" s="30"/>
      <c r="QFP14" s="30"/>
      <c r="QFQ14" s="30"/>
      <c r="QFR14" s="30"/>
      <c r="QFS14" s="30"/>
      <c r="QFT14" s="30"/>
      <c r="QFU14" s="30"/>
      <c r="QFV14" s="30"/>
      <c r="QFW14" s="30"/>
      <c r="QFX14" s="30"/>
      <c r="QFY14" s="30"/>
      <c r="QFZ14" s="30"/>
      <c r="QGA14" s="30"/>
      <c r="QGB14" s="30"/>
      <c r="QGC14" s="30"/>
      <c r="QGD14" s="30"/>
      <c r="QGE14" s="30"/>
      <c r="QGF14" s="30"/>
      <c r="QGG14" s="30"/>
      <c r="QGH14" s="30"/>
      <c r="QGI14" s="30"/>
      <c r="QGJ14" s="30"/>
      <c r="QGK14" s="30"/>
      <c r="QGL14" s="30"/>
      <c r="QGM14" s="30"/>
      <c r="QGN14" s="30"/>
      <c r="QGO14" s="30"/>
      <c r="QGP14" s="30"/>
      <c r="QGQ14" s="30"/>
      <c r="QGR14" s="30"/>
      <c r="QGS14" s="30"/>
      <c r="QGT14" s="30"/>
      <c r="QGU14" s="30"/>
      <c r="QGV14" s="30"/>
      <c r="QGW14" s="30"/>
      <c r="QGX14" s="30"/>
      <c r="QGY14" s="30"/>
      <c r="QGZ14" s="30"/>
      <c r="QHA14" s="30"/>
      <c r="QHB14" s="30"/>
      <c r="QHC14" s="30"/>
      <c r="QHD14" s="30"/>
      <c r="QHE14" s="30"/>
      <c r="QHF14" s="30"/>
      <c r="QHG14" s="30"/>
      <c r="QHH14" s="30"/>
      <c r="QHI14" s="30"/>
      <c r="QHJ14" s="30"/>
      <c r="QHK14" s="30"/>
      <c r="QHL14" s="30"/>
      <c r="QHM14" s="30"/>
      <c r="QHN14" s="30"/>
      <c r="QHO14" s="30"/>
      <c r="QHP14" s="30"/>
      <c r="QHQ14" s="30"/>
      <c r="QHR14" s="30"/>
      <c r="QHS14" s="30"/>
      <c r="QHT14" s="30"/>
      <c r="QHU14" s="30"/>
      <c r="QHV14" s="30"/>
      <c r="QHW14" s="30"/>
      <c r="QHX14" s="30"/>
      <c r="QHY14" s="30"/>
      <c r="QHZ14" s="30"/>
      <c r="QIA14" s="30"/>
      <c r="QIB14" s="30"/>
      <c r="QIC14" s="30"/>
      <c r="QID14" s="30"/>
      <c r="QIE14" s="30"/>
      <c r="QIF14" s="30"/>
      <c r="QIG14" s="30"/>
      <c r="QIH14" s="30"/>
      <c r="QII14" s="30"/>
      <c r="QIJ14" s="30"/>
      <c r="QIK14" s="30"/>
      <c r="QIL14" s="30"/>
      <c r="QIM14" s="30"/>
      <c r="QIN14" s="30"/>
      <c r="QIO14" s="30"/>
      <c r="QIP14" s="30"/>
      <c r="QIQ14" s="30"/>
      <c r="QIR14" s="30"/>
      <c r="QIS14" s="30"/>
      <c r="QIT14" s="30"/>
      <c r="QIU14" s="30"/>
      <c r="QIV14" s="30"/>
      <c r="QIW14" s="30"/>
      <c r="QIX14" s="30"/>
      <c r="QIY14" s="30"/>
      <c r="QIZ14" s="30"/>
      <c r="QJA14" s="30"/>
      <c r="QJB14" s="30"/>
      <c r="QJC14" s="30"/>
      <c r="QJD14" s="30"/>
      <c r="QJE14" s="30"/>
      <c r="QJF14" s="30"/>
      <c r="QJG14" s="30"/>
      <c r="QJH14" s="30"/>
      <c r="QJI14" s="30"/>
      <c r="QJJ14" s="30"/>
      <c r="QJK14" s="30"/>
      <c r="QJL14" s="30"/>
      <c r="QJM14" s="30"/>
      <c r="QJN14" s="30"/>
      <c r="QJO14" s="30"/>
      <c r="QJP14" s="30"/>
      <c r="QJQ14" s="30"/>
      <c r="QJR14" s="30"/>
      <c r="QJS14" s="30"/>
      <c r="QJT14" s="30"/>
      <c r="QJU14" s="30"/>
      <c r="QJV14" s="30"/>
      <c r="QJW14" s="30"/>
      <c r="QJX14" s="30"/>
      <c r="QJY14" s="30"/>
      <c r="QJZ14" s="30"/>
      <c r="QKA14" s="30"/>
      <c r="QKB14" s="30"/>
      <c r="QKC14" s="30"/>
      <c r="QKD14" s="30"/>
      <c r="QKE14" s="30"/>
      <c r="QKF14" s="30"/>
      <c r="QKG14" s="30"/>
      <c r="QKH14" s="30"/>
      <c r="QKI14" s="30"/>
      <c r="QKJ14" s="30"/>
      <c r="QKK14" s="30"/>
      <c r="QKL14" s="30"/>
      <c r="QKM14" s="30"/>
      <c r="QKN14" s="30"/>
      <c r="QKO14" s="30"/>
      <c r="QKP14" s="30"/>
      <c r="QKQ14" s="30"/>
      <c r="QKR14" s="30"/>
      <c r="QKS14" s="30"/>
      <c r="QKT14" s="30"/>
      <c r="QKU14" s="30"/>
      <c r="QKV14" s="30"/>
      <c r="QKW14" s="30"/>
      <c r="QKX14" s="30"/>
      <c r="QKY14" s="30"/>
      <c r="QKZ14" s="30"/>
      <c r="QLA14" s="30"/>
      <c r="QLB14" s="30"/>
      <c r="QLC14" s="30"/>
      <c r="QLD14" s="30"/>
      <c r="QLE14" s="30"/>
      <c r="QLF14" s="30"/>
      <c r="QLG14" s="30"/>
      <c r="QLH14" s="30"/>
      <c r="QLI14" s="30"/>
      <c r="QLJ14" s="30"/>
      <c r="QLK14" s="30"/>
      <c r="QLL14" s="30"/>
      <c r="QLM14" s="30"/>
      <c r="QLN14" s="30"/>
      <c r="QLO14" s="30"/>
      <c r="QLP14" s="30"/>
      <c r="QLQ14" s="30"/>
      <c r="QLR14" s="30"/>
      <c r="QLS14" s="30"/>
      <c r="QLT14" s="30"/>
      <c r="QLU14" s="30"/>
      <c r="QLV14" s="30"/>
      <c r="QLW14" s="30"/>
      <c r="QLX14" s="30"/>
      <c r="QLY14" s="30"/>
      <c r="QLZ14" s="30"/>
      <c r="QMA14" s="30"/>
      <c r="QMB14" s="30"/>
      <c r="QMC14" s="30"/>
      <c r="QMD14" s="30"/>
      <c r="QME14" s="30"/>
      <c r="QMF14" s="30"/>
      <c r="QMG14" s="30"/>
      <c r="QMH14" s="30"/>
      <c r="QMI14" s="30"/>
      <c r="QMJ14" s="30"/>
      <c r="QMK14" s="30"/>
      <c r="QML14" s="30"/>
      <c r="QMM14" s="30"/>
      <c r="QMN14" s="30"/>
      <c r="QMO14" s="30"/>
      <c r="QMP14" s="30"/>
      <c r="QMQ14" s="30"/>
      <c r="QMR14" s="30"/>
      <c r="QMS14" s="30"/>
      <c r="QMT14" s="30"/>
      <c r="QMU14" s="30"/>
      <c r="QMV14" s="30"/>
      <c r="QMW14" s="30"/>
      <c r="QMX14" s="30"/>
      <c r="QMY14" s="30"/>
      <c r="QMZ14" s="30"/>
      <c r="QNA14" s="30"/>
      <c r="QNB14" s="30"/>
      <c r="QNC14" s="30"/>
      <c r="QND14" s="30"/>
      <c r="QNE14" s="30"/>
      <c r="QNF14" s="30"/>
      <c r="QNG14" s="30"/>
      <c r="QNH14" s="30"/>
      <c r="QNI14" s="30"/>
      <c r="QNJ14" s="30"/>
      <c r="QNK14" s="30"/>
      <c r="QNL14" s="30"/>
      <c r="QNM14" s="30"/>
      <c r="QNN14" s="30"/>
      <c r="QNO14" s="30"/>
      <c r="QNP14" s="30"/>
      <c r="QNQ14" s="30"/>
      <c r="QNR14" s="30"/>
      <c r="QNS14" s="30"/>
      <c r="QNT14" s="30"/>
      <c r="QNU14" s="30"/>
      <c r="QNV14" s="30"/>
      <c r="QNW14" s="30"/>
      <c r="QNX14" s="30"/>
      <c r="QNY14" s="30"/>
      <c r="QNZ14" s="30"/>
      <c r="QOA14" s="30"/>
      <c r="QOB14" s="30"/>
      <c r="QOC14" s="30"/>
      <c r="QOD14" s="30"/>
      <c r="QOE14" s="30"/>
      <c r="QOF14" s="30"/>
      <c r="QOG14" s="30"/>
      <c r="QOH14" s="30"/>
      <c r="QOI14" s="30"/>
      <c r="QOJ14" s="30"/>
      <c r="QOK14" s="30"/>
      <c r="QOL14" s="30"/>
      <c r="QOM14" s="30"/>
      <c r="QON14" s="30"/>
      <c r="QOO14" s="30"/>
      <c r="QOP14" s="30"/>
      <c r="QOQ14" s="30"/>
      <c r="QOR14" s="30"/>
      <c r="QOS14" s="30"/>
      <c r="QOT14" s="30"/>
      <c r="QOU14" s="30"/>
      <c r="QOV14" s="30"/>
      <c r="QOW14" s="30"/>
      <c r="QOX14" s="30"/>
      <c r="QOY14" s="30"/>
      <c r="QOZ14" s="30"/>
      <c r="QPA14" s="30"/>
      <c r="QPB14" s="30"/>
      <c r="QPC14" s="30"/>
      <c r="QPD14" s="30"/>
      <c r="QPE14" s="30"/>
      <c r="QPF14" s="30"/>
      <c r="QPG14" s="30"/>
      <c r="QPH14" s="30"/>
      <c r="QPI14" s="30"/>
      <c r="QPJ14" s="30"/>
      <c r="QPK14" s="30"/>
      <c r="QPL14" s="30"/>
      <c r="QPM14" s="30"/>
      <c r="QPN14" s="30"/>
      <c r="QPO14" s="30"/>
      <c r="QPP14" s="30"/>
      <c r="QPQ14" s="30"/>
      <c r="QPR14" s="30"/>
      <c r="QPS14" s="30"/>
      <c r="QPT14" s="30"/>
      <c r="QPU14" s="30"/>
      <c r="QPV14" s="30"/>
      <c r="QPW14" s="30"/>
      <c r="QPX14" s="30"/>
      <c r="QPY14" s="30"/>
      <c r="QPZ14" s="30"/>
      <c r="QQA14" s="30"/>
      <c r="QQB14" s="30"/>
      <c r="QQC14" s="30"/>
      <c r="QQD14" s="30"/>
      <c r="QQE14" s="30"/>
      <c r="QQF14" s="30"/>
      <c r="QQG14" s="30"/>
      <c r="QQH14" s="30"/>
      <c r="QQI14" s="30"/>
      <c r="QQJ14" s="30"/>
      <c r="QQK14" s="30"/>
      <c r="QQL14" s="30"/>
      <c r="QQM14" s="30"/>
      <c r="QQN14" s="30"/>
      <c r="QQO14" s="30"/>
      <c r="QQP14" s="30"/>
      <c r="QQQ14" s="30"/>
      <c r="QQR14" s="30"/>
      <c r="QQS14" s="30"/>
      <c r="QQT14" s="30"/>
      <c r="QQU14" s="30"/>
      <c r="QQV14" s="30"/>
      <c r="QQW14" s="30"/>
      <c r="QQX14" s="30"/>
      <c r="QQY14" s="30"/>
      <c r="QQZ14" s="30"/>
      <c r="QRA14" s="30"/>
      <c r="QRB14" s="30"/>
      <c r="QRC14" s="30"/>
      <c r="QRD14" s="30"/>
      <c r="QRE14" s="30"/>
      <c r="QRF14" s="30"/>
      <c r="QRG14" s="30"/>
      <c r="QRH14" s="30"/>
      <c r="QRI14" s="30"/>
      <c r="QRJ14" s="30"/>
      <c r="QRK14" s="30"/>
      <c r="QRL14" s="30"/>
      <c r="QRM14" s="30"/>
      <c r="QRN14" s="30"/>
      <c r="QRO14" s="30"/>
      <c r="QRP14" s="30"/>
      <c r="QRQ14" s="30"/>
      <c r="QRR14" s="30"/>
      <c r="QRS14" s="30"/>
      <c r="QRT14" s="30"/>
      <c r="QRU14" s="30"/>
      <c r="QRV14" s="30"/>
      <c r="QRW14" s="30"/>
      <c r="QRX14" s="30"/>
      <c r="QRY14" s="30"/>
      <c r="QRZ14" s="30"/>
      <c r="QSA14" s="30"/>
      <c r="QSB14" s="30"/>
      <c r="QSC14" s="30"/>
      <c r="QSD14" s="30"/>
      <c r="QSE14" s="30"/>
      <c r="QSF14" s="30"/>
      <c r="QSG14" s="30"/>
      <c r="QSH14" s="30"/>
      <c r="QSI14" s="30"/>
      <c r="QSJ14" s="30"/>
      <c r="QSK14" s="30"/>
      <c r="QSL14" s="30"/>
      <c r="QSM14" s="30"/>
      <c r="QSN14" s="30"/>
      <c r="QSO14" s="30"/>
      <c r="QSP14" s="30"/>
      <c r="QSQ14" s="30"/>
      <c r="QSR14" s="30"/>
      <c r="QSS14" s="30"/>
      <c r="QST14" s="30"/>
      <c r="QSU14" s="30"/>
      <c r="QSV14" s="30"/>
      <c r="QSW14" s="30"/>
      <c r="QSX14" s="30"/>
      <c r="QSY14" s="30"/>
      <c r="QSZ14" s="30"/>
      <c r="QTA14" s="30"/>
      <c r="QTB14" s="30"/>
      <c r="QTC14" s="30"/>
      <c r="QTD14" s="30"/>
      <c r="QTE14" s="30"/>
      <c r="QTF14" s="30"/>
      <c r="QTG14" s="30"/>
      <c r="QTH14" s="30"/>
      <c r="QTI14" s="30"/>
      <c r="QTJ14" s="30"/>
      <c r="QTK14" s="30"/>
      <c r="QTL14" s="30"/>
      <c r="QTM14" s="30"/>
      <c r="QTN14" s="30"/>
      <c r="QTO14" s="30"/>
      <c r="QTP14" s="30"/>
      <c r="QTQ14" s="30"/>
      <c r="QTR14" s="30"/>
      <c r="QTS14" s="30"/>
      <c r="QTT14" s="30"/>
      <c r="QTU14" s="30"/>
      <c r="QTV14" s="30"/>
      <c r="QTW14" s="30"/>
      <c r="QTX14" s="30"/>
      <c r="QTY14" s="30"/>
      <c r="QTZ14" s="30"/>
      <c r="QUA14" s="30"/>
      <c r="QUB14" s="30"/>
      <c r="QUC14" s="30"/>
      <c r="QUD14" s="30"/>
      <c r="QUE14" s="30"/>
      <c r="QUF14" s="30"/>
      <c r="QUG14" s="30"/>
      <c r="QUH14" s="30"/>
      <c r="QUI14" s="30"/>
      <c r="QUJ14" s="30"/>
      <c r="QUK14" s="30"/>
      <c r="QUL14" s="30"/>
      <c r="QUM14" s="30"/>
      <c r="QUN14" s="30"/>
      <c r="QUO14" s="30"/>
      <c r="QUP14" s="30"/>
      <c r="QUQ14" s="30"/>
      <c r="QUR14" s="30"/>
      <c r="QUS14" s="30"/>
      <c r="QUT14" s="30"/>
      <c r="QUU14" s="30"/>
      <c r="QUV14" s="30"/>
      <c r="QUW14" s="30"/>
      <c r="QUX14" s="30"/>
      <c r="QUY14" s="30"/>
      <c r="QUZ14" s="30"/>
      <c r="QVA14" s="30"/>
      <c r="QVB14" s="30"/>
      <c r="QVC14" s="30"/>
      <c r="QVD14" s="30"/>
      <c r="QVE14" s="30"/>
      <c r="QVF14" s="30"/>
      <c r="QVG14" s="30"/>
      <c r="QVH14" s="30"/>
      <c r="QVI14" s="30"/>
      <c r="QVJ14" s="30"/>
      <c r="QVK14" s="30"/>
      <c r="QVL14" s="30"/>
      <c r="QVM14" s="30"/>
      <c r="QVN14" s="30"/>
      <c r="QVO14" s="30"/>
      <c r="QVP14" s="30"/>
      <c r="QVQ14" s="30"/>
      <c r="QVR14" s="30"/>
      <c r="QVS14" s="30"/>
      <c r="QVT14" s="30"/>
      <c r="QVU14" s="30"/>
      <c r="QVV14" s="30"/>
      <c r="QVW14" s="30"/>
      <c r="QVX14" s="30"/>
      <c r="QVY14" s="30"/>
      <c r="QVZ14" s="30"/>
      <c r="QWA14" s="30"/>
      <c r="QWB14" s="30"/>
      <c r="QWC14" s="30"/>
      <c r="QWD14" s="30"/>
      <c r="QWE14" s="30"/>
      <c r="QWF14" s="30"/>
      <c r="QWG14" s="30"/>
      <c r="QWH14" s="30"/>
      <c r="QWI14" s="30"/>
      <c r="QWJ14" s="30"/>
      <c r="QWK14" s="30"/>
      <c r="QWL14" s="30"/>
      <c r="QWM14" s="30"/>
      <c r="QWN14" s="30"/>
      <c r="QWO14" s="30"/>
      <c r="QWP14" s="30"/>
      <c r="QWQ14" s="30"/>
      <c r="QWR14" s="30"/>
      <c r="QWS14" s="30"/>
      <c r="QWT14" s="30"/>
      <c r="QWU14" s="30"/>
      <c r="QWV14" s="30"/>
      <c r="QWW14" s="30"/>
      <c r="QWX14" s="30"/>
      <c r="QWY14" s="30"/>
      <c r="QWZ14" s="30"/>
      <c r="QXA14" s="30"/>
      <c r="QXB14" s="30"/>
      <c r="QXC14" s="30"/>
      <c r="QXD14" s="30"/>
      <c r="QXE14" s="30"/>
      <c r="QXF14" s="30"/>
      <c r="QXG14" s="30"/>
      <c r="QXH14" s="30"/>
      <c r="QXI14" s="30"/>
      <c r="QXJ14" s="30"/>
      <c r="QXK14" s="30"/>
      <c r="QXL14" s="30"/>
      <c r="QXM14" s="30"/>
      <c r="QXN14" s="30"/>
      <c r="QXO14" s="30"/>
      <c r="QXP14" s="30"/>
      <c r="QXQ14" s="30"/>
      <c r="QXR14" s="30"/>
      <c r="QXS14" s="30"/>
      <c r="QXT14" s="30"/>
      <c r="QXU14" s="30"/>
      <c r="QXV14" s="30"/>
      <c r="QXW14" s="30"/>
      <c r="QXX14" s="30"/>
      <c r="QXY14" s="30"/>
      <c r="QXZ14" s="30"/>
      <c r="QYA14" s="30"/>
      <c r="QYB14" s="30"/>
      <c r="QYC14" s="30"/>
      <c r="QYD14" s="30"/>
      <c r="QYE14" s="30"/>
      <c r="QYF14" s="30"/>
      <c r="QYG14" s="30"/>
      <c r="QYH14" s="30"/>
      <c r="QYI14" s="30"/>
      <c r="QYJ14" s="30"/>
      <c r="QYK14" s="30"/>
      <c r="QYL14" s="30"/>
      <c r="QYM14" s="30"/>
      <c r="QYN14" s="30"/>
      <c r="QYO14" s="30"/>
      <c r="QYP14" s="30"/>
      <c r="QYQ14" s="30"/>
      <c r="QYR14" s="30"/>
      <c r="QYS14" s="30"/>
      <c r="QYT14" s="30"/>
      <c r="QYU14" s="30"/>
      <c r="QYV14" s="30"/>
      <c r="QYW14" s="30"/>
      <c r="QYX14" s="30"/>
      <c r="QYY14" s="30"/>
      <c r="QYZ14" s="30"/>
      <c r="QZA14" s="30"/>
      <c r="QZB14" s="30"/>
      <c r="QZC14" s="30"/>
      <c r="QZD14" s="30"/>
      <c r="QZE14" s="30"/>
      <c r="QZF14" s="30"/>
      <c r="QZG14" s="30"/>
      <c r="QZH14" s="30"/>
      <c r="QZI14" s="30"/>
      <c r="QZJ14" s="30"/>
      <c r="QZK14" s="30"/>
      <c r="QZL14" s="30"/>
      <c r="QZM14" s="30"/>
      <c r="QZN14" s="30"/>
      <c r="QZO14" s="30"/>
      <c r="QZP14" s="30"/>
      <c r="QZQ14" s="30"/>
      <c r="QZR14" s="30"/>
      <c r="QZS14" s="30"/>
      <c r="QZT14" s="30"/>
      <c r="QZU14" s="30"/>
      <c r="QZV14" s="30"/>
      <c r="QZW14" s="30"/>
      <c r="QZX14" s="30"/>
      <c r="QZY14" s="30"/>
      <c r="QZZ14" s="30"/>
      <c r="RAA14" s="30"/>
      <c r="RAB14" s="30"/>
      <c r="RAC14" s="30"/>
      <c r="RAD14" s="30"/>
      <c r="RAE14" s="30"/>
      <c r="RAF14" s="30"/>
      <c r="RAG14" s="30"/>
      <c r="RAH14" s="30"/>
      <c r="RAI14" s="30"/>
      <c r="RAJ14" s="30"/>
      <c r="RAK14" s="30"/>
      <c r="RAL14" s="30"/>
      <c r="RAM14" s="30"/>
      <c r="RAN14" s="30"/>
      <c r="RAO14" s="30"/>
      <c r="RAP14" s="30"/>
      <c r="RAQ14" s="30"/>
      <c r="RAR14" s="30"/>
      <c r="RAS14" s="30"/>
      <c r="RAT14" s="30"/>
      <c r="RAU14" s="30"/>
      <c r="RAV14" s="30"/>
      <c r="RAW14" s="30"/>
      <c r="RAX14" s="30"/>
      <c r="RAY14" s="30"/>
      <c r="RAZ14" s="30"/>
      <c r="RBA14" s="30"/>
      <c r="RBB14" s="30"/>
      <c r="RBC14" s="30"/>
      <c r="RBD14" s="30"/>
      <c r="RBE14" s="30"/>
      <c r="RBF14" s="30"/>
      <c r="RBG14" s="30"/>
      <c r="RBH14" s="30"/>
      <c r="RBI14" s="30"/>
      <c r="RBJ14" s="30"/>
      <c r="RBK14" s="30"/>
      <c r="RBL14" s="30"/>
      <c r="RBM14" s="30"/>
      <c r="RBN14" s="30"/>
      <c r="RBO14" s="30"/>
      <c r="RBP14" s="30"/>
      <c r="RBQ14" s="30"/>
      <c r="RBR14" s="30"/>
      <c r="RBS14" s="30"/>
      <c r="RBT14" s="30"/>
      <c r="RBU14" s="30"/>
      <c r="RBV14" s="30"/>
      <c r="RBW14" s="30"/>
      <c r="RBX14" s="30"/>
      <c r="RBY14" s="30"/>
      <c r="RBZ14" s="30"/>
      <c r="RCA14" s="30"/>
      <c r="RCB14" s="30"/>
      <c r="RCC14" s="30"/>
      <c r="RCD14" s="30"/>
      <c r="RCE14" s="30"/>
      <c r="RCF14" s="30"/>
      <c r="RCG14" s="30"/>
      <c r="RCH14" s="30"/>
      <c r="RCI14" s="30"/>
      <c r="RCJ14" s="30"/>
      <c r="RCK14" s="30"/>
      <c r="RCL14" s="30"/>
      <c r="RCM14" s="30"/>
      <c r="RCN14" s="30"/>
      <c r="RCO14" s="30"/>
      <c r="RCP14" s="30"/>
      <c r="RCQ14" s="30"/>
      <c r="RCR14" s="30"/>
      <c r="RCS14" s="30"/>
      <c r="RCT14" s="30"/>
      <c r="RCU14" s="30"/>
      <c r="RCV14" s="30"/>
      <c r="RCW14" s="30"/>
      <c r="RCX14" s="30"/>
      <c r="RCY14" s="30"/>
      <c r="RCZ14" s="30"/>
      <c r="RDA14" s="30"/>
      <c r="RDB14" s="30"/>
      <c r="RDC14" s="30"/>
      <c r="RDD14" s="30"/>
      <c r="RDE14" s="30"/>
      <c r="RDF14" s="30"/>
      <c r="RDG14" s="30"/>
      <c r="RDH14" s="30"/>
      <c r="RDI14" s="30"/>
      <c r="RDJ14" s="30"/>
      <c r="RDK14" s="30"/>
      <c r="RDL14" s="30"/>
      <c r="RDM14" s="30"/>
      <c r="RDN14" s="30"/>
      <c r="RDO14" s="30"/>
      <c r="RDP14" s="30"/>
      <c r="RDQ14" s="30"/>
      <c r="RDR14" s="30"/>
      <c r="RDS14" s="30"/>
      <c r="RDT14" s="30"/>
      <c r="RDU14" s="30"/>
      <c r="RDV14" s="30"/>
      <c r="RDW14" s="30"/>
      <c r="RDX14" s="30"/>
      <c r="RDY14" s="30"/>
      <c r="RDZ14" s="30"/>
      <c r="REA14" s="30"/>
      <c r="REB14" s="30"/>
      <c r="REC14" s="30"/>
      <c r="RED14" s="30"/>
      <c r="REE14" s="30"/>
      <c r="REF14" s="30"/>
      <c r="REG14" s="30"/>
      <c r="REH14" s="30"/>
      <c r="REI14" s="30"/>
      <c r="REJ14" s="30"/>
      <c r="REK14" s="30"/>
      <c r="REL14" s="30"/>
      <c r="REM14" s="30"/>
      <c r="REN14" s="30"/>
      <c r="REO14" s="30"/>
      <c r="REP14" s="30"/>
      <c r="REQ14" s="30"/>
      <c r="RER14" s="30"/>
      <c r="RES14" s="30"/>
      <c r="RET14" s="30"/>
      <c r="REU14" s="30"/>
      <c r="REV14" s="30"/>
      <c r="REW14" s="30"/>
      <c r="REX14" s="30"/>
      <c r="REY14" s="30"/>
      <c r="REZ14" s="30"/>
      <c r="RFA14" s="30"/>
      <c r="RFB14" s="30"/>
      <c r="RFC14" s="30"/>
      <c r="RFD14" s="30"/>
      <c r="RFE14" s="30"/>
      <c r="RFF14" s="30"/>
      <c r="RFG14" s="30"/>
      <c r="RFH14" s="30"/>
      <c r="RFI14" s="30"/>
      <c r="RFJ14" s="30"/>
      <c r="RFK14" s="30"/>
      <c r="RFL14" s="30"/>
      <c r="RFM14" s="30"/>
      <c r="RFN14" s="30"/>
      <c r="RFO14" s="30"/>
      <c r="RFP14" s="30"/>
      <c r="RFQ14" s="30"/>
      <c r="RFR14" s="30"/>
      <c r="RFS14" s="30"/>
      <c r="RFT14" s="30"/>
      <c r="RFU14" s="30"/>
      <c r="RFV14" s="30"/>
      <c r="RFW14" s="30"/>
      <c r="RFX14" s="30"/>
      <c r="RFY14" s="30"/>
      <c r="RFZ14" s="30"/>
      <c r="RGA14" s="30"/>
      <c r="RGB14" s="30"/>
      <c r="RGC14" s="30"/>
      <c r="RGD14" s="30"/>
      <c r="RGE14" s="30"/>
      <c r="RGF14" s="30"/>
      <c r="RGG14" s="30"/>
      <c r="RGH14" s="30"/>
      <c r="RGI14" s="30"/>
      <c r="RGJ14" s="30"/>
      <c r="RGK14" s="30"/>
      <c r="RGL14" s="30"/>
      <c r="RGM14" s="30"/>
      <c r="RGN14" s="30"/>
      <c r="RGO14" s="30"/>
      <c r="RGP14" s="30"/>
      <c r="RGQ14" s="30"/>
      <c r="RGR14" s="30"/>
      <c r="RGS14" s="30"/>
      <c r="RGT14" s="30"/>
      <c r="RGU14" s="30"/>
      <c r="RGV14" s="30"/>
      <c r="RGW14" s="30"/>
      <c r="RGX14" s="30"/>
      <c r="RGY14" s="30"/>
      <c r="RGZ14" s="30"/>
      <c r="RHA14" s="30"/>
      <c r="RHB14" s="30"/>
      <c r="RHC14" s="30"/>
      <c r="RHD14" s="30"/>
      <c r="RHE14" s="30"/>
      <c r="RHF14" s="30"/>
      <c r="RHG14" s="30"/>
      <c r="RHH14" s="30"/>
      <c r="RHI14" s="30"/>
      <c r="RHJ14" s="30"/>
      <c r="RHK14" s="30"/>
      <c r="RHL14" s="30"/>
      <c r="RHM14" s="30"/>
      <c r="RHN14" s="30"/>
      <c r="RHO14" s="30"/>
      <c r="RHP14" s="30"/>
      <c r="RHQ14" s="30"/>
      <c r="RHR14" s="30"/>
      <c r="RHS14" s="30"/>
      <c r="RHT14" s="30"/>
      <c r="RHU14" s="30"/>
      <c r="RHV14" s="30"/>
      <c r="RHW14" s="30"/>
      <c r="RHX14" s="30"/>
      <c r="RHY14" s="30"/>
      <c r="RHZ14" s="30"/>
      <c r="RIA14" s="30"/>
      <c r="RIB14" s="30"/>
      <c r="RIC14" s="30"/>
      <c r="RID14" s="30"/>
      <c r="RIE14" s="30"/>
      <c r="RIF14" s="30"/>
      <c r="RIG14" s="30"/>
      <c r="RIH14" s="30"/>
      <c r="RII14" s="30"/>
      <c r="RIJ14" s="30"/>
      <c r="RIK14" s="30"/>
      <c r="RIL14" s="30"/>
      <c r="RIM14" s="30"/>
      <c r="RIN14" s="30"/>
      <c r="RIO14" s="30"/>
      <c r="RIP14" s="30"/>
      <c r="RIQ14" s="30"/>
      <c r="RIR14" s="30"/>
      <c r="RIS14" s="30"/>
      <c r="RIT14" s="30"/>
      <c r="RIU14" s="30"/>
      <c r="RIV14" s="30"/>
      <c r="RIW14" s="30"/>
      <c r="RIX14" s="30"/>
      <c r="RIY14" s="30"/>
      <c r="RIZ14" s="30"/>
      <c r="RJA14" s="30"/>
      <c r="RJB14" s="30"/>
      <c r="RJC14" s="30"/>
      <c r="RJD14" s="30"/>
      <c r="RJE14" s="30"/>
      <c r="RJF14" s="30"/>
      <c r="RJG14" s="30"/>
      <c r="RJH14" s="30"/>
      <c r="RJI14" s="30"/>
      <c r="RJJ14" s="30"/>
      <c r="RJK14" s="30"/>
      <c r="RJL14" s="30"/>
      <c r="RJM14" s="30"/>
      <c r="RJN14" s="30"/>
      <c r="RJO14" s="30"/>
      <c r="RJP14" s="30"/>
      <c r="RJQ14" s="30"/>
      <c r="RJR14" s="30"/>
      <c r="RJS14" s="30"/>
      <c r="RJT14" s="30"/>
      <c r="RJU14" s="30"/>
      <c r="RJV14" s="30"/>
      <c r="RJW14" s="30"/>
      <c r="RJX14" s="30"/>
      <c r="RJY14" s="30"/>
      <c r="RJZ14" s="30"/>
      <c r="RKA14" s="30"/>
      <c r="RKB14" s="30"/>
      <c r="RKC14" s="30"/>
      <c r="RKD14" s="30"/>
      <c r="RKE14" s="30"/>
      <c r="RKF14" s="30"/>
      <c r="RKG14" s="30"/>
      <c r="RKH14" s="30"/>
      <c r="RKI14" s="30"/>
      <c r="RKJ14" s="30"/>
      <c r="RKK14" s="30"/>
      <c r="RKL14" s="30"/>
      <c r="RKM14" s="30"/>
      <c r="RKN14" s="30"/>
      <c r="RKO14" s="30"/>
      <c r="RKP14" s="30"/>
      <c r="RKQ14" s="30"/>
      <c r="RKR14" s="30"/>
      <c r="RKS14" s="30"/>
      <c r="RKT14" s="30"/>
      <c r="RKU14" s="30"/>
      <c r="RKV14" s="30"/>
      <c r="RKW14" s="30"/>
      <c r="RKX14" s="30"/>
      <c r="RKY14" s="30"/>
      <c r="RKZ14" s="30"/>
      <c r="RLA14" s="30"/>
      <c r="RLB14" s="30"/>
      <c r="RLC14" s="30"/>
      <c r="RLD14" s="30"/>
      <c r="RLE14" s="30"/>
      <c r="RLF14" s="30"/>
      <c r="RLG14" s="30"/>
      <c r="RLH14" s="30"/>
      <c r="RLI14" s="30"/>
      <c r="RLJ14" s="30"/>
      <c r="RLK14" s="30"/>
      <c r="RLL14" s="30"/>
      <c r="RLM14" s="30"/>
      <c r="RLN14" s="30"/>
      <c r="RLO14" s="30"/>
      <c r="RLP14" s="30"/>
      <c r="RLQ14" s="30"/>
      <c r="RLR14" s="30"/>
      <c r="RLS14" s="30"/>
      <c r="RLT14" s="30"/>
      <c r="RLU14" s="30"/>
      <c r="RLV14" s="30"/>
      <c r="RLW14" s="30"/>
      <c r="RLX14" s="30"/>
      <c r="RLY14" s="30"/>
      <c r="RLZ14" s="30"/>
      <c r="RMA14" s="30"/>
      <c r="RMB14" s="30"/>
      <c r="RMC14" s="30"/>
      <c r="RMD14" s="30"/>
      <c r="RME14" s="30"/>
      <c r="RMF14" s="30"/>
      <c r="RMG14" s="30"/>
      <c r="RMH14" s="30"/>
      <c r="RMI14" s="30"/>
      <c r="RMJ14" s="30"/>
      <c r="RMK14" s="30"/>
      <c r="RML14" s="30"/>
      <c r="RMM14" s="30"/>
      <c r="RMN14" s="30"/>
      <c r="RMO14" s="30"/>
      <c r="RMP14" s="30"/>
      <c r="RMQ14" s="30"/>
      <c r="RMR14" s="30"/>
      <c r="RMS14" s="30"/>
      <c r="RMT14" s="30"/>
      <c r="RMU14" s="30"/>
      <c r="RMV14" s="30"/>
      <c r="RMW14" s="30"/>
      <c r="RMX14" s="30"/>
      <c r="RMY14" s="30"/>
      <c r="RMZ14" s="30"/>
      <c r="RNA14" s="30"/>
      <c r="RNB14" s="30"/>
      <c r="RNC14" s="30"/>
      <c r="RND14" s="30"/>
      <c r="RNE14" s="30"/>
      <c r="RNF14" s="30"/>
      <c r="RNG14" s="30"/>
      <c r="RNH14" s="30"/>
      <c r="RNI14" s="30"/>
      <c r="RNJ14" s="30"/>
      <c r="RNK14" s="30"/>
      <c r="RNL14" s="30"/>
      <c r="RNM14" s="30"/>
      <c r="RNN14" s="30"/>
      <c r="RNO14" s="30"/>
      <c r="RNP14" s="30"/>
      <c r="RNQ14" s="30"/>
      <c r="RNR14" s="30"/>
      <c r="RNS14" s="30"/>
      <c r="RNT14" s="30"/>
      <c r="RNU14" s="30"/>
      <c r="RNV14" s="30"/>
      <c r="RNW14" s="30"/>
      <c r="RNX14" s="30"/>
      <c r="RNY14" s="30"/>
      <c r="RNZ14" s="30"/>
      <c r="ROA14" s="30"/>
      <c r="ROB14" s="30"/>
      <c r="ROC14" s="30"/>
      <c r="ROD14" s="30"/>
      <c r="ROE14" s="30"/>
      <c r="ROF14" s="30"/>
      <c r="ROG14" s="30"/>
      <c r="ROH14" s="30"/>
      <c r="ROI14" s="30"/>
      <c r="ROJ14" s="30"/>
      <c r="ROK14" s="30"/>
      <c r="ROL14" s="30"/>
      <c r="ROM14" s="30"/>
      <c r="RON14" s="30"/>
      <c r="ROO14" s="30"/>
      <c r="ROP14" s="30"/>
      <c r="ROQ14" s="30"/>
      <c r="ROR14" s="30"/>
      <c r="ROS14" s="30"/>
      <c r="ROT14" s="30"/>
      <c r="ROU14" s="30"/>
      <c r="ROV14" s="30"/>
      <c r="ROW14" s="30"/>
      <c r="ROX14" s="30"/>
      <c r="ROY14" s="30"/>
      <c r="ROZ14" s="30"/>
      <c r="RPA14" s="30"/>
      <c r="RPB14" s="30"/>
      <c r="RPC14" s="30"/>
      <c r="RPD14" s="30"/>
      <c r="RPE14" s="30"/>
      <c r="RPF14" s="30"/>
      <c r="RPG14" s="30"/>
      <c r="RPH14" s="30"/>
      <c r="RPI14" s="30"/>
      <c r="RPJ14" s="30"/>
      <c r="RPK14" s="30"/>
      <c r="RPL14" s="30"/>
      <c r="RPM14" s="30"/>
      <c r="RPN14" s="30"/>
      <c r="RPO14" s="30"/>
      <c r="RPP14" s="30"/>
      <c r="RPQ14" s="30"/>
      <c r="RPR14" s="30"/>
      <c r="RPS14" s="30"/>
      <c r="RPT14" s="30"/>
      <c r="RPU14" s="30"/>
      <c r="RPV14" s="30"/>
      <c r="RPW14" s="30"/>
      <c r="RPX14" s="30"/>
      <c r="RPY14" s="30"/>
      <c r="RPZ14" s="30"/>
      <c r="RQA14" s="30"/>
      <c r="RQB14" s="30"/>
      <c r="RQC14" s="30"/>
      <c r="RQD14" s="30"/>
      <c r="RQE14" s="30"/>
      <c r="RQF14" s="30"/>
      <c r="RQG14" s="30"/>
      <c r="RQH14" s="30"/>
      <c r="RQI14" s="30"/>
      <c r="RQJ14" s="30"/>
      <c r="RQK14" s="30"/>
      <c r="RQL14" s="30"/>
      <c r="RQM14" s="30"/>
      <c r="RQN14" s="30"/>
      <c r="RQO14" s="30"/>
      <c r="RQP14" s="30"/>
      <c r="RQQ14" s="30"/>
      <c r="RQR14" s="30"/>
      <c r="RQS14" s="30"/>
      <c r="RQT14" s="30"/>
      <c r="RQU14" s="30"/>
      <c r="RQV14" s="30"/>
      <c r="RQW14" s="30"/>
      <c r="RQX14" s="30"/>
      <c r="RQY14" s="30"/>
      <c r="RQZ14" s="30"/>
      <c r="RRA14" s="30"/>
      <c r="RRB14" s="30"/>
      <c r="RRC14" s="30"/>
      <c r="RRD14" s="30"/>
      <c r="RRE14" s="30"/>
      <c r="RRF14" s="30"/>
      <c r="RRG14" s="30"/>
      <c r="RRH14" s="30"/>
      <c r="RRI14" s="30"/>
      <c r="RRJ14" s="30"/>
      <c r="RRK14" s="30"/>
      <c r="RRL14" s="30"/>
      <c r="RRM14" s="30"/>
      <c r="RRN14" s="30"/>
      <c r="RRO14" s="30"/>
      <c r="RRP14" s="30"/>
      <c r="RRQ14" s="30"/>
      <c r="RRR14" s="30"/>
      <c r="RRS14" s="30"/>
      <c r="RRT14" s="30"/>
      <c r="RRU14" s="30"/>
      <c r="RRV14" s="30"/>
      <c r="RRW14" s="30"/>
      <c r="RRX14" s="30"/>
      <c r="RRY14" s="30"/>
      <c r="RRZ14" s="30"/>
      <c r="RSA14" s="30"/>
      <c r="RSB14" s="30"/>
      <c r="RSC14" s="30"/>
      <c r="RSD14" s="30"/>
      <c r="RSE14" s="30"/>
      <c r="RSF14" s="30"/>
      <c r="RSG14" s="30"/>
      <c r="RSH14" s="30"/>
      <c r="RSI14" s="30"/>
      <c r="RSJ14" s="30"/>
      <c r="RSK14" s="30"/>
      <c r="RSL14" s="30"/>
      <c r="RSM14" s="30"/>
      <c r="RSN14" s="30"/>
      <c r="RSO14" s="30"/>
      <c r="RSP14" s="30"/>
      <c r="RSQ14" s="30"/>
      <c r="RSR14" s="30"/>
      <c r="RSS14" s="30"/>
      <c r="RST14" s="30"/>
      <c r="RSU14" s="30"/>
      <c r="RSV14" s="30"/>
      <c r="RSW14" s="30"/>
      <c r="RSX14" s="30"/>
      <c r="RSY14" s="30"/>
      <c r="RSZ14" s="30"/>
      <c r="RTA14" s="30"/>
      <c r="RTB14" s="30"/>
      <c r="RTC14" s="30"/>
      <c r="RTD14" s="30"/>
      <c r="RTE14" s="30"/>
      <c r="RTF14" s="30"/>
      <c r="RTG14" s="30"/>
      <c r="RTH14" s="30"/>
      <c r="RTI14" s="30"/>
      <c r="RTJ14" s="30"/>
      <c r="RTK14" s="30"/>
      <c r="RTL14" s="30"/>
      <c r="RTM14" s="30"/>
      <c r="RTN14" s="30"/>
      <c r="RTO14" s="30"/>
      <c r="RTP14" s="30"/>
      <c r="RTQ14" s="30"/>
      <c r="RTR14" s="30"/>
      <c r="RTS14" s="30"/>
      <c r="RTT14" s="30"/>
      <c r="RTU14" s="30"/>
      <c r="RTV14" s="30"/>
      <c r="RTW14" s="30"/>
      <c r="RTX14" s="30"/>
      <c r="RTY14" s="30"/>
      <c r="RTZ14" s="30"/>
      <c r="RUA14" s="30"/>
      <c r="RUB14" s="30"/>
      <c r="RUC14" s="30"/>
      <c r="RUD14" s="30"/>
      <c r="RUE14" s="30"/>
      <c r="RUF14" s="30"/>
      <c r="RUG14" s="30"/>
      <c r="RUH14" s="30"/>
      <c r="RUI14" s="30"/>
      <c r="RUJ14" s="30"/>
      <c r="RUK14" s="30"/>
      <c r="RUL14" s="30"/>
      <c r="RUM14" s="30"/>
      <c r="RUN14" s="30"/>
      <c r="RUO14" s="30"/>
      <c r="RUP14" s="30"/>
      <c r="RUQ14" s="30"/>
      <c r="RUR14" s="30"/>
      <c r="RUS14" s="30"/>
      <c r="RUT14" s="30"/>
      <c r="RUU14" s="30"/>
      <c r="RUV14" s="30"/>
      <c r="RUW14" s="30"/>
      <c r="RUX14" s="30"/>
      <c r="RUY14" s="30"/>
      <c r="RUZ14" s="30"/>
      <c r="RVA14" s="30"/>
      <c r="RVB14" s="30"/>
      <c r="RVC14" s="30"/>
      <c r="RVD14" s="30"/>
      <c r="RVE14" s="30"/>
      <c r="RVF14" s="30"/>
      <c r="RVG14" s="30"/>
      <c r="RVH14" s="30"/>
      <c r="RVI14" s="30"/>
      <c r="RVJ14" s="30"/>
      <c r="RVK14" s="30"/>
      <c r="RVL14" s="30"/>
      <c r="RVM14" s="30"/>
      <c r="RVN14" s="30"/>
      <c r="RVO14" s="30"/>
      <c r="RVP14" s="30"/>
      <c r="RVQ14" s="30"/>
      <c r="RVR14" s="30"/>
      <c r="RVS14" s="30"/>
      <c r="RVT14" s="30"/>
      <c r="RVU14" s="30"/>
      <c r="RVV14" s="30"/>
      <c r="RVW14" s="30"/>
      <c r="RVX14" s="30"/>
      <c r="RVY14" s="30"/>
      <c r="RVZ14" s="30"/>
      <c r="RWA14" s="30"/>
      <c r="RWB14" s="30"/>
      <c r="RWC14" s="30"/>
      <c r="RWD14" s="30"/>
      <c r="RWE14" s="30"/>
      <c r="RWF14" s="30"/>
      <c r="RWG14" s="30"/>
      <c r="RWH14" s="30"/>
      <c r="RWI14" s="30"/>
      <c r="RWJ14" s="30"/>
      <c r="RWK14" s="30"/>
      <c r="RWL14" s="30"/>
      <c r="RWM14" s="30"/>
      <c r="RWN14" s="30"/>
      <c r="RWO14" s="30"/>
      <c r="RWP14" s="30"/>
      <c r="RWQ14" s="30"/>
      <c r="RWR14" s="30"/>
      <c r="RWS14" s="30"/>
      <c r="RWT14" s="30"/>
      <c r="RWU14" s="30"/>
      <c r="RWV14" s="30"/>
      <c r="RWW14" s="30"/>
      <c r="RWX14" s="30"/>
      <c r="RWY14" s="30"/>
      <c r="RWZ14" s="30"/>
      <c r="RXA14" s="30"/>
      <c r="RXB14" s="30"/>
      <c r="RXC14" s="30"/>
      <c r="RXD14" s="30"/>
      <c r="RXE14" s="30"/>
      <c r="RXF14" s="30"/>
      <c r="RXG14" s="30"/>
      <c r="RXH14" s="30"/>
      <c r="RXI14" s="30"/>
      <c r="RXJ14" s="30"/>
      <c r="RXK14" s="30"/>
      <c r="RXL14" s="30"/>
      <c r="RXM14" s="30"/>
      <c r="RXN14" s="30"/>
      <c r="RXO14" s="30"/>
      <c r="RXP14" s="30"/>
      <c r="RXQ14" s="30"/>
      <c r="RXR14" s="30"/>
      <c r="RXS14" s="30"/>
      <c r="RXT14" s="30"/>
      <c r="RXU14" s="30"/>
      <c r="RXV14" s="30"/>
      <c r="RXW14" s="30"/>
      <c r="RXX14" s="30"/>
      <c r="RXY14" s="30"/>
      <c r="RXZ14" s="30"/>
      <c r="RYA14" s="30"/>
      <c r="RYB14" s="30"/>
      <c r="RYC14" s="30"/>
      <c r="RYD14" s="30"/>
      <c r="RYE14" s="30"/>
      <c r="RYF14" s="30"/>
      <c r="RYG14" s="30"/>
      <c r="RYH14" s="30"/>
      <c r="RYI14" s="30"/>
      <c r="RYJ14" s="30"/>
      <c r="RYK14" s="30"/>
      <c r="RYL14" s="30"/>
      <c r="RYM14" s="30"/>
      <c r="RYN14" s="30"/>
      <c r="RYO14" s="30"/>
      <c r="RYP14" s="30"/>
      <c r="RYQ14" s="30"/>
      <c r="RYR14" s="30"/>
      <c r="RYS14" s="30"/>
      <c r="RYT14" s="30"/>
      <c r="RYU14" s="30"/>
      <c r="RYV14" s="30"/>
      <c r="RYW14" s="30"/>
      <c r="RYX14" s="30"/>
      <c r="RYY14" s="30"/>
      <c r="RYZ14" s="30"/>
      <c r="RZA14" s="30"/>
      <c r="RZB14" s="30"/>
      <c r="RZC14" s="30"/>
      <c r="RZD14" s="30"/>
      <c r="RZE14" s="30"/>
      <c r="RZF14" s="30"/>
      <c r="RZG14" s="30"/>
      <c r="RZH14" s="30"/>
      <c r="RZI14" s="30"/>
      <c r="RZJ14" s="30"/>
      <c r="RZK14" s="30"/>
      <c r="RZL14" s="30"/>
      <c r="RZM14" s="30"/>
      <c r="RZN14" s="30"/>
      <c r="RZO14" s="30"/>
      <c r="RZP14" s="30"/>
      <c r="RZQ14" s="30"/>
      <c r="RZR14" s="30"/>
      <c r="RZS14" s="30"/>
      <c r="RZT14" s="30"/>
      <c r="RZU14" s="30"/>
      <c r="RZV14" s="30"/>
      <c r="RZW14" s="30"/>
      <c r="RZX14" s="30"/>
      <c r="RZY14" s="30"/>
      <c r="RZZ14" s="30"/>
      <c r="SAA14" s="30"/>
      <c r="SAB14" s="30"/>
      <c r="SAC14" s="30"/>
      <c r="SAD14" s="30"/>
      <c r="SAE14" s="30"/>
      <c r="SAF14" s="30"/>
      <c r="SAG14" s="30"/>
      <c r="SAH14" s="30"/>
      <c r="SAI14" s="30"/>
      <c r="SAJ14" s="30"/>
      <c r="SAK14" s="30"/>
      <c r="SAL14" s="30"/>
      <c r="SAM14" s="30"/>
      <c r="SAN14" s="30"/>
      <c r="SAO14" s="30"/>
      <c r="SAP14" s="30"/>
      <c r="SAQ14" s="30"/>
      <c r="SAR14" s="30"/>
      <c r="SAS14" s="30"/>
      <c r="SAT14" s="30"/>
      <c r="SAU14" s="30"/>
      <c r="SAV14" s="30"/>
      <c r="SAW14" s="30"/>
      <c r="SAX14" s="30"/>
      <c r="SAY14" s="30"/>
      <c r="SAZ14" s="30"/>
      <c r="SBA14" s="30"/>
      <c r="SBB14" s="30"/>
      <c r="SBC14" s="30"/>
      <c r="SBD14" s="30"/>
      <c r="SBE14" s="30"/>
      <c r="SBF14" s="30"/>
      <c r="SBG14" s="30"/>
      <c r="SBH14" s="30"/>
      <c r="SBI14" s="30"/>
      <c r="SBJ14" s="30"/>
      <c r="SBK14" s="30"/>
      <c r="SBL14" s="30"/>
      <c r="SBM14" s="30"/>
      <c r="SBN14" s="30"/>
      <c r="SBO14" s="30"/>
      <c r="SBP14" s="30"/>
      <c r="SBQ14" s="30"/>
      <c r="SBR14" s="30"/>
      <c r="SBS14" s="30"/>
      <c r="SBT14" s="30"/>
      <c r="SBU14" s="30"/>
      <c r="SBV14" s="30"/>
      <c r="SBW14" s="30"/>
      <c r="SBX14" s="30"/>
      <c r="SBY14" s="30"/>
      <c r="SBZ14" s="30"/>
      <c r="SCA14" s="30"/>
      <c r="SCB14" s="30"/>
      <c r="SCC14" s="30"/>
      <c r="SCD14" s="30"/>
      <c r="SCE14" s="30"/>
      <c r="SCF14" s="30"/>
      <c r="SCG14" s="30"/>
      <c r="SCH14" s="30"/>
      <c r="SCI14" s="30"/>
      <c r="SCJ14" s="30"/>
      <c r="SCK14" s="30"/>
      <c r="SCL14" s="30"/>
      <c r="SCM14" s="30"/>
      <c r="SCN14" s="30"/>
      <c r="SCO14" s="30"/>
      <c r="SCP14" s="30"/>
      <c r="SCQ14" s="30"/>
      <c r="SCR14" s="30"/>
      <c r="SCS14" s="30"/>
      <c r="SCT14" s="30"/>
      <c r="SCU14" s="30"/>
      <c r="SCV14" s="30"/>
      <c r="SCW14" s="30"/>
      <c r="SCX14" s="30"/>
      <c r="SCY14" s="30"/>
      <c r="SCZ14" s="30"/>
      <c r="SDA14" s="30"/>
      <c r="SDB14" s="30"/>
      <c r="SDC14" s="30"/>
      <c r="SDD14" s="30"/>
      <c r="SDE14" s="30"/>
      <c r="SDF14" s="30"/>
      <c r="SDG14" s="30"/>
      <c r="SDH14" s="30"/>
      <c r="SDI14" s="30"/>
      <c r="SDJ14" s="30"/>
      <c r="SDK14" s="30"/>
      <c r="SDL14" s="30"/>
      <c r="SDM14" s="30"/>
      <c r="SDN14" s="30"/>
      <c r="SDO14" s="30"/>
      <c r="SDP14" s="30"/>
      <c r="SDQ14" s="30"/>
      <c r="SDR14" s="30"/>
      <c r="SDS14" s="30"/>
      <c r="SDT14" s="30"/>
      <c r="SDU14" s="30"/>
      <c r="SDV14" s="30"/>
      <c r="SDW14" s="30"/>
      <c r="SDX14" s="30"/>
      <c r="SDY14" s="30"/>
      <c r="SDZ14" s="30"/>
      <c r="SEA14" s="30"/>
      <c r="SEB14" s="30"/>
      <c r="SEC14" s="30"/>
      <c r="SED14" s="30"/>
      <c r="SEE14" s="30"/>
      <c r="SEF14" s="30"/>
      <c r="SEG14" s="30"/>
      <c r="SEH14" s="30"/>
      <c r="SEI14" s="30"/>
      <c r="SEJ14" s="30"/>
      <c r="SEK14" s="30"/>
      <c r="SEL14" s="30"/>
      <c r="SEM14" s="30"/>
      <c r="SEN14" s="30"/>
      <c r="SEO14" s="30"/>
      <c r="SEP14" s="30"/>
      <c r="SEQ14" s="30"/>
      <c r="SER14" s="30"/>
      <c r="SES14" s="30"/>
      <c r="SET14" s="30"/>
      <c r="SEU14" s="30"/>
      <c r="SEV14" s="30"/>
      <c r="SEW14" s="30"/>
      <c r="SEX14" s="30"/>
      <c r="SEY14" s="30"/>
      <c r="SEZ14" s="30"/>
      <c r="SFA14" s="30"/>
      <c r="SFB14" s="30"/>
      <c r="SFC14" s="30"/>
      <c r="SFD14" s="30"/>
      <c r="SFE14" s="30"/>
      <c r="SFF14" s="30"/>
      <c r="SFG14" s="30"/>
      <c r="SFH14" s="30"/>
      <c r="SFI14" s="30"/>
      <c r="SFJ14" s="30"/>
      <c r="SFK14" s="30"/>
      <c r="SFL14" s="30"/>
      <c r="SFM14" s="30"/>
      <c r="SFN14" s="30"/>
      <c r="SFO14" s="30"/>
      <c r="SFP14" s="30"/>
      <c r="SFQ14" s="30"/>
      <c r="SFR14" s="30"/>
      <c r="SFS14" s="30"/>
      <c r="SFT14" s="30"/>
      <c r="SFU14" s="30"/>
      <c r="SFV14" s="30"/>
      <c r="SFW14" s="30"/>
      <c r="SFX14" s="30"/>
      <c r="SFY14" s="30"/>
      <c r="SFZ14" s="30"/>
      <c r="SGA14" s="30"/>
      <c r="SGB14" s="30"/>
      <c r="SGC14" s="30"/>
      <c r="SGD14" s="30"/>
      <c r="SGE14" s="30"/>
      <c r="SGF14" s="30"/>
      <c r="SGG14" s="30"/>
      <c r="SGH14" s="30"/>
      <c r="SGI14" s="30"/>
      <c r="SGJ14" s="30"/>
      <c r="SGK14" s="30"/>
      <c r="SGL14" s="30"/>
      <c r="SGM14" s="30"/>
      <c r="SGN14" s="30"/>
      <c r="SGO14" s="30"/>
      <c r="SGP14" s="30"/>
      <c r="SGQ14" s="30"/>
      <c r="SGR14" s="30"/>
      <c r="SGS14" s="30"/>
      <c r="SGT14" s="30"/>
      <c r="SGU14" s="30"/>
      <c r="SGV14" s="30"/>
      <c r="SGW14" s="30"/>
      <c r="SGX14" s="30"/>
      <c r="SGY14" s="30"/>
      <c r="SGZ14" s="30"/>
      <c r="SHA14" s="30"/>
      <c r="SHB14" s="30"/>
      <c r="SHC14" s="30"/>
      <c r="SHD14" s="30"/>
      <c r="SHE14" s="30"/>
      <c r="SHF14" s="30"/>
      <c r="SHG14" s="30"/>
      <c r="SHH14" s="30"/>
      <c r="SHI14" s="30"/>
      <c r="SHJ14" s="30"/>
      <c r="SHK14" s="30"/>
      <c r="SHL14" s="30"/>
      <c r="SHM14" s="30"/>
      <c r="SHN14" s="30"/>
      <c r="SHO14" s="30"/>
      <c r="SHP14" s="30"/>
      <c r="SHQ14" s="30"/>
      <c r="SHR14" s="30"/>
      <c r="SHS14" s="30"/>
      <c r="SHT14" s="30"/>
      <c r="SHU14" s="30"/>
      <c r="SHV14" s="30"/>
      <c r="SHW14" s="30"/>
      <c r="SHX14" s="30"/>
      <c r="SHY14" s="30"/>
      <c r="SHZ14" s="30"/>
      <c r="SIA14" s="30"/>
      <c r="SIB14" s="30"/>
      <c r="SIC14" s="30"/>
      <c r="SID14" s="30"/>
      <c r="SIE14" s="30"/>
      <c r="SIF14" s="30"/>
      <c r="SIG14" s="30"/>
      <c r="SIH14" s="30"/>
      <c r="SII14" s="30"/>
      <c r="SIJ14" s="30"/>
      <c r="SIK14" s="30"/>
      <c r="SIL14" s="30"/>
      <c r="SIM14" s="30"/>
      <c r="SIN14" s="30"/>
      <c r="SIO14" s="30"/>
      <c r="SIP14" s="30"/>
      <c r="SIQ14" s="30"/>
      <c r="SIR14" s="30"/>
      <c r="SIS14" s="30"/>
      <c r="SIT14" s="30"/>
      <c r="SIU14" s="30"/>
      <c r="SIV14" s="30"/>
      <c r="SIW14" s="30"/>
      <c r="SIX14" s="30"/>
      <c r="SIY14" s="30"/>
      <c r="SIZ14" s="30"/>
      <c r="SJA14" s="30"/>
      <c r="SJB14" s="30"/>
      <c r="SJC14" s="30"/>
      <c r="SJD14" s="30"/>
      <c r="SJE14" s="30"/>
      <c r="SJF14" s="30"/>
      <c r="SJG14" s="30"/>
      <c r="SJH14" s="30"/>
      <c r="SJI14" s="30"/>
      <c r="SJJ14" s="30"/>
      <c r="SJK14" s="30"/>
      <c r="SJL14" s="30"/>
      <c r="SJM14" s="30"/>
      <c r="SJN14" s="30"/>
      <c r="SJO14" s="30"/>
      <c r="SJP14" s="30"/>
      <c r="SJQ14" s="30"/>
      <c r="SJR14" s="30"/>
      <c r="SJS14" s="30"/>
      <c r="SJT14" s="30"/>
      <c r="SJU14" s="30"/>
      <c r="SJV14" s="30"/>
      <c r="SJW14" s="30"/>
      <c r="SJX14" s="30"/>
      <c r="SJY14" s="30"/>
      <c r="SJZ14" s="30"/>
      <c r="SKA14" s="30"/>
      <c r="SKB14" s="30"/>
      <c r="SKC14" s="30"/>
      <c r="SKD14" s="30"/>
      <c r="SKE14" s="30"/>
      <c r="SKF14" s="30"/>
      <c r="SKG14" s="30"/>
      <c r="SKH14" s="30"/>
      <c r="SKI14" s="30"/>
      <c r="SKJ14" s="30"/>
      <c r="SKK14" s="30"/>
      <c r="SKL14" s="30"/>
      <c r="SKM14" s="30"/>
      <c r="SKN14" s="30"/>
      <c r="SKO14" s="30"/>
      <c r="SKP14" s="30"/>
      <c r="SKQ14" s="30"/>
      <c r="SKR14" s="30"/>
      <c r="SKS14" s="30"/>
      <c r="SKT14" s="30"/>
      <c r="SKU14" s="30"/>
      <c r="SKV14" s="30"/>
      <c r="SKW14" s="30"/>
      <c r="SKX14" s="30"/>
      <c r="SKY14" s="30"/>
      <c r="SKZ14" s="30"/>
      <c r="SLA14" s="30"/>
      <c r="SLB14" s="30"/>
      <c r="SLC14" s="30"/>
      <c r="SLD14" s="30"/>
      <c r="SLE14" s="30"/>
      <c r="SLF14" s="30"/>
      <c r="SLG14" s="30"/>
      <c r="SLH14" s="30"/>
      <c r="SLI14" s="30"/>
      <c r="SLJ14" s="30"/>
      <c r="SLK14" s="30"/>
      <c r="SLL14" s="30"/>
      <c r="SLM14" s="30"/>
      <c r="SLN14" s="30"/>
      <c r="SLO14" s="30"/>
      <c r="SLP14" s="30"/>
      <c r="SLQ14" s="30"/>
      <c r="SLR14" s="30"/>
      <c r="SLS14" s="30"/>
      <c r="SLT14" s="30"/>
      <c r="SLU14" s="30"/>
      <c r="SLV14" s="30"/>
      <c r="SLW14" s="30"/>
      <c r="SLX14" s="30"/>
      <c r="SLY14" s="30"/>
      <c r="SLZ14" s="30"/>
      <c r="SMA14" s="30"/>
      <c r="SMB14" s="30"/>
      <c r="SMC14" s="30"/>
      <c r="SMD14" s="30"/>
      <c r="SME14" s="30"/>
      <c r="SMF14" s="30"/>
      <c r="SMG14" s="30"/>
      <c r="SMH14" s="30"/>
      <c r="SMI14" s="30"/>
      <c r="SMJ14" s="30"/>
      <c r="SMK14" s="30"/>
      <c r="SML14" s="30"/>
      <c r="SMM14" s="30"/>
      <c r="SMN14" s="30"/>
      <c r="SMO14" s="30"/>
      <c r="SMP14" s="30"/>
      <c r="SMQ14" s="30"/>
      <c r="SMR14" s="30"/>
      <c r="SMS14" s="30"/>
      <c r="SMT14" s="30"/>
      <c r="SMU14" s="30"/>
      <c r="SMV14" s="30"/>
      <c r="SMW14" s="30"/>
      <c r="SMX14" s="30"/>
      <c r="SMY14" s="30"/>
      <c r="SMZ14" s="30"/>
      <c r="SNA14" s="30"/>
      <c r="SNB14" s="30"/>
      <c r="SNC14" s="30"/>
      <c r="SND14" s="30"/>
      <c r="SNE14" s="30"/>
      <c r="SNF14" s="30"/>
      <c r="SNG14" s="30"/>
      <c r="SNH14" s="30"/>
      <c r="SNI14" s="30"/>
      <c r="SNJ14" s="30"/>
      <c r="SNK14" s="30"/>
      <c r="SNL14" s="30"/>
      <c r="SNM14" s="30"/>
      <c r="SNN14" s="30"/>
      <c r="SNO14" s="30"/>
      <c r="SNP14" s="30"/>
      <c r="SNQ14" s="30"/>
      <c r="SNR14" s="30"/>
      <c r="SNS14" s="30"/>
      <c r="SNT14" s="30"/>
      <c r="SNU14" s="30"/>
      <c r="SNV14" s="30"/>
      <c r="SNW14" s="30"/>
      <c r="SNX14" s="30"/>
      <c r="SNY14" s="30"/>
      <c r="SNZ14" s="30"/>
      <c r="SOA14" s="30"/>
      <c r="SOB14" s="30"/>
      <c r="SOC14" s="30"/>
      <c r="SOD14" s="30"/>
      <c r="SOE14" s="30"/>
      <c r="SOF14" s="30"/>
      <c r="SOG14" s="30"/>
      <c r="SOH14" s="30"/>
      <c r="SOI14" s="30"/>
      <c r="SOJ14" s="30"/>
      <c r="SOK14" s="30"/>
      <c r="SOL14" s="30"/>
      <c r="SOM14" s="30"/>
      <c r="SON14" s="30"/>
      <c r="SOO14" s="30"/>
      <c r="SOP14" s="30"/>
      <c r="SOQ14" s="30"/>
      <c r="SOR14" s="30"/>
      <c r="SOS14" s="30"/>
      <c r="SOT14" s="30"/>
      <c r="SOU14" s="30"/>
      <c r="SOV14" s="30"/>
      <c r="SOW14" s="30"/>
      <c r="SOX14" s="30"/>
      <c r="SOY14" s="30"/>
      <c r="SOZ14" s="30"/>
      <c r="SPA14" s="30"/>
      <c r="SPB14" s="30"/>
      <c r="SPC14" s="30"/>
      <c r="SPD14" s="30"/>
      <c r="SPE14" s="30"/>
      <c r="SPF14" s="30"/>
      <c r="SPG14" s="30"/>
      <c r="SPH14" s="30"/>
      <c r="SPI14" s="30"/>
      <c r="SPJ14" s="30"/>
      <c r="SPK14" s="30"/>
      <c r="SPL14" s="30"/>
      <c r="SPM14" s="30"/>
      <c r="SPN14" s="30"/>
      <c r="SPO14" s="30"/>
      <c r="SPP14" s="30"/>
      <c r="SPQ14" s="30"/>
      <c r="SPR14" s="30"/>
      <c r="SPS14" s="30"/>
      <c r="SPT14" s="30"/>
      <c r="SPU14" s="30"/>
      <c r="SPV14" s="30"/>
      <c r="SPW14" s="30"/>
      <c r="SPX14" s="30"/>
      <c r="SPY14" s="30"/>
      <c r="SPZ14" s="30"/>
      <c r="SQA14" s="30"/>
      <c r="SQB14" s="30"/>
      <c r="SQC14" s="30"/>
      <c r="SQD14" s="30"/>
      <c r="SQE14" s="30"/>
      <c r="SQF14" s="30"/>
      <c r="SQG14" s="30"/>
      <c r="SQH14" s="30"/>
      <c r="SQI14" s="30"/>
      <c r="SQJ14" s="30"/>
      <c r="SQK14" s="30"/>
      <c r="SQL14" s="30"/>
      <c r="SQM14" s="30"/>
      <c r="SQN14" s="30"/>
      <c r="SQO14" s="30"/>
      <c r="SQP14" s="30"/>
      <c r="SQQ14" s="30"/>
      <c r="SQR14" s="30"/>
      <c r="SQS14" s="30"/>
      <c r="SQT14" s="30"/>
      <c r="SQU14" s="30"/>
      <c r="SQV14" s="30"/>
      <c r="SQW14" s="30"/>
      <c r="SQX14" s="30"/>
      <c r="SQY14" s="30"/>
      <c r="SQZ14" s="30"/>
      <c r="SRA14" s="30"/>
      <c r="SRB14" s="30"/>
      <c r="SRC14" s="30"/>
      <c r="SRD14" s="30"/>
      <c r="SRE14" s="30"/>
      <c r="SRF14" s="30"/>
      <c r="SRG14" s="30"/>
      <c r="SRH14" s="30"/>
      <c r="SRI14" s="30"/>
      <c r="SRJ14" s="30"/>
      <c r="SRK14" s="30"/>
      <c r="SRL14" s="30"/>
      <c r="SRM14" s="30"/>
      <c r="SRN14" s="30"/>
      <c r="SRO14" s="30"/>
      <c r="SRP14" s="30"/>
      <c r="SRQ14" s="30"/>
      <c r="SRR14" s="30"/>
      <c r="SRS14" s="30"/>
      <c r="SRT14" s="30"/>
      <c r="SRU14" s="30"/>
      <c r="SRV14" s="30"/>
      <c r="SRW14" s="30"/>
      <c r="SRX14" s="30"/>
      <c r="SRY14" s="30"/>
      <c r="SRZ14" s="30"/>
      <c r="SSA14" s="30"/>
      <c r="SSB14" s="30"/>
      <c r="SSC14" s="30"/>
      <c r="SSD14" s="30"/>
      <c r="SSE14" s="30"/>
      <c r="SSF14" s="30"/>
      <c r="SSG14" s="30"/>
      <c r="SSH14" s="30"/>
      <c r="SSI14" s="30"/>
      <c r="SSJ14" s="30"/>
      <c r="SSK14" s="30"/>
      <c r="SSL14" s="30"/>
      <c r="SSM14" s="30"/>
      <c r="SSN14" s="30"/>
      <c r="SSO14" s="30"/>
      <c r="SSP14" s="30"/>
      <c r="SSQ14" s="30"/>
      <c r="SSR14" s="30"/>
      <c r="SSS14" s="30"/>
      <c r="SST14" s="30"/>
      <c r="SSU14" s="30"/>
      <c r="SSV14" s="30"/>
      <c r="SSW14" s="30"/>
      <c r="SSX14" s="30"/>
      <c r="SSY14" s="30"/>
      <c r="SSZ14" s="30"/>
      <c r="STA14" s="30"/>
      <c r="STB14" s="30"/>
      <c r="STC14" s="30"/>
      <c r="STD14" s="30"/>
      <c r="STE14" s="30"/>
      <c r="STF14" s="30"/>
      <c r="STG14" s="30"/>
      <c r="STH14" s="30"/>
      <c r="STI14" s="30"/>
      <c r="STJ14" s="30"/>
      <c r="STK14" s="30"/>
      <c r="STL14" s="30"/>
      <c r="STM14" s="30"/>
      <c r="STN14" s="30"/>
      <c r="STO14" s="30"/>
      <c r="STP14" s="30"/>
      <c r="STQ14" s="30"/>
      <c r="STR14" s="30"/>
      <c r="STS14" s="30"/>
      <c r="STT14" s="30"/>
      <c r="STU14" s="30"/>
      <c r="STV14" s="30"/>
      <c r="STW14" s="30"/>
      <c r="STX14" s="30"/>
      <c r="STY14" s="30"/>
      <c r="STZ14" s="30"/>
      <c r="SUA14" s="30"/>
      <c r="SUB14" s="30"/>
      <c r="SUC14" s="30"/>
      <c r="SUD14" s="30"/>
      <c r="SUE14" s="30"/>
      <c r="SUF14" s="30"/>
      <c r="SUG14" s="30"/>
      <c r="SUH14" s="30"/>
      <c r="SUI14" s="30"/>
      <c r="SUJ14" s="30"/>
      <c r="SUK14" s="30"/>
      <c r="SUL14" s="30"/>
      <c r="SUM14" s="30"/>
      <c r="SUN14" s="30"/>
      <c r="SUO14" s="30"/>
      <c r="SUP14" s="30"/>
      <c r="SUQ14" s="30"/>
      <c r="SUR14" s="30"/>
      <c r="SUS14" s="30"/>
      <c r="SUT14" s="30"/>
      <c r="SUU14" s="30"/>
      <c r="SUV14" s="30"/>
      <c r="SUW14" s="30"/>
      <c r="SUX14" s="30"/>
      <c r="SUY14" s="30"/>
      <c r="SUZ14" s="30"/>
      <c r="SVA14" s="30"/>
      <c r="SVB14" s="30"/>
      <c r="SVC14" s="30"/>
      <c r="SVD14" s="30"/>
      <c r="SVE14" s="30"/>
      <c r="SVF14" s="30"/>
      <c r="SVG14" s="30"/>
      <c r="SVH14" s="30"/>
      <c r="SVI14" s="30"/>
      <c r="SVJ14" s="30"/>
      <c r="SVK14" s="30"/>
      <c r="SVL14" s="30"/>
      <c r="SVM14" s="30"/>
      <c r="SVN14" s="30"/>
      <c r="SVO14" s="30"/>
      <c r="SVP14" s="30"/>
      <c r="SVQ14" s="30"/>
      <c r="SVR14" s="30"/>
      <c r="SVS14" s="30"/>
      <c r="SVT14" s="30"/>
      <c r="SVU14" s="30"/>
      <c r="SVV14" s="30"/>
      <c r="SVW14" s="30"/>
      <c r="SVX14" s="30"/>
      <c r="SVY14" s="30"/>
      <c r="SVZ14" s="30"/>
      <c r="SWA14" s="30"/>
      <c r="SWB14" s="30"/>
      <c r="SWC14" s="30"/>
      <c r="SWD14" s="30"/>
      <c r="SWE14" s="30"/>
      <c r="SWF14" s="30"/>
      <c r="SWG14" s="30"/>
      <c r="SWH14" s="30"/>
      <c r="SWI14" s="30"/>
      <c r="SWJ14" s="30"/>
      <c r="SWK14" s="30"/>
      <c r="SWL14" s="30"/>
      <c r="SWM14" s="30"/>
      <c r="SWN14" s="30"/>
      <c r="SWO14" s="30"/>
      <c r="SWP14" s="30"/>
      <c r="SWQ14" s="30"/>
      <c r="SWR14" s="30"/>
      <c r="SWS14" s="30"/>
      <c r="SWT14" s="30"/>
      <c r="SWU14" s="30"/>
      <c r="SWV14" s="30"/>
      <c r="SWW14" s="30"/>
      <c r="SWX14" s="30"/>
      <c r="SWY14" s="30"/>
      <c r="SWZ14" s="30"/>
      <c r="SXA14" s="30"/>
      <c r="SXB14" s="30"/>
      <c r="SXC14" s="30"/>
      <c r="SXD14" s="30"/>
      <c r="SXE14" s="30"/>
      <c r="SXF14" s="30"/>
      <c r="SXG14" s="30"/>
      <c r="SXH14" s="30"/>
      <c r="SXI14" s="30"/>
      <c r="SXJ14" s="30"/>
      <c r="SXK14" s="30"/>
      <c r="SXL14" s="30"/>
      <c r="SXM14" s="30"/>
      <c r="SXN14" s="30"/>
      <c r="SXO14" s="30"/>
      <c r="SXP14" s="30"/>
      <c r="SXQ14" s="30"/>
      <c r="SXR14" s="30"/>
      <c r="SXS14" s="30"/>
      <c r="SXT14" s="30"/>
      <c r="SXU14" s="30"/>
      <c r="SXV14" s="30"/>
      <c r="SXW14" s="30"/>
      <c r="SXX14" s="30"/>
      <c r="SXY14" s="30"/>
      <c r="SXZ14" s="30"/>
      <c r="SYA14" s="30"/>
      <c r="SYB14" s="30"/>
      <c r="SYC14" s="30"/>
      <c r="SYD14" s="30"/>
      <c r="SYE14" s="30"/>
      <c r="SYF14" s="30"/>
      <c r="SYG14" s="30"/>
      <c r="SYH14" s="30"/>
      <c r="SYI14" s="30"/>
      <c r="SYJ14" s="30"/>
      <c r="SYK14" s="30"/>
      <c r="SYL14" s="30"/>
      <c r="SYM14" s="30"/>
      <c r="SYN14" s="30"/>
      <c r="SYO14" s="30"/>
      <c r="SYP14" s="30"/>
      <c r="SYQ14" s="30"/>
      <c r="SYR14" s="30"/>
      <c r="SYS14" s="30"/>
      <c r="SYT14" s="30"/>
      <c r="SYU14" s="30"/>
      <c r="SYV14" s="30"/>
      <c r="SYW14" s="30"/>
      <c r="SYX14" s="30"/>
      <c r="SYY14" s="30"/>
      <c r="SYZ14" s="30"/>
      <c r="SZA14" s="30"/>
      <c r="SZB14" s="30"/>
      <c r="SZC14" s="30"/>
      <c r="SZD14" s="30"/>
      <c r="SZE14" s="30"/>
      <c r="SZF14" s="30"/>
      <c r="SZG14" s="30"/>
      <c r="SZH14" s="30"/>
      <c r="SZI14" s="30"/>
      <c r="SZJ14" s="30"/>
      <c r="SZK14" s="30"/>
      <c r="SZL14" s="30"/>
      <c r="SZM14" s="30"/>
      <c r="SZN14" s="30"/>
      <c r="SZO14" s="30"/>
      <c r="SZP14" s="30"/>
      <c r="SZQ14" s="30"/>
      <c r="SZR14" s="30"/>
      <c r="SZS14" s="30"/>
      <c r="SZT14" s="30"/>
      <c r="SZU14" s="30"/>
      <c r="SZV14" s="30"/>
      <c r="SZW14" s="30"/>
      <c r="SZX14" s="30"/>
      <c r="SZY14" s="30"/>
      <c r="SZZ14" s="30"/>
      <c r="TAA14" s="30"/>
      <c r="TAB14" s="30"/>
      <c r="TAC14" s="30"/>
      <c r="TAD14" s="30"/>
      <c r="TAE14" s="30"/>
      <c r="TAF14" s="30"/>
      <c r="TAG14" s="30"/>
      <c r="TAH14" s="30"/>
      <c r="TAI14" s="30"/>
      <c r="TAJ14" s="30"/>
      <c r="TAK14" s="30"/>
      <c r="TAL14" s="30"/>
      <c r="TAM14" s="30"/>
      <c r="TAN14" s="30"/>
      <c r="TAO14" s="30"/>
      <c r="TAP14" s="30"/>
      <c r="TAQ14" s="30"/>
      <c r="TAR14" s="30"/>
      <c r="TAS14" s="30"/>
      <c r="TAT14" s="30"/>
      <c r="TAU14" s="30"/>
      <c r="TAV14" s="30"/>
      <c r="TAW14" s="30"/>
      <c r="TAX14" s="30"/>
      <c r="TAY14" s="30"/>
      <c r="TAZ14" s="30"/>
      <c r="TBA14" s="30"/>
      <c r="TBB14" s="30"/>
      <c r="TBC14" s="30"/>
      <c r="TBD14" s="30"/>
      <c r="TBE14" s="30"/>
      <c r="TBF14" s="30"/>
      <c r="TBG14" s="30"/>
      <c r="TBH14" s="30"/>
      <c r="TBI14" s="30"/>
      <c r="TBJ14" s="30"/>
      <c r="TBK14" s="30"/>
      <c r="TBL14" s="30"/>
      <c r="TBM14" s="30"/>
      <c r="TBN14" s="30"/>
      <c r="TBO14" s="30"/>
      <c r="TBP14" s="30"/>
      <c r="TBQ14" s="30"/>
      <c r="TBR14" s="30"/>
      <c r="TBS14" s="30"/>
      <c r="TBT14" s="30"/>
      <c r="TBU14" s="30"/>
      <c r="TBV14" s="30"/>
      <c r="TBW14" s="30"/>
      <c r="TBX14" s="30"/>
      <c r="TBY14" s="30"/>
      <c r="TBZ14" s="30"/>
      <c r="TCA14" s="30"/>
      <c r="TCB14" s="30"/>
      <c r="TCC14" s="30"/>
      <c r="TCD14" s="30"/>
      <c r="TCE14" s="30"/>
      <c r="TCF14" s="30"/>
      <c r="TCG14" s="30"/>
      <c r="TCH14" s="30"/>
      <c r="TCI14" s="30"/>
      <c r="TCJ14" s="30"/>
      <c r="TCK14" s="30"/>
      <c r="TCL14" s="30"/>
      <c r="TCM14" s="30"/>
      <c r="TCN14" s="30"/>
      <c r="TCO14" s="30"/>
      <c r="TCP14" s="30"/>
      <c r="TCQ14" s="30"/>
      <c r="TCR14" s="30"/>
      <c r="TCS14" s="30"/>
      <c r="TCT14" s="30"/>
      <c r="TCU14" s="30"/>
      <c r="TCV14" s="30"/>
      <c r="TCW14" s="30"/>
      <c r="TCX14" s="30"/>
      <c r="TCY14" s="30"/>
      <c r="TCZ14" s="30"/>
      <c r="TDA14" s="30"/>
      <c r="TDB14" s="30"/>
      <c r="TDC14" s="30"/>
      <c r="TDD14" s="30"/>
      <c r="TDE14" s="30"/>
      <c r="TDF14" s="30"/>
      <c r="TDG14" s="30"/>
      <c r="TDH14" s="30"/>
      <c r="TDI14" s="30"/>
      <c r="TDJ14" s="30"/>
      <c r="TDK14" s="30"/>
      <c r="TDL14" s="30"/>
      <c r="TDM14" s="30"/>
      <c r="TDN14" s="30"/>
      <c r="TDO14" s="30"/>
      <c r="TDP14" s="30"/>
      <c r="TDQ14" s="30"/>
      <c r="TDR14" s="30"/>
      <c r="TDS14" s="30"/>
      <c r="TDT14" s="30"/>
      <c r="TDU14" s="30"/>
      <c r="TDV14" s="30"/>
      <c r="TDW14" s="30"/>
      <c r="TDX14" s="30"/>
      <c r="TDY14" s="30"/>
      <c r="TDZ14" s="30"/>
      <c r="TEA14" s="30"/>
      <c r="TEB14" s="30"/>
      <c r="TEC14" s="30"/>
      <c r="TED14" s="30"/>
      <c r="TEE14" s="30"/>
      <c r="TEF14" s="30"/>
      <c r="TEG14" s="30"/>
      <c r="TEH14" s="30"/>
      <c r="TEI14" s="30"/>
      <c r="TEJ14" s="30"/>
      <c r="TEK14" s="30"/>
      <c r="TEL14" s="30"/>
      <c r="TEM14" s="30"/>
      <c r="TEN14" s="30"/>
      <c r="TEO14" s="30"/>
      <c r="TEP14" s="30"/>
      <c r="TEQ14" s="30"/>
      <c r="TER14" s="30"/>
      <c r="TES14" s="30"/>
      <c r="TET14" s="30"/>
      <c r="TEU14" s="30"/>
      <c r="TEV14" s="30"/>
      <c r="TEW14" s="30"/>
      <c r="TEX14" s="30"/>
      <c r="TEY14" s="30"/>
      <c r="TEZ14" s="30"/>
      <c r="TFA14" s="30"/>
      <c r="TFB14" s="30"/>
      <c r="TFC14" s="30"/>
      <c r="TFD14" s="30"/>
      <c r="TFE14" s="30"/>
      <c r="TFF14" s="30"/>
      <c r="TFG14" s="30"/>
      <c r="TFH14" s="30"/>
      <c r="TFI14" s="30"/>
      <c r="TFJ14" s="30"/>
      <c r="TFK14" s="30"/>
      <c r="TFL14" s="30"/>
      <c r="TFM14" s="30"/>
      <c r="TFN14" s="30"/>
      <c r="TFO14" s="30"/>
      <c r="TFP14" s="30"/>
      <c r="TFQ14" s="30"/>
      <c r="TFR14" s="30"/>
      <c r="TFS14" s="30"/>
      <c r="TFT14" s="30"/>
      <c r="TFU14" s="30"/>
      <c r="TFV14" s="30"/>
      <c r="TFW14" s="30"/>
      <c r="TFX14" s="30"/>
      <c r="TFY14" s="30"/>
      <c r="TFZ14" s="30"/>
      <c r="TGA14" s="30"/>
      <c r="TGB14" s="30"/>
      <c r="TGC14" s="30"/>
      <c r="TGD14" s="30"/>
      <c r="TGE14" s="30"/>
      <c r="TGF14" s="30"/>
      <c r="TGG14" s="30"/>
      <c r="TGH14" s="30"/>
      <c r="TGI14" s="30"/>
      <c r="TGJ14" s="30"/>
      <c r="TGK14" s="30"/>
      <c r="TGL14" s="30"/>
      <c r="TGM14" s="30"/>
      <c r="TGN14" s="30"/>
      <c r="TGO14" s="30"/>
      <c r="TGP14" s="30"/>
      <c r="TGQ14" s="30"/>
      <c r="TGR14" s="30"/>
      <c r="TGS14" s="30"/>
      <c r="TGT14" s="30"/>
      <c r="TGU14" s="30"/>
      <c r="TGV14" s="30"/>
      <c r="TGW14" s="30"/>
      <c r="TGX14" s="30"/>
      <c r="TGY14" s="30"/>
      <c r="TGZ14" s="30"/>
      <c r="THA14" s="30"/>
      <c r="THB14" s="30"/>
      <c r="THC14" s="30"/>
      <c r="THD14" s="30"/>
      <c r="THE14" s="30"/>
      <c r="THF14" s="30"/>
      <c r="THG14" s="30"/>
      <c r="THH14" s="30"/>
      <c r="THI14" s="30"/>
      <c r="THJ14" s="30"/>
      <c r="THK14" s="30"/>
      <c r="THL14" s="30"/>
      <c r="THM14" s="30"/>
      <c r="THN14" s="30"/>
      <c r="THO14" s="30"/>
      <c r="THP14" s="30"/>
      <c r="THQ14" s="30"/>
      <c r="THR14" s="30"/>
      <c r="THS14" s="30"/>
      <c r="THT14" s="30"/>
      <c r="THU14" s="30"/>
      <c r="THV14" s="30"/>
      <c r="THW14" s="30"/>
      <c r="THX14" s="30"/>
      <c r="THY14" s="30"/>
      <c r="THZ14" s="30"/>
      <c r="TIA14" s="30"/>
      <c r="TIB14" s="30"/>
      <c r="TIC14" s="30"/>
      <c r="TID14" s="30"/>
      <c r="TIE14" s="30"/>
      <c r="TIF14" s="30"/>
      <c r="TIG14" s="30"/>
      <c r="TIH14" s="30"/>
      <c r="TII14" s="30"/>
      <c r="TIJ14" s="30"/>
      <c r="TIK14" s="30"/>
      <c r="TIL14" s="30"/>
      <c r="TIM14" s="30"/>
      <c r="TIN14" s="30"/>
      <c r="TIO14" s="30"/>
      <c r="TIP14" s="30"/>
      <c r="TIQ14" s="30"/>
      <c r="TIR14" s="30"/>
      <c r="TIS14" s="30"/>
      <c r="TIT14" s="30"/>
      <c r="TIU14" s="30"/>
      <c r="TIV14" s="30"/>
      <c r="TIW14" s="30"/>
      <c r="TIX14" s="30"/>
      <c r="TIY14" s="30"/>
      <c r="TIZ14" s="30"/>
      <c r="TJA14" s="30"/>
      <c r="TJB14" s="30"/>
      <c r="TJC14" s="30"/>
      <c r="TJD14" s="30"/>
      <c r="TJE14" s="30"/>
      <c r="TJF14" s="30"/>
      <c r="TJG14" s="30"/>
      <c r="TJH14" s="30"/>
      <c r="TJI14" s="30"/>
      <c r="TJJ14" s="30"/>
      <c r="TJK14" s="30"/>
      <c r="TJL14" s="30"/>
      <c r="TJM14" s="30"/>
      <c r="TJN14" s="30"/>
      <c r="TJO14" s="30"/>
      <c r="TJP14" s="30"/>
      <c r="TJQ14" s="30"/>
      <c r="TJR14" s="30"/>
      <c r="TJS14" s="30"/>
      <c r="TJT14" s="30"/>
      <c r="TJU14" s="30"/>
      <c r="TJV14" s="30"/>
      <c r="TJW14" s="30"/>
      <c r="TJX14" s="30"/>
      <c r="TJY14" s="30"/>
      <c r="TJZ14" s="30"/>
      <c r="TKA14" s="30"/>
      <c r="TKB14" s="30"/>
      <c r="TKC14" s="30"/>
      <c r="TKD14" s="30"/>
      <c r="TKE14" s="30"/>
      <c r="TKF14" s="30"/>
      <c r="TKG14" s="30"/>
      <c r="TKH14" s="30"/>
      <c r="TKI14" s="30"/>
      <c r="TKJ14" s="30"/>
      <c r="TKK14" s="30"/>
      <c r="TKL14" s="30"/>
      <c r="TKM14" s="30"/>
      <c r="TKN14" s="30"/>
      <c r="TKO14" s="30"/>
      <c r="TKP14" s="30"/>
      <c r="TKQ14" s="30"/>
      <c r="TKR14" s="30"/>
      <c r="TKS14" s="30"/>
      <c r="TKT14" s="30"/>
      <c r="TKU14" s="30"/>
      <c r="TKV14" s="30"/>
      <c r="TKW14" s="30"/>
      <c r="TKX14" s="30"/>
      <c r="TKY14" s="30"/>
      <c r="TKZ14" s="30"/>
      <c r="TLA14" s="30"/>
      <c r="TLB14" s="30"/>
      <c r="TLC14" s="30"/>
      <c r="TLD14" s="30"/>
      <c r="TLE14" s="30"/>
      <c r="TLF14" s="30"/>
      <c r="TLG14" s="30"/>
      <c r="TLH14" s="30"/>
      <c r="TLI14" s="30"/>
      <c r="TLJ14" s="30"/>
      <c r="TLK14" s="30"/>
      <c r="TLL14" s="30"/>
      <c r="TLM14" s="30"/>
      <c r="TLN14" s="30"/>
      <c r="TLO14" s="30"/>
      <c r="TLP14" s="30"/>
      <c r="TLQ14" s="30"/>
      <c r="TLR14" s="30"/>
      <c r="TLS14" s="30"/>
      <c r="TLT14" s="30"/>
      <c r="TLU14" s="30"/>
      <c r="TLV14" s="30"/>
      <c r="TLW14" s="30"/>
      <c r="TLX14" s="30"/>
      <c r="TLY14" s="30"/>
      <c r="TLZ14" s="30"/>
      <c r="TMA14" s="30"/>
      <c r="TMB14" s="30"/>
      <c r="TMC14" s="30"/>
      <c r="TMD14" s="30"/>
      <c r="TME14" s="30"/>
      <c r="TMF14" s="30"/>
      <c r="TMG14" s="30"/>
      <c r="TMH14" s="30"/>
      <c r="TMI14" s="30"/>
      <c r="TMJ14" s="30"/>
      <c r="TMK14" s="30"/>
      <c r="TML14" s="30"/>
      <c r="TMM14" s="30"/>
      <c r="TMN14" s="30"/>
      <c r="TMO14" s="30"/>
      <c r="TMP14" s="30"/>
      <c r="TMQ14" s="30"/>
      <c r="TMR14" s="30"/>
      <c r="TMS14" s="30"/>
      <c r="TMT14" s="30"/>
      <c r="TMU14" s="30"/>
      <c r="TMV14" s="30"/>
      <c r="TMW14" s="30"/>
      <c r="TMX14" s="30"/>
      <c r="TMY14" s="30"/>
      <c r="TMZ14" s="30"/>
      <c r="TNA14" s="30"/>
      <c r="TNB14" s="30"/>
      <c r="TNC14" s="30"/>
      <c r="TND14" s="30"/>
      <c r="TNE14" s="30"/>
      <c r="TNF14" s="30"/>
      <c r="TNG14" s="30"/>
      <c r="TNH14" s="30"/>
      <c r="TNI14" s="30"/>
      <c r="TNJ14" s="30"/>
      <c r="TNK14" s="30"/>
      <c r="TNL14" s="30"/>
      <c r="TNM14" s="30"/>
      <c r="TNN14" s="30"/>
      <c r="TNO14" s="30"/>
      <c r="TNP14" s="30"/>
      <c r="TNQ14" s="30"/>
      <c r="TNR14" s="30"/>
      <c r="TNS14" s="30"/>
      <c r="TNT14" s="30"/>
      <c r="TNU14" s="30"/>
      <c r="TNV14" s="30"/>
      <c r="TNW14" s="30"/>
      <c r="TNX14" s="30"/>
      <c r="TNY14" s="30"/>
      <c r="TNZ14" s="30"/>
      <c r="TOA14" s="30"/>
      <c r="TOB14" s="30"/>
      <c r="TOC14" s="30"/>
      <c r="TOD14" s="30"/>
      <c r="TOE14" s="30"/>
      <c r="TOF14" s="30"/>
      <c r="TOG14" s="30"/>
      <c r="TOH14" s="30"/>
      <c r="TOI14" s="30"/>
      <c r="TOJ14" s="30"/>
      <c r="TOK14" s="30"/>
      <c r="TOL14" s="30"/>
      <c r="TOM14" s="30"/>
      <c r="TON14" s="30"/>
      <c r="TOO14" s="30"/>
      <c r="TOP14" s="30"/>
      <c r="TOQ14" s="30"/>
      <c r="TOR14" s="30"/>
      <c r="TOS14" s="30"/>
      <c r="TOT14" s="30"/>
      <c r="TOU14" s="30"/>
      <c r="TOV14" s="30"/>
      <c r="TOW14" s="30"/>
      <c r="TOX14" s="30"/>
      <c r="TOY14" s="30"/>
      <c r="TOZ14" s="30"/>
      <c r="TPA14" s="30"/>
      <c r="TPB14" s="30"/>
      <c r="TPC14" s="30"/>
      <c r="TPD14" s="30"/>
      <c r="TPE14" s="30"/>
      <c r="TPF14" s="30"/>
      <c r="TPG14" s="30"/>
      <c r="TPH14" s="30"/>
      <c r="TPI14" s="30"/>
      <c r="TPJ14" s="30"/>
      <c r="TPK14" s="30"/>
      <c r="TPL14" s="30"/>
      <c r="TPM14" s="30"/>
      <c r="TPN14" s="30"/>
      <c r="TPO14" s="30"/>
      <c r="TPP14" s="30"/>
      <c r="TPQ14" s="30"/>
      <c r="TPR14" s="30"/>
      <c r="TPS14" s="30"/>
      <c r="TPT14" s="30"/>
      <c r="TPU14" s="30"/>
      <c r="TPV14" s="30"/>
      <c r="TPW14" s="30"/>
      <c r="TPX14" s="30"/>
      <c r="TPY14" s="30"/>
      <c r="TPZ14" s="30"/>
      <c r="TQA14" s="30"/>
      <c r="TQB14" s="30"/>
      <c r="TQC14" s="30"/>
      <c r="TQD14" s="30"/>
      <c r="TQE14" s="30"/>
      <c r="TQF14" s="30"/>
      <c r="TQG14" s="30"/>
      <c r="TQH14" s="30"/>
      <c r="TQI14" s="30"/>
      <c r="TQJ14" s="30"/>
      <c r="TQK14" s="30"/>
      <c r="TQL14" s="30"/>
      <c r="TQM14" s="30"/>
      <c r="TQN14" s="30"/>
      <c r="TQO14" s="30"/>
      <c r="TQP14" s="30"/>
      <c r="TQQ14" s="30"/>
      <c r="TQR14" s="30"/>
      <c r="TQS14" s="30"/>
      <c r="TQT14" s="30"/>
      <c r="TQU14" s="30"/>
      <c r="TQV14" s="30"/>
      <c r="TQW14" s="30"/>
      <c r="TQX14" s="30"/>
      <c r="TQY14" s="30"/>
      <c r="TQZ14" s="30"/>
      <c r="TRA14" s="30"/>
      <c r="TRB14" s="30"/>
      <c r="TRC14" s="30"/>
      <c r="TRD14" s="30"/>
      <c r="TRE14" s="30"/>
      <c r="TRF14" s="30"/>
      <c r="TRG14" s="30"/>
      <c r="TRH14" s="30"/>
      <c r="TRI14" s="30"/>
      <c r="TRJ14" s="30"/>
      <c r="TRK14" s="30"/>
      <c r="TRL14" s="30"/>
      <c r="TRM14" s="30"/>
      <c r="TRN14" s="30"/>
      <c r="TRO14" s="30"/>
      <c r="TRP14" s="30"/>
      <c r="TRQ14" s="30"/>
      <c r="TRR14" s="30"/>
      <c r="TRS14" s="30"/>
      <c r="TRT14" s="30"/>
      <c r="TRU14" s="30"/>
      <c r="TRV14" s="30"/>
      <c r="TRW14" s="30"/>
      <c r="TRX14" s="30"/>
      <c r="TRY14" s="30"/>
      <c r="TRZ14" s="30"/>
      <c r="TSA14" s="30"/>
      <c r="TSB14" s="30"/>
      <c r="TSC14" s="30"/>
      <c r="TSD14" s="30"/>
      <c r="TSE14" s="30"/>
      <c r="TSF14" s="30"/>
      <c r="TSG14" s="30"/>
      <c r="TSH14" s="30"/>
      <c r="TSI14" s="30"/>
      <c r="TSJ14" s="30"/>
      <c r="TSK14" s="30"/>
      <c r="TSL14" s="30"/>
      <c r="TSM14" s="30"/>
      <c r="TSN14" s="30"/>
      <c r="TSO14" s="30"/>
      <c r="TSP14" s="30"/>
      <c r="TSQ14" s="30"/>
      <c r="TSR14" s="30"/>
      <c r="TSS14" s="30"/>
      <c r="TST14" s="30"/>
      <c r="TSU14" s="30"/>
      <c r="TSV14" s="30"/>
      <c r="TSW14" s="30"/>
      <c r="TSX14" s="30"/>
      <c r="TSY14" s="30"/>
      <c r="TSZ14" s="30"/>
      <c r="TTA14" s="30"/>
      <c r="TTB14" s="30"/>
      <c r="TTC14" s="30"/>
      <c r="TTD14" s="30"/>
      <c r="TTE14" s="30"/>
      <c r="TTF14" s="30"/>
      <c r="TTG14" s="30"/>
      <c r="TTH14" s="30"/>
      <c r="TTI14" s="30"/>
      <c r="TTJ14" s="30"/>
      <c r="TTK14" s="30"/>
      <c r="TTL14" s="30"/>
      <c r="TTM14" s="30"/>
      <c r="TTN14" s="30"/>
      <c r="TTO14" s="30"/>
      <c r="TTP14" s="30"/>
      <c r="TTQ14" s="30"/>
      <c r="TTR14" s="30"/>
      <c r="TTS14" s="30"/>
      <c r="TTT14" s="30"/>
      <c r="TTU14" s="30"/>
      <c r="TTV14" s="30"/>
      <c r="TTW14" s="30"/>
      <c r="TTX14" s="30"/>
      <c r="TTY14" s="30"/>
      <c r="TTZ14" s="30"/>
      <c r="TUA14" s="30"/>
      <c r="TUB14" s="30"/>
      <c r="TUC14" s="30"/>
      <c r="TUD14" s="30"/>
      <c r="TUE14" s="30"/>
      <c r="TUF14" s="30"/>
      <c r="TUG14" s="30"/>
      <c r="TUH14" s="30"/>
      <c r="TUI14" s="30"/>
      <c r="TUJ14" s="30"/>
      <c r="TUK14" s="30"/>
      <c r="TUL14" s="30"/>
      <c r="TUM14" s="30"/>
      <c r="TUN14" s="30"/>
      <c r="TUO14" s="30"/>
      <c r="TUP14" s="30"/>
      <c r="TUQ14" s="30"/>
      <c r="TUR14" s="30"/>
      <c r="TUS14" s="30"/>
      <c r="TUT14" s="30"/>
      <c r="TUU14" s="30"/>
      <c r="TUV14" s="30"/>
      <c r="TUW14" s="30"/>
      <c r="TUX14" s="30"/>
      <c r="TUY14" s="30"/>
      <c r="TUZ14" s="30"/>
      <c r="TVA14" s="30"/>
      <c r="TVB14" s="30"/>
      <c r="TVC14" s="30"/>
      <c r="TVD14" s="30"/>
      <c r="TVE14" s="30"/>
      <c r="TVF14" s="30"/>
      <c r="TVG14" s="30"/>
      <c r="TVH14" s="30"/>
      <c r="TVI14" s="30"/>
      <c r="TVJ14" s="30"/>
      <c r="TVK14" s="30"/>
      <c r="TVL14" s="30"/>
      <c r="TVM14" s="30"/>
      <c r="TVN14" s="30"/>
      <c r="TVO14" s="30"/>
      <c r="TVP14" s="30"/>
      <c r="TVQ14" s="30"/>
      <c r="TVR14" s="30"/>
      <c r="TVS14" s="30"/>
      <c r="TVT14" s="30"/>
      <c r="TVU14" s="30"/>
      <c r="TVV14" s="30"/>
      <c r="TVW14" s="30"/>
      <c r="TVX14" s="30"/>
      <c r="TVY14" s="30"/>
      <c r="TVZ14" s="30"/>
      <c r="TWA14" s="30"/>
      <c r="TWB14" s="30"/>
      <c r="TWC14" s="30"/>
      <c r="TWD14" s="30"/>
      <c r="TWE14" s="30"/>
      <c r="TWF14" s="30"/>
      <c r="TWG14" s="30"/>
      <c r="TWH14" s="30"/>
      <c r="TWI14" s="30"/>
      <c r="TWJ14" s="30"/>
      <c r="TWK14" s="30"/>
      <c r="TWL14" s="30"/>
      <c r="TWM14" s="30"/>
      <c r="TWN14" s="30"/>
      <c r="TWO14" s="30"/>
      <c r="TWP14" s="30"/>
      <c r="TWQ14" s="30"/>
      <c r="TWR14" s="30"/>
      <c r="TWS14" s="30"/>
      <c r="TWT14" s="30"/>
      <c r="TWU14" s="30"/>
      <c r="TWV14" s="30"/>
      <c r="TWW14" s="30"/>
      <c r="TWX14" s="30"/>
      <c r="TWY14" s="30"/>
      <c r="TWZ14" s="30"/>
      <c r="TXA14" s="30"/>
      <c r="TXB14" s="30"/>
      <c r="TXC14" s="30"/>
      <c r="TXD14" s="30"/>
      <c r="TXE14" s="30"/>
      <c r="TXF14" s="30"/>
      <c r="TXG14" s="30"/>
      <c r="TXH14" s="30"/>
      <c r="TXI14" s="30"/>
      <c r="TXJ14" s="30"/>
      <c r="TXK14" s="30"/>
      <c r="TXL14" s="30"/>
      <c r="TXM14" s="30"/>
      <c r="TXN14" s="30"/>
      <c r="TXO14" s="30"/>
      <c r="TXP14" s="30"/>
      <c r="TXQ14" s="30"/>
      <c r="TXR14" s="30"/>
      <c r="TXS14" s="30"/>
      <c r="TXT14" s="30"/>
      <c r="TXU14" s="30"/>
      <c r="TXV14" s="30"/>
      <c r="TXW14" s="30"/>
      <c r="TXX14" s="30"/>
      <c r="TXY14" s="30"/>
      <c r="TXZ14" s="30"/>
      <c r="TYA14" s="30"/>
      <c r="TYB14" s="30"/>
      <c r="TYC14" s="30"/>
      <c r="TYD14" s="30"/>
      <c r="TYE14" s="30"/>
      <c r="TYF14" s="30"/>
      <c r="TYG14" s="30"/>
      <c r="TYH14" s="30"/>
      <c r="TYI14" s="30"/>
      <c r="TYJ14" s="30"/>
      <c r="TYK14" s="30"/>
      <c r="TYL14" s="30"/>
      <c r="TYM14" s="30"/>
      <c r="TYN14" s="30"/>
      <c r="TYO14" s="30"/>
      <c r="TYP14" s="30"/>
      <c r="TYQ14" s="30"/>
      <c r="TYR14" s="30"/>
      <c r="TYS14" s="30"/>
      <c r="TYT14" s="30"/>
      <c r="TYU14" s="30"/>
      <c r="TYV14" s="30"/>
      <c r="TYW14" s="30"/>
      <c r="TYX14" s="30"/>
      <c r="TYY14" s="30"/>
      <c r="TYZ14" s="30"/>
      <c r="TZA14" s="30"/>
      <c r="TZB14" s="30"/>
      <c r="TZC14" s="30"/>
      <c r="TZD14" s="30"/>
      <c r="TZE14" s="30"/>
      <c r="TZF14" s="30"/>
      <c r="TZG14" s="30"/>
      <c r="TZH14" s="30"/>
      <c r="TZI14" s="30"/>
      <c r="TZJ14" s="30"/>
      <c r="TZK14" s="30"/>
      <c r="TZL14" s="30"/>
      <c r="TZM14" s="30"/>
      <c r="TZN14" s="30"/>
      <c r="TZO14" s="30"/>
      <c r="TZP14" s="30"/>
      <c r="TZQ14" s="30"/>
      <c r="TZR14" s="30"/>
      <c r="TZS14" s="30"/>
      <c r="TZT14" s="30"/>
      <c r="TZU14" s="30"/>
      <c r="TZV14" s="30"/>
      <c r="TZW14" s="30"/>
      <c r="TZX14" s="30"/>
      <c r="TZY14" s="30"/>
      <c r="TZZ14" s="30"/>
      <c r="UAA14" s="30"/>
      <c r="UAB14" s="30"/>
      <c r="UAC14" s="30"/>
      <c r="UAD14" s="30"/>
      <c r="UAE14" s="30"/>
      <c r="UAF14" s="30"/>
      <c r="UAG14" s="30"/>
      <c r="UAH14" s="30"/>
      <c r="UAI14" s="30"/>
      <c r="UAJ14" s="30"/>
      <c r="UAK14" s="30"/>
      <c r="UAL14" s="30"/>
      <c r="UAM14" s="30"/>
      <c r="UAN14" s="30"/>
      <c r="UAO14" s="30"/>
      <c r="UAP14" s="30"/>
      <c r="UAQ14" s="30"/>
      <c r="UAR14" s="30"/>
      <c r="UAS14" s="30"/>
      <c r="UAT14" s="30"/>
      <c r="UAU14" s="30"/>
      <c r="UAV14" s="30"/>
      <c r="UAW14" s="30"/>
      <c r="UAX14" s="30"/>
      <c r="UAY14" s="30"/>
      <c r="UAZ14" s="30"/>
      <c r="UBA14" s="30"/>
      <c r="UBB14" s="30"/>
      <c r="UBC14" s="30"/>
      <c r="UBD14" s="30"/>
      <c r="UBE14" s="30"/>
      <c r="UBF14" s="30"/>
      <c r="UBG14" s="30"/>
      <c r="UBH14" s="30"/>
      <c r="UBI14" s="30"/>
      <c r="UBJ14" s="30"/>
      <c r="UBK14" s="30"/>
      <c r="UBL14" s="30"/>
      <c r="UBM14" s="30"/>
      <c r="UBN14" s="30"/>
      <c r="UBO14" s="30"/>
      <c r="UBP14" s="30"/>
      <c r="UBQ14" s="30"/>
      <c r="UBR14" s="30"/>
      <c r="UBS14" s="30"/>
      <c r="UBT14" s="30"/>
      <c r="UBU14" s="30"/>
      <c r="UBV14" s="30"/>
      <c r="UBW14" s="30"/>
      <c r="UBX14" s="30"/>
      <c r="UBY14" s="30"/>
      <c r="UBZ14" s="30"/>
      <c r="UCA14" s="30"/>
      <c r="UCB14" s="30"/>
      <c r="UCC14" s="30"/>
      <c r="UCD14" s="30"/>
      <c r="UCE14" s="30"/>
      <c r="UCF14" s="30"/>
      <c r="UCG14" s="30"/>
      <c r="UCH14" s="30"/>
      <c r="UCI14" s="30"/>
      <c r="UCJ14" s="30"/>
      <c r="UCK14" s="30"/>
      <c r="UCL14" s="30"/>
      <c r="UCM14" s="30"/>
      <c r="UCN14" s="30"/>
      <c r="UCO14" s="30"/>
      <c r="UCP14" s="30"/>
      <c r="UCQ14" s="30"/>
      <c r="UCR14" s="30"/>
      <c r="UCS14" s="30"/>
      <c r="UCT14" s="30"/>
      <c r="UCU14" s="30"/>
      <c r="UCV14" s="30"/>
      <c r="UCW14" s="30"/>
      <c r="UCX14" s="30"/>
      <c r="UCY14" s="30"/>
      <c r="UCZ14" s="30"/>
      <c r="UDA14" s="30"/>
      <c r="UDB14" s="30"/>
      <c r="UDC14" s="30"/>
      <c r="UDD14" s="30"/>
      <c r="UDE14" s="30"/>
      <c r="UDF14" s="30"/>
      <c r="UDG14" s="30"/>
      <c r="UDH14" s="30"/>
      <c r="UDI14" s="30"/>
      <c r="UDJ14" s="30"/>
      <c r="UDK14" s="30"/>
      <c r="UDL14" s="30"/>
      <c r="UDM14" s="30"/>
      <c r="UDN14" s="30"/>
      <c r="UDO14" s="30"/>
      <c r="UDP14" s="30"/>
      <c r="UDQ14" s="30"/>
      <c r="UDR14" s="30"/>
      <c r="UDS14" s="30"/>
      <c r="UDT14" s="30"/>
      <c r="UDU14" s="30"/>
      <c r="UDV14" s="30"/>
      <c r="UDW14" s="30"/>
      <c r="UDX14" s="30"/>
      <c r="UDY14" s="30"/>
      <c r="UDZ14" s="30"/>
      <c r="UEA14" s="30"/>
      <c r="UEB14" s="30"/>
      <c r="UEC14" s="30"/>
      <c r="UED14" s="30"/>
      <c r="UEE14" s="30"/>
      <c r="UEF14" s="30"/>
      <c r="UEG14" s="30"/>
      <c r="UEH14" s="30"/>
      <c r="UEI14" s="30"/>
      <c r="UEJ14" s="30"/>
      <c r="UEK14" s="30"/>
      <c r="UEL14" s="30"/>
      <c r="UEM14" s="30"/>
      <c r="UEN14" s="30"/>
      <c r="UEO14" s="30"/>
      <c r="UEP14" s="30"/>
      <c r="UEQ14" s="30"/>
      <c r="UER14" s="30"/>
      <c r="UES14" s="30"/>
      <c r="UET14" s="30"/>
      <c r="UEU14" s="30"/>
      <c r="UEV14" s="30"/>
      <c r="UEW14" s="30"/>
      <c r="UEX14" s="30"/>
      <c r="UEY14" s="30"/>
      <c r="UEZ14" s="30"/>
      <c r="UFA14" s="30"/>
      <c r="UFB14" s="30"/>
      <c r="UFC14" s="30"/>
      <c r="UFD14" s="30"/>
      <c r="UFE14" s="30"/>
      <c r="UFF14" s="30"/>
      <c r="UFG14" s="30"/>
      <c r="UFH14" s="30"/>
      <c r="UFI14" s="30"/>
      <c r="UFJ14" s="30"/>
      <c r="UFK14" s="30"/>
      <c r="UFL14" s="30"/>
      <c r="UFM14" s="30"/>
      <c r="UFN14" s="30"/>
      <c r="UFO14" s="30"/>
      <c r="UFP14" s="30"/>
      <c r="UFQ14" s="30"/>
      <c r="UFR14" s="30"/>
      <c r="UFS14" s="30"/>
      <c r="UFT14" s="30"/>
      <c r="UFU14" s="30"/>
      <c r="UFV14" s="30"/>
      <c r="UFW14" s="30"/>
      <c r="UFX14" s="30"/>
      <c r="UFY14" s="30"/>
      <c r="UFZ14" s="30"/>
      <c r="UGA14" s="30"/>
      <c r="UGB14" s="30"/>
      <c r="UGC14" s="30"/>
      <c r="UGD14" s="30"/>
      <c r="UGE14" s="30"/>
      <c r="UGF14" s="30"/>
      <c r="UGG14" s="30"/>
      <c r="UGH14" s="30"/>
      <c r="UGI14" s="30"/>
      <c r="UGJ14" s="30"/>
      <c r="UGK14" s="30"/>
      <c r="UGL14" s="30"/>
      <c r="UGM14" s="30"/>
      <c r="UGN14" s="30"/>
      <c r="UGO14" s="30"/>
      <c r="UGP14" s="30"/>
      <c r="UGQ14" s="30"/>
      <c r="UGR14" s="30"/>
      <c r="UGS14" s="30"/>
      <c r="UGT14" s="30"/>
      <c r="UGU14" s="30"/>
      <c r="UGV14" s="30"/>
      <c r="UGW14" s="30"/>
      <c r="UGX14" s="30"/>
      <c r="UGY14" s="30"/>
      <c r="UGZ14" s="30"/>
      <c r="UHA14" s="30"/>
      <c r="UHB14" s="30"/>
      <c r="UHC14" s="30"/>
      <c r="UHD14" s="30"/>
      <c r="UHE14" s="30"/>
      <c r="UHF14" s="30"/>
      <c r="UHG14" s="30"/>
      <c r="UHH14" s="30"/>
      <c r="UHI14" s="30"/>
      <c r="UHJ14" s="30"/>
      <c r="UHK14" s="30"/>
      <c r="UHL14" s="30"/>
      <c r="UHM14" s="30"/>
      <c r="UHN14" s="30"/>
      <c r="UHO14" s="30"/>
      <c r="UHP14" s="30"/>
      <c r="UHQ14" s="30"/>
      <c r="UHR14" s="30"/>
      <c r="UHS14" s="30"/>
      <c r="UHT14" s="30"/>
      <c r="UHU14" s="30"/>
      <c r="UHV14" s="30"/>
      <c r="UHW14" s="30"/>
      <c r="UHX14" s="30"/>
      <c r="UHY14" s="30"/>
      <c r="UHZ14" s="30"/>
      <c r="UIA14" s="30"/>
      <c r="UIB14" s="30"/>
      <c r="UIC14" s="30"/>
      <c r="UID14" s="30"/>
      <c r="UIE14" s="30"/>
      <c r="UIF14" s="30"/>
      <c r="UIG14" s="30"/>
      <c r="UIH14" s="30"/>
      <c r="UII14" s="30"/>
      <c r="UIJ14" s="30"/>
      <c r="UIK14" s="30"/>
      <c r="UIL14" s="30"/>
      <c r="UIM14" s="30"/>
      <c r="UIN14" s="30"/>
      <c r="UIO14" s="30"/>
      <c r="UIP14" s="30"/>
      <c r="UIQ14" s="30"/>
      <c r="UIR14" s="30"/>
      <c r="UIS14" s="30"/>
      <c r="UIT14" s="30"/>
      <c r="UIU14" s="30"/>
      <c r="UIV14" s="30"/>
      <c r="UIW14" s="30"/>
      <c r="UIX14" s="30"/>
      <c r="UIY14" s="30"/>
      <c r="UIZ14" s="30"/>
      <c r="UJA14" s="30"/>
      <c r="UJB14" s="30"/>
      <c r="UJC14" s="30"/>
      <c r="UJD14" s="30"/>
      <c r="UJE14" s="30"/>
      <c r="UJF14" s="30"/>
      <c r="UJG14" s="30"/>
      <c r="UJH14" s="30"/>
      <c r="UJI14" s="30"/>
      <c r="UJJ14" s="30"/>
      <c r="UJK14" s="30"/>
      <c r="UJL14" s="30"/>
      <c r="UJM14" s="30"/>
      <c r="UJN14" s="30"/>
      <c r="UJO14" s="30"/>
      <c r="UJP14" s="30"/>
      <c r="UJQ14" s="30"/>
      <c r="UJR14" s="30"/>
      <c r="UJS14" s="30"/>
      <c r="UJT14" s="30"/>
      <c r="UJU14" s="30"/>
      <c r="UJV14" s="30"/>
      <c r="UJW14" s="30"/>
      <c r="UJX14" s="30"/>
      <c r="UJY14" s="30"/>
      <c r="UJZ14" s="30"/>
      <c r="UKA14" s="30"/>
      <c r="UKB14" s="30"/>
      <c r="UKC14" s="30"/>
      <c r="UKD14" s="30"/>
      <c r="UKE14" s="30"/>
      <c r="UKF14" s="30"/>
      <c r="UKG14" s="30"/>
      <c r="UKH14" s="30"/>
      <c r="UKI14" s="30"/>
      <c r="UKJ14" s="30"/>
      <c r="UKK14" s="30"/>
      <c r="UKL14" s="30"/>
      <c r="UKM14" s="30"/>
      <c r="UKN14" s="30"/>
      <c r="UKO14" s="30"/>
      <c r="UKP14" s="30"/>
      <c r="UKQ14" s="30"/>
      <c r="UKR14" s="30"/>
      <c r="UKS14" s="30"/>
      <c r="UKT14" s="30"/>
      <c r="UKU14" s="30"/>
      <c r="UKV14" s="30"/>
      <c r="UKW14" s="30"/>
      <c r="UKX14" s="30"/>
      <c r="UKY14" s="30"/>
      <c r="UKZ14" s="30"/>
      <c r="ULA14" s="30"/>
      <c r="ULB14" s="30"/>
      <c r="ULC14" s="30"/>
      <c r="ULD14" s="30"/>
      <c r="ULE14" s="30"/>
      <c r="ULF14" s="30"/>
      <c r="ULG14" s="30"/>
      <c r="ULH14" s="30"/>
      <c r="ULI14" s="30"/>
      <c r="ULJ14" s="30"/>
      <c r="ULK14" s="30"/>
      <c r="ULL14" s="30"/>
      <c r="ULM14" s="30"/>
      <c r="ULN14" s="30"/>
      <c r="ULO14" s="30"/>
      <c r="ULP14" s="30"/>
      <c r="ULQ14" s="30"/>
      <c r="ULR14" s="30"/>
      <c r="ULS14" s="30"/>
      <c r="ULT14" s="30"/>
      <c r="ULU14" s="30"/>
      <c r="ULV14" s="30"/>
      <c r="ULW14" s="30"/>
      <c r="ULX14" s="30"/>
      <c r="ULY14" s="30"/>
      <c r="ULZ14" s="30"/>
      <c r="UMA14" s="30"/>
      <c r="UMB14" s="30"/>
      <c r="UMC14" s="30"/>
      <c r="UMD14" s="30"/>
      <c r="UME14" s="30"/>
      <c r="UMF14" s="30"/>
      <c r="UMG14" s="30"/>
      <c r="UMH14" s="30"/>
      <c r="UMI14" s="30"/>
      <c r="UMJ14" s="30"/>
      <c r="UMK14" s="30"/>
      <c r="UML14" s="30"/>
      <c r="UMM14" s="30"/>
      <c r="UMN14" s="30"/>
      <c r="UMO14" s="30"/>
      <c r="UMP14" s="30"/>
      <c r="UMQ14" s="30"/>
      <c r="UMR14" s="30"/>
      <c r="UMS14" s="30"/>
      <c r="UMT14" s="30"/>
      <c r="UMU14" s="30"/>
      <c r="UMV14" s="30"/>
      <c r="UMW14" s="30"/>
      <c r="UMX14" s="30"/>
      <c r="UMY14" s="30"/>
      <c r="UMZ14" s="30"/>
      <c r="UNA14" s="30"/>
      <c r="UNB14" s="30"/>
      <c r="UNC14" s="30"/>
      <c r="UND14" s="30"/>
      <c r="UNE14" s="30"/>
      <c r="UNF14" s="30"/>
      <c r="UNG14" s="30"/>
      <c r="UNH14" s="30"/>
      <c r="UNI14" s="30"/>
      <c r="UNJ14" s="30"/>
      <c r="UNK14" s="30"/>
      <c r="UNL14" s="30"/>
      <c r="UNM14" s="30"/>
      <c r="UNN14" s="30"/>
      <c r="UNO14" s="30"/>
      <c r="UNP14" s="30"/>
      <c r="UNQ14" s="30"/>
      <c r="UNR14" s="30"/>
      <c r="UNS14" s="30"/>
      <c r="UNT14" s="30"/>
      <c r="UNU14" s="30"/>
      <c r="UNV14" s="30"/>
      <c r="UNW14" s="30"/>
      <c r="UNX14" s="30"/>
      <c r="UNY14" s="30"/>
      <c r="UNZ14" s="30"/>
      <c r="UOA14" s="30"/>
      <c r="UOB14" s="30"/>
      <c r="UOC14" s="30"/>
      <c r="UOD14" s="30"/>
      <c r="UOE14" s="30"/>
      <c r="UOF14" s="30"/>
      <c r="UOG14" s="30"/>
      <c r="UOH14" s="30"/>
      <c r="UOI14" s="30"/>
      <c r="UOJ14" s="30"/>
      <c r="UOK14" s="30"/>
      <c r="UOL14" s="30"/>
      <c r="UOM14" s="30"/>
      <c r="UON14" s="30"/>
      <c r="UOO14" s="30"/>
      <c r="UOP14" s="30"/>
      <c r="UOQ14" s="30"/>
      <c r="UOR14" s="30"/>
      <c r="UOS14" s="30"/>
      <c r="UOT14" s="30"/>
      <c r="UOU14" s="30"/>
      <c r="UOV14" s="30"/>
      <c r="UOW14" s="30"/>
      <c r="UOX14" s="30"/>
      <c r="UOY14" s="30"/>
      <c r="UOZ14" s="30"/>
      <c r="UPA14" s="30"/>
      <c r="UPB14" s="30"/>
      <c r="UPC14" s="30"/>
      <c r="UPD14" s="30"/>
      <c r="UPE14" s="30"/>
      <c r="UPF14" s="30"/>
      <c r="UPG14" s="30"/>
      <c r="UPH14" s="30"/>
      <c r="UPI14" s="30"/>
      <c r="UPJ14" s="30"/>
      <c r="UPK14" s="30"/>
      <c r="UPL14" s="30"/>
      <c r="UPM14" s="30"/>
      <c r="UPN14" s="30"/>
      <c r="UPO14" s="30"/>
      <c r="UPP14" s="30"/>
      <c r="UPQ14" s="30"/>
      <c r="UPR14" s="30"/>
      <c r="UPS14" s="30"/>
      <c r="UPT14" s="30"/>
      <c r="UPU14" s="30"/>
      <c r="UPV14" s="30"/>
      <c r="UPW14" s="30"/>
      <c r="UPX14" s="30"/>
      <c r="UPY14" s="30"/>
      <c r="UPZ14" s="30"/>
      <c r="UQA14" s="30"/>
      <c r="UQB14" s="30"/>
      <c r="UQC14" s="30"/>
      <c r="UQD14" s="30"/>
      <c r="UQE14" s="30"/>
      <c r="UQF14" s="30"/>
      <c r="UQG14" s="30"/>
      <c r="UQH14" s="30"/>
      <c r="UQI14" s="30"/>
      <c r="UQJ14" s="30"/>
      <c r="UQK14" s="30"/>
      <c r="UQL14" s="30"/>
      <c r="UQM14" s="30"/>
      <c r="UQN14" s="30"/>
      <c r="UQO14" s="30"/>
      <c r="UQP14" s="30"/>
      <c r="UQQ14" s="30"/>
      <c r="UQR14" s="30"/>
      <c r="UQS14" s="30"/>
      <c r="UQT14" s="30"/>
      <c r="UQU14" s="30"/>
      <c r="UQV14" s="30"/>
      <c r="UQW14" s="30"/>
      <c r="UQX14" s="30"/>
      <c r="UQY14" s="30"/>
      <c r="UQZ14" s="30"/>
      <c r="URA14" s="30"/>
      <c r="URB14" s="30"/>
      <c r="URC14" s="30"/>
      <c r="URD14" s="30"/>
      <c r="URE14" s="30"/>
      <c r="URF14" s="30"/>
      <c r="URG14" s="30"/>
      <c r="URH14" s="30"/>
      <c r="URI14" s="30"/>
      <c r="URJ14" s="30"/>
      <c r="URK14" s="30"/>
      <c r="URL14" s="30"/>
      <c r="URM14" s="30"/>
      <c r="URN14" s="30"/>
      <c r="URO14" s="30"/>
      <c r="URP14" s="30"/>
      <c r="URQ14" s="30"/>
      <c r="URR14" s="30"/>
      <c r="URS14" s="30"/>
      <c r="URT14" s="30"/>
      <c r="URU14" s="30"/>
      <c r="URV14" s="30"/>
      <c r="URW14" s="30"/>
      <c r="URX14" s="30"/>
      <c r="URY14" s="30"/>
      <c r="URZ14" s="30"/>
      <c r="USA14" s="30"/>
      <c r="USB14" s="30"/>
      <c r="USC14" s="30"/>
      <c r="USD14" s="30"/>
      <c r="USE14" s="30"/>
      <c r="USF14" s="30"/>
      <c r="USG14" s="30"/>
      <c r="USH14" s="30"/>
      <c r="USI14" s="30"/>
      <c r="USJ14" s="30"/>
      <c r="USK14" s="30"/>
      <c r="USL14" s="30"/>
      <c r="USM14" s="30"/>
      <c r="USN14" s="30"/>
      <c r="USO14" s="30"/>
      <c r="USP14" s="30"/>
      <c r="USQ14" s="30"/>
      <c r="USR14" s="30"/>
      <c r="USS14" s="30"/>
      <c r="UST14" s="30"/>
      <c r="USU14" s="30"/>
      <c r="USV14" s="30"/>
      <c r="USW14" s="30"/>
      <c r="USX14" s="30"/>
      <c r="USY14" s="30"/>
      <c r="USZ14" s="30"/>
      <c r="UTA14" s="30"/>
      <c r="UTB14" s="30"/>
      <c r="UTC14" s="30"/>
      <c r="UTD14" s="30"/>
      <c r="UTE14" s="30"/>
      <c r="UTF14" s="30"/>
      <c r="UTG14" s="30"/>
      <c r="UTH14" s="30"/>
      <c r="UTI14" s="30"/>
      <c r="UTJ14" s="30"/>
      <c r="UTK14" s="30"/>
      <c r="UTL14" s="30"/>
      <c r="UTM14" s="30"/>
      <c r="UTN14" s="30"/>
      <c r="UTO14" s="30"/>
      <c r="UTP14" s="30"/>
      <c r="UTQ14" s="30"/>
      <c r="UTR14" s="30"/>
      <c r="UTS14" s="30"/>
      <c r="UTT14" s="30"/>
      <c r="UTU14" s="30"/>
      <c r="UTV14" s="30"/>
      <c r="UTW14" s="30"/>
      <c r="UTX14" s="30"/>
      <c r="UTY14" s="30"/>
      <c r="UTZ14" s="30"/>
      <c r="UUA14" s="30"/>
      <c r="UUB14" s="30"/>
      <c r="UUC14" s="30"/>
      <c r="UUD14" s="30"/>
      <c r="UUE14" s="30"/>
      <c r="UUF14" s="30"/>
      <c r="UUG14" s="30"/>
      <c r="UUH14" s="30"/>
      <c r="UUI14" s="30"/>
      <c r="UUJ14" s="30"/>
      <c r="UUK14" s="30"/>
      <c r="UUL14" s="30"/>
      <c r="UUM14" s="30"/>
      <c r="UUN14" s="30"/>
      <c r="UUO14" s="30"/>
      <c r="UUP14" s="30"/>
      <c r="UUQ14" s="30"/>
      <c r="UUR14" s="30"/>
      <c r="UUS14" s="30"/>
      <c r="UUT14" s="30"/>
      <c r="UUU14" s="30"/>
      <c r="UUV14" s="30"/>
      <c r="UUW14" s="30"/>
      <c r="UUX14" s="30"/>
      <c r="UUY14" s="30"/>
      <c r="UUZ14" s="30"/>
      <c r="UVA14" s="30"/>
      <c r="UVB14" s="30"/>
      <c r="UVC14" s="30"/>
      <c r="UVD14" s="30"/>
      <c r="UVE14" s="30"/>
      <c r="UVF14" s="30"/>
      <c r="UVG14" s="30"/>
      <c r="UVH14" s="30"/>
      <c r="UVI14" s="30"/>
      <c r="UVJ14" s="30"/>
      <c r="UVK14" s="30"/>
      <c r="UVL14" s="30"/>
      <c r="UVM14" s="30"/>
      <c r="UVN14" s="30"/>
      <c r="UVO14" s="30"/>
      <c r="UVP14" s="30"/>
      <c r="UVQ14" s="30"/>
      <c r="UVR14" s="30"/>
      <c r="UVS14" s="30"/>
      <c r="UVT14" s="30"/>
      <c r="UVU14" s="30"/>
      <c r="UVV14" s="30"/>
      <c r="UVW14" s="30"/>
      <c r="UVX14" s="30"/>
      <c r="UVY14" s="30"/>
      <c r="UVZ14" s="30"/>
      <c r="UWA14" s="30"/>
      <c r="UWB14" s="30"/>
      <c r="UWC14" s="30"/>
      <c r="UWD14" s="30"/>
      <c r="UWE14" s="30"/>
      <c r="UWF14" s="30"/>
      <c r="UWG14" s="30"/>
      <c r="UWH14" s="30"/>
      <c r="UWI14" s="30"/>
      <c r="UWJ14" s="30"/>
      <c r="UWK14" s="30"/>
      <c r="UWL14" s="30"/>
      <c r="UWM14" s="30"/>
      <c r="UWN14" s="30"/>
      <c r="UWO14" s="30"/>
      <c r="UWP14" s="30"/>
      <c r="UWQ14" s="30"/>
      <c r="UWR14" s="30"/>
      <c r="UWS14" s="30"/>
      <c r="UWT14" s="30"/>
      <c r="UWU14" s="30"/>
      <c r="UWV14" s="30"/>
      <c r="UWW14" s="30"/>
      <c r="UWX14" s="30"/>
      <c r="UWY14" s="30"/>
      <c r="UWZ14" s="30"/>
      <c r="UXA14" s="30"/>
      <c r="UXB14" s="30"/>
      <c r="UXC14" s="30"/>
      <c r="UXD14" s="30"/>
      <c r="UXE14" s="30"/>
      <c r="UXF14" s="30"/>
      <c r="UXG14" s="30"/>
      <c r="UXH14" s="30"/>
      <c r="UXI14" s="30"/>
      <c r="UXJ14" s="30"/>
      <c r="UXK14" s="30"/>
      <c r="UXL14" s="30"/>
      <c r="UXM14" s="30"/>
      <c r="UXN14" s="30"/>
      <c r="UXO14" s="30"/>
      <c r="UXP14" s="30"/>
      <c r="UXQ14" s="30"/>
      <c r="UXR14" s="30"/>
      <c r="UXS14" s="30"/>
      <c r="UXT14" s="30"/>
      <c r="UXU14" s="30"/>
      <c r="UXV14" s="30"/>
      <c r="UXW14" s="30"/>
      <c r="UXX14" s="30"/>
      <c r="UXY14" s="30"/>
      <c r="UXZ14" s="30"/>
      <c r="UYA14" s="30"/>
      <c r="UYB14" s="30"/>
      <c r="UYC14" s="30"/>
      <c r="UYD14" s="30"/>
      <c r="UYE14" s="30"/>
      <c r="UYF14" s="30"/>
      <c r="UYG14" s="30"/>
      <c r="UYH14" s="30"/>
      <c r="UYI14" s="30"/>
      <c r="UYJ14" s="30"/>
      <c r="UYK14" s="30"/>
      <c r="UYL14" s="30"/>
      <c r="UYM14" s="30"/>
      <c r="UYN14" s="30"/>
      <c r="UYO14" s="30"/>
      <c r="UYP14" s="30"/>
      <c r="UYQ14" s="30"/>
      <c r="UYR14" s="30"/>
      <c r="UYS14" s="30"/>
      <c r="UYT14" s="30"/>
      <c r="UYU14" s="30"/>
      <c r="UYV14" s="30"/>
      <c r="UYW14" s="30"/>
      <c r="UYX14" s="30"/>
      <c r="UYY14" s="30"/>
      <c r="UYZ14" s="30"/>
      <c r="UZA14" s="30"/>
      <c r="UZB14" s="30"/>
      <c r="UZC14" s="30"/>
      <c r="UZD14" s="30"/>
      <c r="UZE14" s="30"/>
      <c r="UZF14" s="30"/>
      <c r="UZG14" s="30"/>
      <c r="UZH14" s="30"/>
      <c r="UZI14" s="30"/>
      <c r="UZJ14" s="30"/>
      <c r="UZK14" s="30"/>
      <c r="UZL14" s="30"/>
      <c r="UZM14" s="30"/>
      <c r="UZN14" s="30"/>
      <c r="UZO14" s="30"/>
      <c r="UZP14" s="30"/>
      <c r="UZQ14" s="30"/>
      <c r="UZR14" s="30"/>
      <c r="UZS14" s="30"/>
      <c r="UZT14" s="30"/>
      <c r="UZU14" s="30"/>
      <c r="UZV14" s="30"/>
      <c r="UZW14" s="30"/>
      <c r="UZX14" s="30"/>
      <c r="UZY14" s="30"/>
      <c r="UZZ14" s="30"/>
      <c r="VAA14" s="30"/>
      <c r="VAB14" s="30"/>
      <c r="VAC14" s="30"/>
      <c r="VAD14" s="30"/>
      <c r="VAE14" s="30"/>
      <c r="VAF14" s="30"/>
      <c r="VAG14" s="30"/>
      <c r="VAH14" s="30"/>
      <c r="VAI14" s="30"/>
      <c r="VAJ14" s="30"/>
      <c r="VAK14" s="30"/>
      <c r="VAL14" s="30"/>
      <c r="VAM14" s="30"/>
      <c r="VAN14" s="30"/>
      <c r="VAO14" s="30"/>
      <c r="VAP14" s="30"/>
      <c r="VAQ14" s="30"/>
      <c r="VAR14" s="30"/>
      <c r="VAS14" s="30"/>
      <c r="VAT14" s="30"/>
      <c r="VAU14" s="30"/>
      <c r="VAV14" s="30"/>
      <c r="VAW14" s="30"/>
      <c r="VAX14" s="30"/>
      <c r="VAY14" s="30"/>
      <c r="VAZ14" s="30"/>
      <c r="VBA14" s="30"/>
      <c r="VBB14" s="30"/>
      <c r="VBC14" s="30"/>
      <c r="VBD14" s="30"/>
      <c r="VBE14" s="30"/>
      <c r="VBF14" s="30"/>
      <c r="VBG14" s="30"/>
      <c r="VBH14" s="30"/>
      <c r="VBI14" s="30"/>
      <c r="VBJ14" s="30"/>
      <c r="VBK14" s="30"/>
      <c r="VBL14" s="30"/>
      <c r="VBM14" s="30"/>
      <c r="VBN14" s="30"/>
      <c r="VBO14" s="30"/>
      <c r="VBP14" s="30"/>
      <c r="VBQ14" s="30"/>
      <c r="VBR14" s="30"/>
      <c r="VBS14" s="30"/>
      <c r="VBT14" s="30"/>
      <c r="VBU14" s="30"/>
      <c r="VBV14" s="30"/>
      <c r="VBW14" s="30"/>
      <c r="VBX14" s="30"/>
      <c r="VBY14" s="30"/>
      <c r="VBZ14" s="30"/>
      <c r="VCA14" s="30"/>
      <c r="VCB14" s="30"/>
      <c r="VCC14" s="30"/>
      <c r="VCD14" s="30"/>
      <c r="VCE14" s="30"/>
      <c r="VCF14" s="30"/>
      <c r="VCG14" s="30"/>
      <c r="VCH14" s="30"/>
      <c r="VCI14" s="30"/>
      <c r="VCJ14" s="30"/>
      <c r="VCK14" s="30"/>
      <c r="VCL14" s="30"/>
      <c r="VCM14" s="30"/>
      <c r="VCN14" s="30"/>
      <c r="VCO14" s="30"/>
      <c r="VCP14" s="30"/>
      <c r="VCQ14" s="30"/>
      <c r="VCR14" s="30"/>
      <c r="VCS14" s="30"/>
      <c r="VCT14" s="30"/>
      <c r="VCU14" s="30"/>
      <c r="VCV14" s="30"/>
      <c r="VCW14" s="30"/>
      <c r="VCX14" s="30"/>
      <c r="VCY14" s="30"/>
      <c r="VCZ14" s="30"/>
      <c r="VDA14" s="30"/>
      <c r="VDB14" s="30"/>
      <c r="VDC14" s="30"/>
      <c r="VDD14" s="30"/>
      <c r="VDE14" s="30"/>
      <c r="VDF14" s="30"/>
      <c r="VDG14" s="30"/>
      <c r="VDH14" s="30"/>
      <c r="VDI14" s="30"/>
      <c r="VDJ14" s="30"/>
      <c r="VDK14" s="30"/>
      <c r="VDL14" s="30"/>
      <c r="VDM14" s="30"/>
      <c r="VDN14" s="30"/>
      <c r="VDO14" s="30"/>
      <c r="VDP14" s="30"/>
      <c r="VDQ14" s="30"/>
      <c r="VDR14" s="30"/>
      <c r="VDS14" s="30"/>
      <c r="VDT14" s="30"/>
      <c r="VDU14" s="30"/>
      <c r="VDV14" s="30"/>
      <c r="VDW14" s="30"/>
      <c r="VDX14" s="30"/>
      <c r="VDY14" s="30"/>
      <c r="VDZ14" s="30"/>
      <c r="VEA14" s="30"/>
      <c r="VEB14" s="30"/>
      <c r="VEC14" s="30"/>
      <c r="VED14" s="30"/>
      <c r="VEE14" s="30"/>
      <c r="VEF14" s="30"/>
      <c r="VEG14" s="30"/>
      <c r="VEH14" s="30"/>
      <c r="VEI14" s="30"/>
      <c r="VEJ14" s="30"/>
      <c r="VEK14" s="30"/>
      <c r="VEL14" s="30"/>
      <c r="VEM14" s="30"/>
      <c r="VEN14" s="30"/>
      <c r="VEO14" s="30"/>
      <c r="VEP14" s="30"/>
      <c r="VEQ14" s="30"/>
      <c r="VER14" s="30"/>
      <c r="VES14" s="30"/>
      <c r="VET14" s="30"/>
      <c r="VEU14" s="30"/>
      <c r="VEV14" s="30"/>
      <c r="VEW14" s="30"/>
      <c r="VEX14" s="30"/>
      <c r="VEY14" s="30"/>
      <c r="VEZ14" s="30"/>
      <c r="VFA14" s="30"/>
      <c r="VFB14" s="30"/>
      <c r="VFC14" s="30"/>
      <c r="VFD14" s="30"/>
      <c r="VFE14" s="30"/>
      <c r="VFF14" s="30"/>
      <c r="VFG14" s="30"/>
      <c r="VFH14" s="30"/>
      <c r="VFI14" s="30"/>
      <c r="VFJ14" s="30"/>
      <c r="VFK14" s="30"/>
      <c r="VFL14" s="30"/>
      <c r="VFM14" s="30"/>
      <c r="VFN14" s="30"/>
      <c r="VFO14" s="30"/>
      <c r="VFP14" s="30"/>
      <c r="VFQ14" s="30"/>
      <c r="VFR14" s="30"/>
      <c r="VFS14" s="30"/>
      <c r="VFT14" s="30"/>
      <c r="VFU14" s="30"/>
      <c r="VFV14" s="30"/>
      <c r="VFW14" s="30"/>
      <c r="VFX14" s="30"/>
      <c r="VFY14" s="30"/>
      <c r="VFZ14" s="30"/>
      <c r="VGA14" s="30"/>
      <c r="VGB14" s="30"/>
      <c r="VGC14" s="30"/>
      <c r="VGD14" s="30"/>
      <c r="VGE14" s="30"/>
      <c r="VGF14" s="30"/>
      <c r="VGG14" s="30"/>
      <c r="VGH14" s="30"/>
      <c r="VGI14" s="30"/>
      <c r="VGJ14" s="30"/>
      <c r="VGK14" s="30"/>
      <c r="VGL14" s="30"/>
      <c r="VGM14" s="30"/>
      <c r="VGN14" s="30"/>
      <c r="VGO14" s="30"/>
      <c r="VGP14" s="30"/>
      <c r="VGQ14" s="30"/>
      <c r="VGR14" s="30"/>
      <c r="VGS14" s="30"/>
      <c r="VGT14" s="30"/>
      <c r="VGU14" s="30"/>
      <c r="VGV14" s="30"/>
      <c r="VGW14" s="30"/>
      <c r="VGX14" s="30"/>
      <c r="VGY14" s="30"/>
      <c r="VGZ14" s="30"/>
      <c r="VHA14" s="30"/>
      <c r="VHB14" s="30"/>
      <c r="VHC14" s="30"/>
      <c r="VHD14" s="30"/>
      <c r="VHE14" s="30"/>
      <c r="VHF14" s="30"/>
      <c r="VHG14" s="30"/>
      <c r="VHH14" s="30"/>
      <c r="VHI14" s="30"/>
      <c r="VHJ14" s="30"/>
      <c r="VHK14" s="30"/>
      <c r="VHL14" s="30"/>
      <c r="VHM14" s="30"/>
      <c r="VHN14" s="30"/>
      <c r="VHO14" s="30"/>
      <c r="VHP14" s="30"/>
      <c r="VHQ14" s="30"/>
      <c r="VHR14" s="30"/>
      <c r="VHS14" s="30"/>
      <c r="VHT14" s="30"/>
      <c r="VHU14" s="30"/>
      <c r="VHV14" s="30"/>
      <c r="VHW14" s="30"/>
      <c r="VHX14" s="30"/>
      <c r="VHY14" s="30"/>
      <c r="VHZ14" s="30"/>
      <c r="VIA14" s="30"/>
      <c r="VIB14" s="30"/>
      <c r="VIC14" s="30"/>
      <c r="VID14" s="30"/>
      <c r="VIE14" s="30"/>
      <c r="VIF14" s="30"/>
      <c r="VIG14" s="30"/>
      <c r="VIH14" s="30"/>
      <c r="VII14" s="30"/>
      <c r="VIJ14" s="30"/>
      <c r="VIK14" s="30"/>
      <c r="VIL14" s="30"/>
      <c r="VIM14" s="30"/>
      <c r="VIN14" s="30"/>
      <c r="VIO14" s="30"/>
      <c r="VIP14" s="30"/>
      <c r="VIQ14" s="30"/>
      <c r="VIR14" s="30"/>
      <c r="VIS14" s="30"/>
      <c r="VIT14" s="30"/>
      <c r="VIU14" s="30"/>
      <c r="VIV14" s="30"/>
      <c r="VIW14" s="30"/>
      <c r="VIX14" s="30"/>
      <c r="VIY14" s="30"/>
      <c r="VIZ14" s="30"/>
      <c r="VJA14" s="30"/>
      <c r="VJB14" s="30"/>
      <c r="VJC14" s="30"/>
      <c r="VJD14" s="30"/>
      <c r="VJE14" s="30"/>
      <c r="VJF14" s="30"/>
      <c r="VJG14" s="30"/>
      <c r="VJH14" s="30"/>
      <c r="VJI14" s="30"/>
      <c r="VJJ14" s="30"/>
      <c r="VJK14" s="30"/>
      <c r="VJL14" s="30"/>
      <c r="VJM14" s="30"/>
      <c r="VJN14" s="30"/>
      <c r="VJO14" s="30"/>
      <c r="VJP14" s="30"/>
      <c r="VJQ14" s="30"/>
      <c r="VJR14" s="30"/>
      <c r="VJS14" s="30"/>
      <c r="VJT14" s="30"/>
      <c r="VJU14" s="30"/>
      <c r="VJV14" s="30"/>
      <c r="VJW14" s="30"/>
      <c r="VJX14" s="30"/>
      <c r="VJY14" s="30"/>
      <c r="VJZ14" s="30"/>
      <c r="VKA14" s="30"/>
      <c r="VKB14" s="30"/>
      <c r="VKC14" s="30"/>
      <c r="VKD14" s="30"/>
      <c r="VKE14" s="30"/>
      <c r="VKF14" s="30"/>
      <c r="VKG14" s="30"/>
      <c r="VKH14" s="30"/>
      <c r="VKI14" s="30"/>
      <c r="VKJ14" s="30"/>
      <c r="VKK14" s="30"/>
      <c r="VKL14" s="30"/>
      <c r="VKM14" s="30"/>
      <c r="VKN14" s="30"/>
      <c r="VKO14" s="30"/>
      <c r="VKP14" s="30"/>
      <c r="VKQ14" s="30"/>
      <c r="VKR14" s="30"/>
      <c r="VKS14" s="30"/>
      <c r="VKT14" s="30"/>
      <c r="VKU14" s="30"/>
      <c r="VKV14" s="30"/>
      <c r="VKW14" s="30"/>
      <c r="VKX14" s="30"/>
      <c r="VKY14" s="30"/>
      <c r="VKZ14" s="30"/>
      <c r="VLA14" s="30"/>
      <c r="VLB14" s="30"/>
      <c r="VLC14" s="30"/>
      <c r="VLD14" s="30"/>
      <c r="VLE14" s="30"/>
      <c r="VLF14" s="30"/>
      <c r="VLG14" s="30"/>
      <c r="VLH14" s="30"/>
      <c r="VLI14" s="30"/>
      <c r="VLJ14" s="30"/>
      <c r="VLK14" s="30"/>
      <c r="VLL14" s="30"/>
      <c r="VLM14" s="30"/>
      <c r="VLN14" s="30"/>
      <c r="VLO14" s="30"/>
      <c r="VLP14" s="30"/>
      <c r="VLQ14" s="30"/>
      <c r="VLR14" s="30"/>
      <c r="VLS14" s="30"/>
      <c r="VLT14" s="30"/>
      <c r="VLU14" s="30"/>
      <c r="VLV14" s="30"/>
      <c r="VLW14" s="30"/>
      <c r="VLX14" s="30"/>
      <c r="VLY14" s="30"/>
      <c r="VLZ14" s="30"/>
      <c r="VMA14" s="30"/>
      <c r="VMB14" s="30"/>
      <c r="VMC14" s="30"/>
      <c r="VMD14" s="30"/>
      <c r="VME14" s="30"/>
      <c r="VMF14" s="30"/>
      <c r="VMG14" s="30"/>
      <c r="VMH14" s="30"/>
      <c r="VMI14" s="30"/>
      <c r="VMJ14" s="30"/>
      <c r="VMK14" s="30"/>
      <c r="VML14" s="30"/>
      <c r="VMM14" s="30"/>
      <c r="VMN14" s="30"/>
      <c r="VMO14" s="30"/>
      <c r="VMP14" s="30"/>
      <c r="VMQ14" s="30"/>
      <c r="VMR14" s="30"/>
      <c r="VMS14" s="30"/>
      <c r="VMT14" s="30"/>
      <c r="VMU14" s="30"/>
      <c r="VMV14" s="30"/>
      <c r="VMW14" s="30"/>
      <c r="VMX14" s="30"/>
      <c r="VMY14" s="30"/>
      <c r="VMZ14" s="30"/>
      <c r="VNA14" s="30"/>
      <c r="VNB14" s="30"/>
      <c r="VNC14" s="30"/>
      <c r="VND14" s="30"/>
      <c r="VNE14" s="30"/>
      <c r="VNF14" s="30"/>
      <c r="VNG14" s="30"/>
      <c r="VNH14" s="30"/>
      <c r="VNI14" s="30"/>
      <c r="VNJ14" s="30"/>
      <c r="VNK14" s="30"/>
      <c r="VNL14" s="30"/>
      <c r="VNM14" s="30"/>
      <c r="VNN14" s="30"/>
      <c r="VNO14" s="30"/>
      <c r="VNP14" s="30"/>
      <c r="VNQ14" s="30"/>
      <c r="VNR14" s="30"/>
      <c r="VNS14" s="30"/>
      <c r="VNT14" s="30"/>
      <c r="VNU14" s="30"/>
      <c r="VNV14" s="30"/>
      <c r="VNW14" s="30"/>
      <c r="VNX14" s="30"/>
      <c r="VNY14" s="30"/>
      <c r="VNZ14" s="30"/>
      <c r="VOA14" s="30"/>
      <c r="VOB14" s="30"/>
      <c r="VOC14" s="30"/>
      <c r="VOD14" s="30"/>
      <c r="VOE14" s="30"/>
      <c r="VOF14" s="30"/>
      <c r="VOG14" s="30"/>
      <c r="VOH14" s="30"/>
      <c r="VOI14" s="30"/>
      <c r="VOJ14" s="30"/>
      <c r="VOK14" s="30"/>
      <c r="VOL14" s="30"/>
      <c r="VOM14" s="30"/>
      <c r="VON14" s="30"/>
      <c r="VOO14" s="30"/>
      <c r="VOP14" s="30"/>
      <c r="VOQ14" s="30"/>
      <c r="VOR14" s="30"/>
      <c r="VOS14" s="30"/>
      <c r="VOT14" s="30"/>
      <c r="VOU14" s="30"/>
      <c r="VOV14" s="30"/>
      <c r="VOW14" s="30"/>
      <c r="VOX14" s="30"/>
      <c r="VOY14" s="30"/>
      <c r="VOZ14" s="30"/>
      <c r="VPA14" s="30"/>
      <c r="VPB14" s="30"/>
      <c r="VPC14" s="30"/>
      <c r="VPD14" s="30"/>
      <c r="VPE14" s="30"/>
      <c r="VPF14" s="30"/>
      <c r="VPG14" s="30"/>
      <c r="VPH14" s="30"/>
      <c r="VPI14" s="30"/>
      <c r="VPJ14" s="30"/>
      <c r="VPK14" s="30"/>
      <c r="VPL14" s="30"/>
      <c r="VPM14" s="30"/>
      <c r="VPN14" s="30"/>
      <c r="VPO14" s="30"/>
      <c r="VPP14" s="30"/>
      <c r="VPQ14" s="30"/>
      <c r="VPR14" s="30"/>
      <c r="VPS14" s="30"/>
      <c r="VPT14" s="30"/>
      <c r="VPU14" s="30"/>
      <c r="VPV14" s="30"/>
      <c r="VPW14" s="30"/>
      <c r="VPX14" s="30"/>
      <c r="VPY14" s="30"/>
      <c r="VPZ14" s="30"/>
      <c r="VQA14" s="30"/>
      <c r="VQB14" s="30"/>
      <c r="VQC14" s="30"/>
      <c r="VQD14" s="30"/>
      <c r="VQE14" s="30"/>
      <c r="VQF14" s="30"/>
      <c r="VQG14" s="30"/>
      <c r="VQH14" s="30"/>
      <c r="VQI14" s="30"/>
      <c r="VQJ14" s="30"/>
      <c r="VQK14" s="30"/>
      <c r="VQL14" s="30"/>
      <c r="VQM14" s="30"/>
      <c r="VQN14" s="30"/>
      <c r="VQO14" s="30"/>
      <c r="VQP14" s="30"/>
      <c r="VQQ14" s="30"/>
      <c r="VQR14" s="30"/>
      <c r="VQS14" s="30"/>
      <c r="VQT14" s="30"/>
      <c r="VQU14" s="30"/>
      <c r="VQV14" s="30"/>
      <c r="VQW14" s="30"/>
      <c r="VQX14" s="30"/>
      <c r="VQY14" s="30"/>
      <c r="VQZ14" s="30"/>
      <c r="VRA14" s="30"/>
      <c r="VRB14" s="30"/>
      <c r="VRC14" s="30"/>
      <c r="VRD14" s="30"/>
      <c r="VRE14" s="30"/>
      <c r="VRF14" s="30"/>
      <c r="VRG14" s="30"/>
      <c r="VRH14" s="30"/>
      <c r="VRI14" s="30"/>
      <c r="VRJ14" s="30"/>
      <c r="VRK14" s="30"/>
      <c r="VRL14" s="30"/>
      <c r="VRM14" s="30"/>
      <c r="VRN14" s="30"/>
      <c r="VRO14" s="30"/>
      <c r="VRP14" s="30"/>
      <c r="VRQ14" s="30"/>
      <c r="VRR14" s="30"/>
      <c r="VRS14" s="30"/>
      <c r="VRT14" s="30"/>
      <c r="VRU14" s="30"/>
      <c r="VRV14" s="30"/>
      <c r="VRW14" s="30"/>
      <c r="VRX14" s="30"/>
      <c r="VRY14" s="30"/>
      <c r="VRZ14" s="30"/>
      <c r="VSA14" s="30"/>
      <c r="VSB14" s="30"/>
      <c r="VSC14" s="30"/>
      <c r="VSD14" s="30"/>
      <c r="VSE14" s="30"/>
      <c r="VSF14" s="30"/>
      <c r="VSG14" s="30"/>
      <c r="VSH14" s="30"/>
      <c r="VSI14" s="30"/>
      <c r="VSJ14" s="30"/>
      <c r="VSK14" s="30"/>
      <c r="VSL14" s="30"/>
      <c r="VSM14" s="30"/>
      <c r="VSN14" s="30"/>
      <c r="VSO14" s="30"/>
      <c r="VSP14" s="30"/>
      <c r="VSQ14" s="30"/>
      <c r="VSR14" s="30"/>
      <c r="VSS14" s="30"/>
      <c r="VST14" s="30"/>
      <c r="VSU14" s="30"/>
      <c r="VSV14" s="30"/>
      <c r="VSW14" s="30"/>
      <c r="VSX14" s="30"/>
      <c r="VSY14" s="30"/>
      <c r="VSZ14" s="30"/>
      <c r="VTA14" s="30"/>
      <c r="VTB14" s="30"/>
      <c r="VTC14" s="30"/>
      <c r="VTD14" s="30"/>
      <c r="VTE14" s="30"/>
      <c r="VTF14" s="30"/>
      <c r="VTG14" s="30"/>
      <c r="VTH14" s="30"/>
      <c r="VTI14" s="30"/>
      <c r="VTJ14" s="30"/>
      <c r="VTK14" s="30"/>
      <c r="VTL14" s="30"/>
      <c r="VTM14" s="30"/>
      <c r="VTN14" s="30"/>
      <c r="VTO14" s="30"/>
      <c r="VTP14" s="30"/>
      <c r="VTQ14" s="30"/>
      <c r="VTR14" s="30"/>
      <c r="VTS14" s="30"/>
      <c r="VTT14" s="30"/>
      <c r="VTU14" s="30"/>
      <c r="VTV14" s="30"/>
      <c r="VTW14" s="30"/>
      <c r="VTX14" s="30"/>
      <c r="VTY14" s="30"/>
      <c r="VTZ14" s="30"/>
      <c r="VUA14" s="30"/>
      <c r="VUB14" s="30"/>
      <c r="VUC14" s="30"/>
      <c r="VUD14" s="30"/>
      <c r="VUE14" s="30"/>
      <c r="VUF14" s="30"/>
      <c r="VUG14" s="30"/>
      <c r="VUH14" s="30"/>
      <c r="VUI14" s="30"/>
      <c r="VUJ14" s="30"/>
      <c r="VUK14" s="30"/>
      <c r="VUL14" s="30"/>
      <c r="VUM14" s="30"/>
      <c r="VUN14" s="30"/>
      <c r="VUO14" s="30"/>
      <c r="VUP14" s="30"/>
      <c r="VUQ14" s="30"/>
      <c r="VUR14" s="30"/>
      <c r="VUS14" s="30"/>
      <c r="VUT14" s="30"/>
      <c r="VUU14" s="30"/>
      <c r="VUV14" s="30"/>
      <c r="VUW14" s="30"/>
      <c r="VUX14" s="30"/>
      <c r="VUY14" s="30"/>
      <c r="VUZ14" s="30"/>
      <c r="VVA14" s="30"/>
      <c r="VVB14" s="30"/>
      <c r="VVC14" s="30"/>
      <c r="VVD14" s="30"/>
      <c r="VVE14" s="30"/>
      <c r="VVF14" s="30"/>
      <c r="VVG14" s="30"/>
      <c r="VVH14" s="30"/>
      <c r="VVI14" s="30"/>
      <c r="VVJ14" s="30"/>
      <c r="VVK14" s="30"/>
      <c r="VVL14" s="30"/>
      <c r="VVM14" s="30"/>
      <c r="VVN14" s="30"/>
      <c r="VVO14" s="30"/>
      <c r="VVP14" s="30"/>
      <c r="VVQ14" s="30"/>
      <c r="VVR14" s="30"/>
      <c r="VVS14" s="30"/>
      <c r="VVT14" s="30"/>
      <c r="VVU14" s="30"/>
      <c r="VVV14" s="30"/>
      <c r="VVW14" s="30"/>
      <c r="VVX14" s="30"/>
      <c r="VVY14" s="30"/>
      <c r="VVZ14" s="30"/>
      <c r="VWA14" s="30"/>
      <c r="VWB14" s="30"/>
      <c r="VWC14" s="30"/>
      <c r="VWD14" s="30"/>
      <c r="VWE14" s="30"/>
      <c r="VWF14" s="30"/>
      <c r="VWG14" s="30"/>
      <c r="VWH14" s="30"/>
      <c r="VWI14" s="30"/>
      <c r="VWJ14" s="30"/>
      <c r="VWK14" s="30"/>
      <c r="VWL14" s="30"/>
      <c r="VWM14" s="30"/>
      <c r="VWN14" s="30"/>
      <c r="VWO14" s="30"/>
      <c r="VWP14" s="30"/>
      <c r="VWQ14" s="30"/>
      <c r="VWR14" s="30"/>
      <c r="VWS14" s="30"/>
      <c r="VWT14" s="30"/>
      <c r="VWU14" s="30"/>
      <c r="VWV14" s="30"/>
      <c r="VWW14" s="30"/>
      <c r="VWX14" s="30"/>
      <c r="VWY14" s="30"/>
      <c r="VWZ14" s="30"/>
      <c r="VXA14" s="30"/>
      <c r="VXB14" s="30"/>
      <c r="VXC14" s="30"/>
      <c r="VXD14" s="30"/>
      <c r="VXE14" s="30"/>
      <c r="VXF14" s="30"/>
      <c r="VXG14" s="30"/>
      <c r="VXH14" s="30"/>
      <c r="VXI14" s="30"/>
      <c r="VXJ14" s="30"/>
      <c r="VXK14" s="30"/>
      <c r="VXL14" s="30"/>
      <c r="VXM14" s="30"/>
      <c r="VXN14" s="30"/>
      <c r="VXO14" s="30"/>
      <c r="VXP14" s="30"/>
      <c r="VXQ14" s="30"/>
      <c r="VXR14" s="30"/>
      <c r="VXS14" s="30"/>
      <c r="VXT14" s="30"/>
      <c r="VXU14" s="30"/>
      <c r="VXV14" s="30"/>
      <c r="VXW14" s="30"/>
      <c r="VXX14" s="30"/>
      <c r="VXY14" s="30"/>
      <c r="VXZ14" s="30"/>
      <c r="VYA14" s="30"/>
      <c r="VYB14" s="30"/>
      <c r="VYC14" s="30"/>
      <c r="VYD14" s="30"/>
      <c r="VYE14" s="30"/>
      <c r="VYF14" s="30"/>
      <c r="VYG14" s="30"/>
      <c r="VYH14" s="30"/>
      <c r="VYI14" s="30"/>
      <c r="VYJ14" s="30"/>
      <c r="VYK14" s="30"/>
      <c r="VYL14" s="30"/>
      <c r="VYM14" s="30"/>
      <c r="VYN14" s="30"/>
      <c r="VYO14" s="30"/>
      <c r="VYP14" s="30"/>
      <c r="VYQ14" s="30"/>
      <c r="VYR14" s="30"/>
      <c r="VYS14" s="30"/>
      <c r="VYT14" s="30"/>
      <c r="VYU14" s="30"/>
      <c r="VYV14" s="30"/>
      <c r="VYW14" s="30"/>
      <c r="VYX14" s="30"/>
      <c r="VYY14" s="30"/>
      <c r="VYZ14" s="30"/>
      <c r="VZA14" s="30"/>
      <c r="VZB14" s="30"/>
      <c r="VZC14" s="30"/>
      <c r="VZD14" s="30"/>
      <c r="VZE14" s="30"/>
      <c r="VZF14" s="30"/>
      <c r="VZG14" s="30"/>
      <c r="VZH14" s="30"/>
      <c r="VZI14" s="30"/>
      <c r="VZJ14" s="30"/>
      <c r="VZK14" s="30"/>
      <c r="VZL14" s="30"/>
      <c r="VZM14" s="30"/>
      <c r="VZN14" s="30"/>
      <c r="VZO14" s="30"/>
      <c r="VZP14" s="30"/>
      <c r="VZQ14" s="30"/>
      <c r="VZR14" s="30"/>
      <c r="VZS14" s="30"/>
      <c r="VZT14" s="30"/>
      <c r="VZU14" s="30"/>
      <c r="VZV14" s="30"/>
      <c r="VZW14" s="30"/>
      <c r="VZX14" s="30"/>
      <c r="VZY14" s="30"/>
      <c r="VZZ14" s="30"/>
      <c r="WAA14" s="30"/>
      <c r="WAB14" s="30"/>
      <c r="WAC14" s="30"/>
      <c r="WAD14" s="30"/>
      <c r="WAE14" s="30"/>
      <c r="WAF14" s="30"/>
      <c r="WAG14" s="30"/>
      <c r="WAH14" s="30"/>
      <c r="WAI14" s="30"/>
      <c r="WAJ14" s="30"/>
      <c r="WAK14" s="30"/>
      <c r="WAL14" s="30"/>
      <c r="WAM14" s="30"/>
      <c r="WAN14" s="30"/>
      <c r="WAO14" s="30"/>
      <c r="WAP14" s="30"/>
      <c r="WAQ14" s="30"/>
      <c r="WAR14" s="30"/>
      <c r="WAS14" s="30"/>
      <c r="WAT14" s="30"/>
      <c r="WAU14" s="30"/>
      <c r="WAV14" s="30"/>
      <c r="WAW14" s="30"/>
      <c r="WAX14" s="30"/>
      <c r="WAY14" s="30"/>
      <c r="WAZ14" s="30"/>
      <c r="WBA14" s="30"/>
      <c r="WBB14" s="30"/>
      <c r="WBC14" s="30"/>
      <c r="WBD14" s="30"/>
      <c r="WBE14" s="30"/>
      <c r="WBF14" s="30"/>
      <c r="WBG14" s="30"/>
      <c r="WBH14" s="30"/>
      <c r="WBI14" s="30"/>
      <c r="WBJ14" s="30"/>
      <c r="WBK14" s="30"/>
      <c r="WBL14" s="30"/>
      <c r="WBM14" s="30"/>
      <c r="WBN14" s="30"/>
      <c r="WBO14" s="30"/>
      <c r="WBP14" s="30"/>
      <c r="WBQ14" s="30"/>
      <c r="WBR14" s="30"/>
      <c r="WBS14" s="30"/>
      <c r="WBT14" s="30"/>
      <c r="WBU14" s="30"/>
      <c r="WBV14" s="30"/>
      <c r="WBW14" s="30"/>
      <c r="WBX14" s="30"/>
      <c r="WBY14" s="30"/>
      <c r="WBZ14" s="30"/>
      <c r="WCA14" s="30"/>
      <c r="WCB14" s="30"/>
      <c r="WCC14" s="30"/>
      <c r="WCD14" s="30"/>
      <c r="WCE14" s="30"/>
      <c r="WCF14" s="30"/>
      <c r="WCG14" s="30"/>
      <c r="WCH14" s="30"/>
      <c r="WCI14" s="30"/>
      <c r="WCJ14" s="30"/>
      <c r="WCK14" s="30"/>
      <c r="WCL14" s="30"/>
      <c r="WCM14" s="30"/>
      <c r="WCN14" s="30"/>
      <c r="WCO14" s="30"/>
      <c r="WCP14" s="30"/>
      <c r="WCQ14" s="30"/>
      <c r="WCR14" s="30"/>
      <c r="WCS14" s="30"/>
      <c r="WCT14" s="30"/>
      <c r="WCU14" s="30"/>
      <c r="WCV14" s="30"/>
      <c r="WCW14" s="30"/>
      <c r="WCX14" s="30"/>
      <c r="WCY14" s="30"/>
      <c r="WCZ14" s="30"/>
      <c r="WDA14" s="30"/>
      <c r="WDB14" s="30"/>
      <c r="WDC14" s="30"/>
      <c r="WDD14" s="30"/>
      <c r="WDE14" s="30"/>
      <c r="WDF14" s="30"/>
      <c r="WDG14" s="30"/>
      <c r="WDH14" s="30"/>
      <c r="WDI14" s="30"/>
      <c r="WDJ14" s="30"/>
      <c r="WDK14" s="30"/>
      <c r="WDL14" s="30"/>
      <c r="WDM14" s="30"/>
      <c r="WDN14" s="30"/>
      <c r="WDO14" s="30"/>
      <c r="WDP14" s="30"/>
      <c r="WDQ14" s="30"/>
      <c r="WDR14" s="30"/>
      <c r="WDS14" s="30"/>
      <c r="WDT14" s="30"/>
      <c r="WDU14" s="30"/>
      <c r="WDV14" s="30"/>
      <c r="WDW14" s="30"/>
      <c r="WDX14" s="30"/>
      <c r="WDY14" s="30"/>
      <c r="WDZ14" s="30"/>
      <c r="WEA14" s="30"/>
      <c r="WEB14" s="30"/>
      <c r="WEC14" s="30"/>
      <c r="WED14" s="30"/>
      <c r="WEE14" s="30"/>
      <c r="WEF14" s="30"/>
      <c r="WEG14" s="30"/>
      <c r="WEH14" s="30"/>
      <c r="WEI14" s="30"/>
      <c r="WEJ14" s="30"/>
      <c r="WEK14" s="30"/>
      <c r="WEL14" s="30"/>
      <c r="WEM14" s="30"/>
      <c r="WEN14" s="30"/>
      <c r="WEO14" s="30"/>
      <c r="WEP14" s="30"/>
      <c r="WEQ14" s="30"/>
      <c r="WER14" s="30"/>
      <c r="WES14" s="30"/>
      <c r="WET14" s="30"/>
      <c r="WEU14" s="30"/>
      <c r="WEV14" s="30"/>
      <c r="WEW14" s="30"/>
      <c r="WEX14" s="30"/>
      <c r="WEY14" s="30"/>
      <c r="WEZ14" s="30"/>
      <c r="WFA14" s="30"/>
      <c r="WFB14" s="30"/>
      <c r="WFC14" s="30"/>
      <c r="WFD14" s="30"/>
      <c r="WFE14" s="30"/>
      <c r="WFF14" s="30"/>
      <c r="WFG14" s="30"/>
      <c r="WFH14" s="30"/>
      <c r="WFI14" s="30"/>
      <c r="WFJ14" s="30"/>
      <c r="WFK14" s="30"/>
      <c r="WFL14" s="30"/>
      <c r="WFM14" s="30"/>
      <c r="WFN14" s="30"/>
      <c r="WFO14" s="30"/>
      <c r="WFP14" s="30"/>
      <c r="WFQ14" s="30"/>
      <c r="WFR14" s="30"/>
      <c r="WFS14" s="30"/>
      <c r="WFT14" s="30"/>
      <c r="WFU14" s="30"/>
      <c r="WFV14" s="30"/>
      <c r="WFW14" s="30"/>
      <c r="WFX14" s="30"/>
      <c r="WFY14" s="30"/>
      <c r="WFZ14" s="30"/>
      <c r="WGA14" s="30"/>
      <c r="WGB14" s="30"/>
      <c r="WGC14" s="30"/>
      <c r="WGD14" s="30"/>
      <c r="WGE14" s="30"/>
      <c r="WGF14" s="30"/>
      <c r="WGG14" s="30"/>
      <c r="WGH14" s="30"/>
      <c r="WGI14" s="30"/>
      <c r="WGJ14" s="30"/>
      <c r="WGK14" s="30"/>
      <c r="WGL14" s="30"/>
      <c r="WGM14" s="30"/>
      <c r="WGN14" s="30"/>
      <c r="WGO14" s="30"/>
      <c r="WGP14" s="30"/>
      <c r="WGQ14" s="30"/>
      <c r="WGR14" s="30"/>
      <c r="WGS14" s="30"/>
      <c r="WGT14" s="30"/>
      <c r="WGU14" s="30"/>
      <c r="WGV14" s="30"/>
      <c r="WGW14" s="30"/>
      <c r="WGX14" s="30"/>
      <c r="WGY14" s="30"/>
      <c r="WGZ14" s="30"/>
      <c r="WHA14" s="30"/>
      <c r="WHB14" s="30"/>
      <c r="WHC14" s="30"/>
      <c r="WHD14" s="30"/>
      <c r="WHE14" s="30"/>
      <c r="WHF14" s="30"/>
      <c r="WHG14" s="30"/>
      <c r="WHH14" s="30"/>
      <c r="WHI14" s="30"/>
      <c r="WHJ14" s="30"/>
      <c r="WHK14" s="30"/>
      <c r="WHL14" s="30"/>
      <c r="WHM14" s="30"/>
      <c r="WHN14" s="30"/>
      <c r="WHO14" s="30"/>
      <c r="WHP14" s="30"/>
      <c r="WHQ14" s="30"/>
      <c r="WHR14" s="30"/>
      <c r="WHS14" s="30"/>
      <c r="WHT14" s="30"/>
      <c r="WHU14" s="30"/>
      <c r="WHV14" s="30"/>
      <c r="WHW14" s="30"/>
      <c r="WHX14" s="30"/>
      <c r="WHY14" s="30"/>
      <c r="WHZ14" s="30"/>
      <c r="WIA14" s="30"/>
      <c r="WIB14" s="30"/>
      <c r="WIC14" s="30"/>
      <c r="WID14" s="30"/>
      <c r="WIE14" s="30"/>
      <c r="WIF14" s="30"/>
      <c r="WIG14" s="30"/>
      <c r="WIH14" s="30"/>
      <c r="WII14" s="30"/>
      <c r="WIJ14" s="30"/>
      <c r="WIK14" s="30"/>
      <c r="WIL14" s="30"/>
      <c r="WIM14" s="30"/>
      <c r="WIN14" s="30"/>
      <c r="WIO14" s="30"/>
      <c r="WIP14" s="30"/>
      <c r="WIQ14" s="30"/>
      <c r="WIR14" s="30"/>
      <c r="WIS14" s="30"/>
      <c r="WIT14" s="30"/>
      <c r="WIU14" s="30"/>
      <c r="WIV14" s="30"/>
      <c r="WIW14" s="30"/>
      <c r="WIX14" s="30"/>
      <c r="WIY14" s="30"/>
      <c r="WIZ14" s="30"/>
      <c r="WJA14" s="30"/>
      <c r="WJB14" s="30"/>
      <c r="WJC14" s="30"/>
      <c r="WJD14" s="30"/>
      <c r="WJE14" s="30"/>
      <c r="WJF14" s="30"/>
      <c r="WJG14" s="30"/>
      <c r="WJH14" s="30"/>
      <c r="WJI14" s="30"/>
      <c r="WJJ14" s="30"/>
      <c r="WJK14" s="30"/>
      <c r="WJL14" s="30"/>
      <c r="WJM14" s="30"/>
      <c r="WJN14" s="30"/>
      <c r="WJO14" s="30"/>
      <c r="WJP14" s="30"/>
      <c r="WJQ14" s="30"/>
      <c r="WJR14" s="30"/>
      <c r="WJS14" s="30"/>
      <c r="WJT14" s="30"/>
      <c r="WJU14" s="30"/>
      <c r="WJV14" s="30"/>
      <c r="WJW14" s="30"/>
      <c r="WJX14" s="30"/>
      <c r="WJY14" s="30"/>
      <c r="WJZ14" s="30"/>
      <c r="WKA14" s="30"/>
      <c r="WKB14" s="30"/>
      <c r="WKC14" s="30"/>
      <c r="WKD14" s="30"/>
      <c r="WKE14" s="30"/>
      <c r="WKF14" s="30"/>
      <c r="WKG14" s="30"/>
      <c r="WKH14" s="30"/>
      <c r="WKI14" s="30"/>
      <c r="WKJ14" s="30"/>
      <c r="WKK14" s="30"/>
      <c r="WKL14" s="30"/>
      <c r="WKM14" s="30"/>
      <c r="WKN14" s="30"/>
      <c r="WKO14" s="30"/>
      <c r="WKP14" s="30"/>
      <c r="WKQ14" s="30"/>
      <c r="WKR14" s="30"/>
      <c r="WKS14" s="30"/>
      <c r="WKT14" s="30"/>
      <c r="WKU14" s="30"/>
      <c r="WKV14" s="30"/>
      <c r="WKW14" s="30"/>
      <c r="WKX14" s="30"/>
      <c r="WKY14" s="30"/>
      <c r="WKZ14" s="30"/>
      <c r="WLA14" s="30"/>
      <c r="WLB14" s="30"/>
      <c r="WLC14" s="30"/>
      <c r="WLD14" s="30"/>
      <c r="WLE14" s="30"/>
      <c r="WLF14" s="30"/>
      <c r="WLG14" s="30"/>
      <c r="WLH14" s="30"/>
      <c r="WLI14" s="30"/>
      <c r="WLJ14" s="30"/>
      <c r="WLK14" s="30"/>
      <c r="WLL14" s="30"/>
      <c r="WLM14" s="30"/>
      <c r="WLN14" s="30"/>
      <c r="WLO14" s="30"/>
      <c r="WLP14" s="30"/>
      <c r="WLQ14" s="30"/>
      <c r="WLR14" s="30"/>
      <c r="WLS14" s="30"/>
      <c r="WLT14" s="30"/>
      <c r="WLU14" s="30"/>
      <c r="WLV14" s="30"/>
      <c r="WLW14" s="30"/>
      <c r="WLX14" s="30"/>
      <c r="WLY14" s="30"/>
      <c r="WLZ14" s="30"/>
      <c r="WMA14" s="30"/>
      <c r="WMB14" s="30"/>
      <c r="WMC14" s="30"/>
      <c r="WMD14" s="30"/>
      <c r="WME14" s="30"/>
      <c r="WMF14" s="30"/>
      <c r="WMG14" s="30"/>
      <c r="WMH14" s="30"/>
      <c r="WMI14" s="30"/>
      <c r="WMJ14" s="30"/>
      <c r="WMK14" s="30"/>
      <c r="WML14" s="30"/>
      <c r="WMM14" s="30"/>
      <c r="WMN14" s="30"/>
      <c r="WMO14" s="30"/>
      <c r="WMP14" s="30"/>
      <c r="WMQ14" s="30"/>
      <c r="WMR14" s="30"/>
      <c r="WMS14" s="30"/>
      <c r="WMT14" s="30"/>
      <c r="WMU14" s="30"/>
      <c r="WMV14" s="30"/>
      <c r="WMW14" s="30"/>
      <c r="WMX14" s="30"/>
      <c r="WMY14" s="30"/>
      <c r="WMZ14" s="30"/>
      <c r="WNA14" s="30"/>
      <c r="WNB14" s="30"/>
      <c r="WNC14" s="30"/>
      <c r="WND14" s="30"/>
      <c r="WNE14" s="30"/>
      <c r="WNF14" s="30"/>
      <c r="WNG14" s="30"/>
      <c r="WNH14" s="30"/>
      <c r="WNI14" s="30"/>
      <c r="WNJ14" s="30"/>
      <c r="WNK14" s="30"/>
      <c r="WNL14" s="30"/>
      <c r="WNM14" s="30"/>
      <c r="WNN14" s="30"/>
      <c r="WNO14" s="30"/>
      <c r="WNP14" s="30"/>
      <c r="WNQ14" s="30"/>
      <c r="WNR14" s="30"/>
      <c r="WNS14" s="30"/>
      <c r="WNT14" s="30"/>
      <c r="WNU14" s="30"/>
      <c r="WNV14" s="30"/>
      <c r="WNW14" s="30"/>
      <c r="WNX14" s="30"/>
      <c r="WNY14" s="30"/>
      <c r="WNZ14" s="30"/>
      <c r="WOA14" s="30"/>
      <c r="WOB14" s="30"/>
      <c r="WOC14" s="30"/>
      <c r="WOD14" s="30"/>
      <c r="WOE14" s="30"/>
      <c r="WOF14" s="30"/>
      <c r="WOG14" s="30"/>
      <c r="WOH14" s="30"/>
      <c r="WOI14" s="30"/>
      <c r="WOJ14" s="30"/>
      <c r="WOK14" s="30"/>
      <c r="WOL14" s="30"/>
      <c r="WOM14" s="30"/>
      <c r="WON14" s="30"/>
      <c r="WOO14" s="30"/>
      <c r="WOP14" s="30"/>
      <c r="WOQ14" s="30"/>
      <c r="WOR14" s="30"/>
      <c r="WOS14" s="30"/>
      <c r="WOT14" s="30"/>
      <c r="WOU14" s="30"/>
      <c r="WOV14" s="30"/>
      <c r="WOW14" s="30"/>
      <c r="WOX14" s="30"/>
      <c r="WOY14" s="30"/>
      <c r="WOZ14" s="30"/>
      <c r="WPA14" s="30"/>
      <c r="WPB14" s="30"/>
      <c r="WPC14" s="30"/>
      <c r="WPD14" s="30"/>
      <c r="WPE14" s="30"/>
      <c r="WPF14" s="30"/>
      <c r="WPG14" s="30"/>
      <c r="WPH14" s="30"/>
      <c r="WPI14" s="30"/>
      <c r="WPJ14" s="30"/>
      <c r="WPK14" s="30"/>
      <c r="WPL14" s="30"/>
      <c r="WPM14" s="30"/>
      <c r="WPN14" s="30"/>
      <c r="WPO14" s="30"/>
      <c r="WPP14" s="30"/>
      <c r="WPQ14" s="30"/>
      <c r="WPR14" s="30"/>
      <c r="WPS14" s="30"/>
      <c r="WPT14" s="30"/>
      <c r="WPU14" s="30"/>
      <c r="WPV14" s="30"/>
      <c r="WPW14" s="30"/>
      <c r="WPX14" s="30"/>
      <c r="WPY14" s="30"/>
      <c r="WPZ14" s="30"/>
      <c r="WQA14" s="30"/>
      <c r="WQB14" s="30"/>
      <c r="WQC14" s="30"/>
      <c r="WQD14" s="30"/>
      <c r="WQE14" s="30"/>
      <c r="WQF14" s="30"/>
      <c r="WQG14" s="30"/>
      <c r="WQH14" s="30"/>
      <c r="WQI14" s="30"/>
      <c r="WQJ14" s="30"/>
      <c r="WQK14" s="30"/>
      <c r="WQL14" s="30"/>
      <c r="WQM14" s="30"/>
      <c r="WQN14" s="30"/>
      <c r="WQO14" s="30"/>
      <c r="WQP14" s="30"/>
      <c r="WQQ14" s="30"/>
      <c r="WQR14" s="30"/>
      <c r="WQS14" s="30"/>
      <c r="WQT14" s="30"/>
      <c r="WQU14" s="30"/>
      <c r="WQV14" s="30"/>
      <c r="WQW14" s="30"/>
      <c r="WQX14" s="30"/>
      <c r="WQY14" s="30"/>
      <c r="WQZ14" s="30"/>
      <c r="WRA14" s="30"/>
      <c r="WRB14" s="30"/>
      <c r="WRC14" s="30"/>
      <c r="WRD14" s="30"/>
      <c r="WRE14" s="30"/>
      <c r="WRF14" s="30"/>
      <c r="WRG14" s="30"/>
      <c r="WRH14" s="30"/>
      <c r="WRI14" s="30"/>
      <c r="WRJ14" s="30"/>
      <c r="WRK14" s="30"/>
      <c r="WRL14" s="30"/>
      <c r="WRM14" s="30"/>
      <c r="WRN14" s="30"/>
      <c r="WRO14" s="30"/>
      <c r="WRP14" s="30"/>
      <c r="WRQ14" s="30"/>
      <c r="WRR14" s="30"/>
      <c r="WRS14" s="30"/>
      <c r="WRT14" s="30"/>
      <c r="WRU14" s="30"/>
      <c r="WRV14" s="30"/>
      <c r="WRW14" s="30"/>
      <c r="WRX14" s="30"/>
      <c r="WRY14" s="30"/>
      <c r="WRZ14" s="30"/>
      <c r="WSA14" s="30"/>
      <c r="WSB14" s="30"/>
      <c r="WSC14" s="30"/>
      <c r="WSD14" s="30"/>
      <c r="WSE14" s="30"/>
      <c r="WSF14" s="30"/>
      <c r="WSG14" s="30"/>
      <c r="WSH14" s="30"/>
      <c r="WSI14" s="30"/>
      <c r="WSJ14" s="30"/>
      <c r="WSK14" s="30"/>
      <c r="WSL14" s="30"/>
      <c r="WSM14" s="30"/>
      <c r="WSN14" s="30"/>
      <c r="WSO14" s="30"/>
      <c r="WSP14" s="30"/>
      <c r="WSQ14" s="30"/>
      <c r="WSR14" s="30"/>
      <c r="WSS14" s="30"/>
      <c r="WST14" s="30"/>
      <c r="WSU14" s="30"/>
      <c r="WSV14" s="30"/>
      <c r="WSW14" s="30"/>
      <c r="WSX14" s="30"/>
      <c r="WSY14" s="30"/>
      <c r="WSZ14" s="30"/>
      <c r="WTA14" s="30"/>
      <c r="WTB14" s="30"/>
      <c r="WTC14" s="30"/>
      <c r="WTD14" s="30"/>
      <c r="WTE14" s="30"/>
      <c r="WTF14" s="30"/>
      <c r="WTG14" s="30"/>
      <c r="WTH14" s="30"/>
      <c r="WTI14" s="30"/>
      <c r="WTJ14" s="30"/>
      <c r="WTK14" s="30"/>
      <c r="WTL14" s="30"/>
      <c r="WTM14" s="30"/>
      <c r="WTN14" s="30"/>
      <c r="WTO14" s="30"/>
      <c r="WTP14" s="30"/>
      <c r="WTQ14" s="30"/>
      <c r="WTR14" s="30"/>
      <c r="WTS14" s="30"/>
      <c r="WTT14" s="30"/>
      <c r="WTU14" s="30"/>
      <c r="WTV14" s="30"/>
      <c r="WTW14" s="30"/>
      <c r="WTX14" s="30"/>
      <c r="WTY14" s="30"/>
      <c r="WTZ14" s="30"/>
      <c r="WUA14" s="30"/>
      <c r="WUB14" s="30"/>
      <c r="WUC14" s="30"/>
      <c r="WUD14" s="30"/>
      <c r="WUE14" s="30"/>
      <c r="WUF14" s="30"/>
      <c r="WUG14" s="30"/>
      <c r="WUH14" s="30"/>
      <c r="WUI14" s="30"/>
      <c r="WUJ14" s="30"/>
      <c r="WUK14" s="30"/>
      <c r="WUL14" s="30"/>
      <c r="WUM14" s="30"/>
      <c r="WUN14" s="30"/>
      <c r="WUO14" s="30"/>
      <c r="WUP14" s="30"/>
      <c r="WUQ14" s="30"/>
      <c r="WUR14" s="30"/>
      <c r="WUS14" s="30"/>
      <c r="WUT14" s="30"/>
      <c r="WUU14" s="30"/>
      <c r="WUV14" s="30"/>
      <c r="WUW14" s="30"/>
      <c r="WUX14" s="30"/>
      <c r="WUY14" s="30"/>
      <c r="WUZ14" s="30"/>
      <c r="WVA14" s="30"/>
      <c r="WVB14" s="30"/>
      <c r="WVC14" s="30"/>
      <c r="WVD14" s="30"/>
      <c r="WVE14" s="30"/>
      <c r="WVF14" s="30"/>
      <c r="WVG14" s="30"/>
      <c r="WVH14" s="30"/>
      <c r="WVI14" s="30"/>
      <c r="WVJ14" s="30"/>
      <c r="WVK14" s="30"/>
      <c r="WVL14" s="30"/>
      <c r="WVM14" s="30"/>
      <c r="WVN14" s="30"/>
      <c r="WVO14" s="30"/>
      <c r="WVP14" s="30"/>
      <c r="WVQ14" s="30"/>
      <c r="WVR14" s="30"/>
      <c r="WVS14" s="30"/>
      <c r="WVT14" s="30"/>
      <c r="WVU14" s="30"/>
      <c r="WVV14" s="30"/>
      <c r="WVW14" s="30"/>
      <c r="WVX14" s="30"/>
      <c r="WVY14" s="30"/>
      <c r="WVZ14" s="30"/>
      <c r="WWA14" s="30"/>
      <c r="WWB14" s="30"/>
      <c r="WWC14" s="30"/>
      <c r="WWD14" s="30"/>
      <c r="WWE14" s="30"/>
      <c r="WWF14" s="30"/>
      <c r="WWG14" s="30"/>
      <c r="WWH14" s="30"/>
      <c r="WWI14" s="30"/>
      <c r="WWJ14" s="30"/>
      <c r="WWK14" s="30"/>
      <c r="WWL14" s="30"/>
      <c r="WWM14" s="30"/>
      <c r="WWN14" s="30"/>
      <c r="WWO14" s="30"/>
      <c r="WWP14" s="30"/>
      <c r="WWQ14" s="30"/>
      <c r="WWR14" s="30"/>
      <c r="WWS14" s="30"/>
      <c r="WWT14" s="30"/>
      <c r="WWU14" s="30"/>
      <c r="WWV14" s="30"/>
      <c r="WWW14" s="30"/>
      <c r="WWX14" s="30"/>
      <c r="WWY14" s="30"/>
      <c r="WWZ14" s="30"/>
      <c r="WXA14" s="30"/>
      <c r="WXB14" s="30"/>
      <c r="WXC14" s="30"/>
      <c r="WXD14" s="30"/>
      <c r="WXE14" s="30"/>
      <c r="WXF14" s="30"/>
      <c r="WXG14" s="30"/>
      <c r="WXH14" s="30"/>
      <c r="WXI14" s="30"/>
      <c r="WXJ14" s="30"/>
      <c r="WXK14" s="30"/>
      <c r="WXL14" s="30"/>
      <c r="WXM14" s="30"/>
      <c r="WXN14" s="30"/>
      <c r="WXO14" s="30"/>
      <c r="WXP14" s="30"/>
      <c r="WXQ14" s="30"/>
      <c r="WXR14" s="30"/>
      <c r="WXS14" s="30"/>
      <c r="WXT14" s="30"/>
      <c r="WXU14" s="30"/>
      <c r="WXV14" s="30"/>
      <c r="WXW14" s="30"/>
      <c r="WXX14" s="30"/>
      <c r="WXY14" s="30"/>
      <c r="WXZ14" s="30"/>
      <c r="WYA14" s="30"/>
      <c r="WYB14" s="30"/>
      <c r="WYC14" s="30"/>
      <c r="WYD14" s="30"/>
      <c r="WYE14" s="30"/>
      <c r="WYF14" s="30"/>
      <c r="WYG14" s="30"/>
      <c r="WYH14" s="30"/>
      <c r="WYI14" s="30"/>
      <c r="WYJ14" s="30"/>
      <c r="WYK14" s="30"/>
      <c r="WYL14" s="30"/>
      <c r="WYM14" s="30"/>
      <c r="WYN14" s="30"/>
      <c r="WYO14" s="30"/>
      <c r="WYP14" s="30"/>
      <c r="WYQ14" s="30"/>
      <c r="WYR14" s="30"/>
      <c r="WYS14" s="30"/>
      <c r="WYT14" s="30"/>
      <c r="WYU14" s="30"/>
      <c r="WYV14" s="30"/>
      <c r="WYW14" s="30"/>
      <c r="WYX14" s="30"/>
      <c r="WYY14" s="30"/>
      <c r="WYZ14" s="30"/>
      <c r="WZA14" s="30"/>
      <c r="WZB14" s="30"/>
      <c r="WZC14" s="30"/>
      <c r="WZD14" s="30"/>
      <c r="WZE14" s="30"/>
      <c r="WZF14" s="30"/>
      <c r="WZG14" s="30"/>
      <c r="WZH14" s="30"/>
      <c r="WZI14" s="30"/>
      <c r="WZJ14" s="30"/>
      <c r="WZK14" s="30"/>
      <c r="WZL14" s="30"/>
      <c r="WZM14" s="30"/>
      <c r="WZN14" s="30"/>
      <c r="WZO14" s="30"/>
      <c r="WZP14" s="30"/>
      <c r="WZQ14" s="30"/>
      <c r="WZR14" s="30"/>
      <c r="WZS14" s="30"/>
      <c r="WZT14" s="30"/>
      <c r="WZU14" s="30"/>
      <c r="WZV14" s="30"/>
      <c r="WZW14" s="30"/>
      <c r="WZX14" s="30"/>
      <c r="WZY14" s="30"/>
      <c r="WZZ14" s="30"/>
      <c r="XAA14" s="30"/>
      <c r="XAB14" s="30"/>
      <c r="XAC14" s="30"/>
      <c r="XAD14" s="30"/>
      <c r="XAE14" s="30"/>
      <c r="XAF14" s="30"/>
      <c r="XAG14" s="30"/>
      <c r="XAH14" s="30"/>
      <c r="XAI14" s="30"/>
      <c r="XAJ14" s="30"/>
      <c r="XAK14" s="30"/>
      <c r="XAL14" s="30"/>
      <c r="XAM14" s="30"/>
      <c r="XAN14" s="30"/>
      <c r="XAO14" s="30"/>
      <c r="XAP14" s="30"/>
      <c r="XAQ14" s="30"/>
      <c r="XAR14" s="30"/>
      <c r="XAS14" s="30"/>
      <c r="XAT14" s="30"/>
      <c r="XAU14" s="30"/>
      <c r="XAV14" s="30"/>
      <c r="XAW14" s="30"/>
      <c r="XAX14" s="30"/>
      <c r="XAY14" s="30"/>
      <c r="XAZ14" s="30"/>
      <c r="XBA14" s="30"/>
      <c r="XBB14" s="30"/>
      <c r="XBC14" s="30"/>
      <c r="XBD14" s="30"/>
      <c r="XBE14" s="30"/>
      <c r="XBF14" s="30"/>
      <c r="XBG14" s="30"/>
      <c r="XBH14" s="30"/>
      <c r="XBI14" s="30"/>
      <c r="XBJ14" s="30"/>
      <c r="XBK14" s="30"/>
      <c r="XBL14" s="30"/>
      <c r="XBM14" s="30"/>
      <c r="XBN14" s="30"/>
      <c r="XBO14" s="30"/>
      <c r="XBP14" s="30"/>
      <c r="XBQ14" s="30"/>
      <c r="XBR14" s="30"/>
      <c r="XBS14" s="30"/>
      <c r="XBT14" s="30"/>
      <c r="XBU14" s="30"/>
      <c r="XBV14" s="30"/>
      <c r="XBW14" s="30"/>
      <c r="XBX14" s="30"/>
      <c r="XBY14" s="30"/>
      <c r="XBZ14" s="30"/>
      <c r="XCA14" s="30"/>
      <c r="XCB14" s="30"/>
      <c r="XCC14" s="30"/>
      <c r="XCD14" s="30"/>
      <c r="XCE14" s="30"/>
      <c r="XCF14" s="30"/>
      <c r="XCG14" s="30"/>
      <c r="XCH14" s="30"/>
      <c r="XCI14" s="30"/>
      <c r="XCJ14" s="30"/>
      <c r="XCK14" s="30"/>
      <c r="XCL14" s="30"/>
      <c r="XCM14" s="30"/>
      <c r="XCN14" s="30"/>
      <c r="XCO14" s="30"/>
      <c r="XCP14" s="30"/>
      <c r="XCQ14" s="30"/>
      <c r="XCR14" s="30"/>
      <c r="XCS14" s="30"/>
      <c r="XCT14" s="30"/>
      <c r="XCU14" s="30"/>
      <c r="XCV14" s="30"/>
      <c r="XCW14" s="30"/>
      <c r="XCX14" s="30"/>
      <c r="XCY14" s="30"/>
      <c r="XCZ14" s="30"/>
      <c r="XDA14" s="30"/>
      <c r="XDB14" s="30"/>
      <c r="XDC14" s="30"/>
      <c r="XDD14" s="30"/>
      <c r="XDE14" s="30"/>
      <c r="XDF14" s="30"/>
      <c r="XDG14" s="30"/>
      <c r="XDH14" s="30"/>
      <c r="XDI14" s="30"/>
      <c r="XDJ14" s="30"/>
      <c r="XDK14" s="30"/>
      <c r="XDL14" s="30"/>
      <c r="XDM14" s="30"/>
      <c r="XDN14" s="30"/>
      <c r="XDO14" s="30"/>
      <c r="XDP14" s="30"/>
      <c r="XDQ14" s="30"/>
      <c r="XDR14" s="30"/>
      <c r="XDS14" s="30"/>
      <c r="XDT14" s="30"/>
      <c r="XDU14" s="30"/>
      <c r="XDV14" s="30"/>
      <c r="XDW14" s="30"/>
      <c r="XDX14" s="30"/>
      <c r="XDY14" s="30"/>
      <c r="XDZ14" s="30"/>
      <c r="XEA14" s="30"/>
      <c r="XEB14" s="30"/>
      <c r="XEC14" s="30"/>
      <c r="XED14" s="30"/>
      <c r="XEE14" s="30"/>
      <c r="XEF14" s="30"/>
      <c r="XEG14" s="30"/>
      <c r="XEH14" s="30"/>
      <c r="XEI14" s="30"/>
      <c r="XEJ14" s="30"/>
      <c r="XEK14" s="30"/>
      <c r="XEL14" s="30"/>
      <c r="XEM14" s="30"/>
      <c r="XEN14" s="30"/>
      <c r="XEO14" s="30"/>
      <c r="XEP14" s="30"/>
      <c r="XEQ14" s="30"/>
      <c r="XER14" s="30"/>
      <c r="XES14" s="30"/>
      <c r="XET14" s="30"/>
      <c r="XEU14" s="30"/>
      <c r="XEV14" s="30"/>
      <c r="XEW14" s="30"/>
    </row>
    <row r="15" spans="1:16377" x14ac:dyDescent="0.25">
      <c r="A15" s="4">
        <v>66</v>
      </c>
      <c r="B15" s="4">
        <v>1844510840</v>
      </c>
      <c r="C15" s="4" t="s">
        <v>347</v>
      </c>
      <c r="D15" s="90">
        <v>643</v>
      </c>
      <c r="E15" s="90">
        <v>327</v>
      </c>
      <c r="F15" s="343">
        <v>442</v>
      </c>
      <c r="G15" s="244">
        <v>0</v>
      </c>
      <c r="H15" s="389">
        <v>0</v>
      </c>
      <c r="I15" s="233">
        <v>0</v>
      </c>
      <c r="J15" s="38" t="s">
        <v>1162</v>
      </c>
    </row>
    <row r="16" spans="1:16377" x14ac:dyDescent="0.25">
      <c r="A16" s="4">
        <v>82</v>
      </c>
      <c r="B16" s="4">
        <v>1845192840</v>
      </c>
      <c r="C16" s="4" t="s">
        <v>931</v>
      </c>
      <c r="D16" s="90">
        <v>0</v>
      </c>
      <c r="E16" s="90">
        <v>0</v>
      </c>
      <c r="F16" s="343">
        <v>45</v>
      </c>
      <c r="G16" s="244">
        <v>0</v>
      </c>
      <c r="H16" s="389">
        <v>0</v>
      </c>
      <c r="I16" s="233">
        <v>0</v>
      </c>
      <c r="J16" s="38" t="str">
        <f>J15</f>
        <v>לסגור לפי דוח הקצבה</v>
      </c>
    </row>
    <row r="17" spans="1:10" x14ac:dyDescent="0.25">
      <c r="A17" s="4">
        <v>6</v>
      </c>
      <c r="B17" s="287">
        <v>1712200780</v>
      </c>
      <c r="C17" s="22" t="s">
        <v>219</v>
      </c>
      <c r="D17" s="29">
        <v>0</v>
      </c>
      <c r="E17" s="99">
        <f t="shared" ref="E17:E34" si="1">D17/2</f>
        <v>0</v>
      </c>
      <c r="F17" s="138">
        <v>0</v>
      </c>
      <c r="G17" s="29">
        <v>0</v>
      </c>
      <c r="H17" s="29">
        <v>0</v>
      </c>
      <c r="I17" s="29">
        <v>0</v>
      </c>
      <c r="J17" s="324" t="s">
        <v>1188</v>
      </c>
    </row>
    <row r="18" spans="1:10" x14ac:dyDescent="0.25">
      <c r="A18" s="4">
        <v>7</v>
      </c>
      <c r="B18" s="287">
        <v>1712310780</v>
      </c>
      <c r="C18" s="22" t="s">
        <v>870</v>
      </c>
      <c r="D18" s="29">
        <v>17</v>
      </c>
      <c r="E18" s="99">
        <f t="shared" si="1"/>
        <v>8.5</v>
      </c>
      <c r="F18" s="138">
        <v>10</v>
      </c>
      <c r="G18" s="29">
        <v>0</v>
      </c>
      <c r="H18" s="29">
        <v>0</v>
      </c>
      <c r="I18" s="29">
        <v>0</v>
      </c>
      <c r="J18" s="324" t="s">
        <v>1189</v>
      </c>
    </row>
    <row r="19" spans="1:10" x14ac:dyDescent="0.25">
      <c r="A19" s="4">
        <v>11</v>
      </c>
      <c r="B19" s="284">
        <v>1721300780</v>
      </c>
      <c r="C19" s="22" t="s">
        <v>232</v>
      </c>
      <c r="D19" s="99">
        <v>0</v>
      </c>
      <c r="E19" s="99">
        <f t="shared" si="1"/>
        <v>0</v>
      </c>
      <c r="F19" s="138">
        <v>0</v>
      </c>
      <c r="G19" s="99">
        <v>0</v>
      </c>
      <c r="H19" s="29">
        <v>0</v>
      </c>
      <c r="I19" s="29">
        <v>0</v>
      </c>
      <c r="J19" s="324" t="s">
        <v>1188</v>
      </c>
    </row>
    <row r="20" spans="1:10" x14ac:dyDescent="0.25">
      <c r="A20" s="4">
        <v>13</v>
      </c>
      <c r="B20" s="287">
        <v>1722100780</v>
      </c>
      <c r="C20" s="22" t="s">
        <v>233</v>
      </c>
      <c r="D20" s="29">
        <v>0</v>
      </c>
      <c r="E20" s="99">
        <f t="shared" si="1"/>
        <v>0</v>
      </c>
      <c r="F20" s="138">
        <v>0</v>
      </c>
      <c r="G20" s="29">
        <v>0</v>
      </c>
      <c r="H20" s="29">
        <v>0</v>
      </c>
      <c r="I20" s="29">
        <v>0</v>
      </c>
      <c r="J20" s="324" t="s">
        <v>1188</v>
      </c>
    </row>
    <row r="21" spans="1:10" x14ac:dyDescent="0.25">
      <c r="A21" s="4">
        <v>24</v>
      </c>
      <c r="B21" s="287">
        <v>1761000780</v>
      </c>
      <c r="C21" s="22" t="s">
        <v>259</v>
      </c>
      <c r="D21" s="85">
        <v>0</v>
      </c>
      <c r="E21" s="99">
        <f t="shared" si="1"/>
        <v>0</v>
      </c>
      <c r="F21" s="138">
        <v>0</v>
      </c>
      <c r="G21" s="29">
        <v>0</v>
      </c>
      <c r="H21" s="29">
        <v>0</v>
      </c>
      <c r="I21" s="29">
        <v>0</v>
      </c>
      <c r="J21" s="324" t="s">
        <v>1188</v>
      </c>
    </row>
    <row r="22" spans="1:10" x14ac:dyDescent="0.25">
      <c r="A22" s="4">
        <v>25</v>
      </c>
      <c r="B22" s="287">
        <v>1761100780</v>
      </c>
      <c r="C22" s="22" t="s">
        <v>261</v>
      </c>
      <c r="D22" s="85">
        <v>0</v>
      </c>
      <c r="E22" s="99">
        <f t="shared" si="1"/>
        <v>0</v>
      </c>
      <c r="F22" s="138">
        <v>0</v>
      </c>
      <c r="G22" s="99">
        <v>0</v>
      </c>
      <c r="H22" s="29">
        <v>0</v>
      </c>
      <c r="I22" s="29">
        <v>0</v>
      </c>
      <c r="J22" s="324" t="s">
        <v>1188</v>
      </c>
    </row>
    <row r="23" spans="1:10" x14ac:dyDescent="0.25">
      <c r="A23" s="4">
        <v>30</v>
      </c>
      <c r="B23" s="287">
        <v>1772000780</v>
      </c>
      <c r="C23" s="22" t="s">
        <v>507</v>
      </c>
      <c r="D23" s="85">
        <v>0</v>
      </c>
      <c r="E23" s="99">
        <f t="shared" si="1"/>
        <v>0</v>
      </c>
      <c r="F23" s="138">
        <v>0</v>
      </c>
      <c r="G23" s="29">
        <v>0</v>
      </c>
      <c r="H23" s="29">
        <v>0</v>
      </c>
      <c r="I23" s="29">
        <v>0</v>
      </c>
      <c r="J23" s="324" t="s">
        <v>1188</v>
      </c>
    </row>
    <row r="24" spans="1:10" x14ac:dyDescent="0.25">
      <c r="A24" s="4">
        <v>41</v>
      </c>
      <c r="B24" s="47">
        <v>1813216780</v>
      </c>
      <c r="C24" s="28" t="s">
        <v>509</v>
      </c>
      <c r="D24" s="89">
        <v>17</v>
      </c>
      <c r="E24" s="99">
        <f t="shared" si="1"/>
        <v>8.5</v>
      </c>
      <c r="F24" s="141">
        <v>0</v>
      </c>
      <c r="G24" s="29">
        <v>0</v>
      </c>
      <c r="H24" s="29">
        <v>0</v>
      </c>
      <c r="I24" s="29">
        <v>0</v>
      </c>
      <c r="J24" s="324" t="s">
        <v>1185</v>
      </c>
    </row>
    <row r="25" spans="1:10" x14ac:dyDescent="0.25">
      <c r="A25" s="4">
        <v>42</v>
      </c>
      <c r="B25" s="47">
        <v>1813217780</v>
      </c>
      <c r="C25" s="28" t="s">
        <v>510</v>
      </c>
      <c r="D25" s="89">
        <v>15</v>
      </c>
      <c r="E25" s="99">
        <f t="shared" si="1"/>
        <v>7.5</v>
      </c>
      <c r="F25" s="141">
        <v>0</v>
      </c>
      <c r="G25" s="29">
        <v>0</v>
      </c>
      <c r="H25" s="29">
        <v>0</v>
      </c>
      <c r="I25" s="29">
        <v>0</v>
      </c>
      <c r="J25" s="324" t="s">
        <v>1185</v>
      </c>
    </row>
    <row r="26" spans="1:10" x14ac:dyDescent="0.25">
      <c r="A26" s="4">
        <v>43</v>
      </c>
      <c r="B26" s="47">
        <v>1813218780</v>
      </c>
      <c r="C26" s="28" t="s">
        <v>511</v>
      </c>
      <c r="D26" s="89">
        <f>(227*6.16*6)/1000</f>
        <v>8.38992</v>
      </c>
      <c r="E26" s="99">
        <f t="shared" si="1"/>
        <v>4.19496</v>
      </c>
      <c r="F26" s="141">
        <v>0</v>
      </c>
      <c r="G26" s="29">
        <v>0</v>
      </c>
      <c r="H26" s="29">
        <v>0</v>
      </c>
      <c r="I26" s="29">
        <v>0</v>
      </c>
      <c r="J26" s="324" t="s">
        <v>1185</v>
      </c>
    </row>
    <row r="27" spans="1:10" x14ac:dyDescent="0.25">
      <c r="A27" s="4">
        <v>44</v>
      </c>
      <c r="B27" s="47">
        <v>1813219780</v>
      </c>
      <c r="C27" s="28" t="s">
        <v>512</v>
      </c>
      <c r="D27" s="89">
        <f>(498*6.16*6)/1000</f>
        <v>18.406080000000003</v>
      </c>
      <c r="E27" s="99">
        <f t="shared" si="1"/>
        <v>9.2030400000000014</v>
      </c>
      <c r="F27" s="141">
        <v>0</v>
      </c>
      <c r="G27" s="29">
        <v>0</v>
      </c>
      <c r="H27" s="29">
        <v>0</v>
      </c>
      <c r="I27" s="29">
        <v>0</v>
      </c>
      <c r="J27" s="324" t="s">
        <v>1185</v>
      </c>
    </row>
    <row r="28" spans="1:10" x14ac:dyDescent="0.25">
      <c r="A28" s="4">
        <v>46</v>
      </c>
      <c r="B28" s="47">
        <v>1813221780</v>
      </c>
      <c r="C28" s="28" t="s">
        <v>513</v>
      </c>
      <c r="D28" s="89">
        <f>(346*6.16*6)/1000</f>
        <v>12.78816</v>
      </c>
      <c r="E28" s="99">
        <f t="shared" si="1"/>
        <v>6.3940799999999998</v>
      </c>
      <c r="F28" s="141">
        <v>0</v>
      </c>
      <c r="G28" s="29">
        <v>0</v>
      </c>
      <c r="H28" s="29">
        <v>0</v>
      </c>
      <c r="I28" s="29">
        <v>0</v>
      </c>
      <c r="J28" s="324" t="s">
        <v>1185</v>
      </c>
    </row>
    <row r="29" spans="1:10" x14ac:dyDescent="0.25">
      <c r="A29" s="4">
        <v>47</v>
      </c>
      <c r="B29" s="47">
        <v>1813222780</v>
      </c>
      <c r="C29" s="28" t="s">
        <v>514</v>
      </c>
      <c r="D29" s="89">
        <f>(300*6.16*6)/1000</f>
        <v>11.087999999999999</v>
      </c>
      <c r="E29" s="99">
        <f t="shared" si="1"/>
        <v>5.5439999999999996</v>
      </c>
      <c r="F29" s="141">
        <v>0</v>
      </c>
      <c r="G29" s="29">
        <v>0</v>
      </c>
      <c r="H29" s="29">
        <v>0</v>
      </c>
      <c r="I29" s="29">
        <v>0</v>
      </c>
      <c r="J29" s="324" t="s">
        <v>1185</v>
      </c>
    </row>
    <row r="30" spans="1:10" x14ac:dyDescent="0.25">
      <c r="A30" s="4">
        <v>48</v>
      </c>
      <c r="B30" s="47">
        <v>1813223780</v>
      </c>
      <c r="C30" s="28" t="s">
        <v>515</v>
      </c>
      <c r="D30" s="89">
        <f>(171*6.16*6)/1000</f>
        <v>6.3201600000000004</v>
      </c>
      <c r="E30" s="99">
        <f t="shared" si="1"/>
        <v>3.1600800000000002</v>
      </c>
      <c r="F30" s="141">
        <v>0</v>
      </c>
      <c r="G30" s="29">
        <v>0</v>
      </c>
      <c r="H30" s="29">
        <v>0</v>
      </c>
      <c r="I30" s="29">
        <v>0</v>
      </c>
      <c r="J30" s="324" t="s">
        <v>1185</v>
      </c>
    </row>
    <row r="31" spans="1:10" x14ac:dyDescent="0.25">
      <c r="A31" s="4">
        <v>49</v>
      </c>
      <c r="B31" s="47">
        <v>1813224780</v>
      </c>
      <c r="C31" s="28" t="s">
        <v>516</v>
      </c>
      <c r="D31" s="89">
        <f>(601*6.16*6)/1000</f>
        <v>22.212960000000002</v>
      </c>
      <c r="E31" s="99">
        <f t="shared" si="1"/>
        <v>11.106480000000001</v>
      </c>
      <c r="F31" s="141">
        <v>0</v>
      </c>
      <c r="G31" s="29">
        <v>0</v>
      </c>
      <c r="H31" s="29">
        <v>0</v>
      </c>
      <c r="I31" s="29">
        <v>0</v>
      </c>
      <c r="J31" s="324" t="s">
        <v>1185</v>
      </c>
    </row>
    <row r="32" spans="1:10" x14ac:dyDescent="0.25">
      <c r="A32" s="4">
        <v>50</v>
      </c>
      <c r="B32" s="47">
        <v>1813225780</v>
      </c>
      <c r="C32" s="28" t="s">
        <v>517</v>
      </c>
      <c r="D32" s="89">
        <f>(528*6.16*6)/1000</f>
        <v>19.514880000000002</v>
      </c>
      <c r="E32" s="99">
        <f t="shared" si="1"/>
        <v>9.7574400000000008</v>
      </c>
      <c r="F32" s="141">
        <v>0</v>
      </c>
      <c r="G32" s="29">
        <v>0</v>
      </c>
      <c r="H32" s="29">
        <v>0</v>
      </c>
      <c r="I32" s="29">
        <v>0</v>
      </c>
      <c r="J32" s="324" t="s">
        <v>1185</v>
      </c>
    </row>
    <row r="33" spans="1:12" x14ac:dyDescent="0.25">
      <c r="A33" s="4">
        <v>68</v>
      </c>
      <c r="B33" s="47">
        <v>1822200780</v>
      </c>
      <c r="C33" s="325" t="s">
        <v>310</v>
      </c>
      <c r="D33" s="85">
        <v>0</v>
      </c>
      <c r="E33" s="99">
        <f t="shared" si="1"/>
        <v>0</v>
      </c>
      <c r="F33" s="141">
        <v>0</v>
      </c>
      <c r="G33" s="29">
        <v>0</v>
      </c>
      <c r="H33" s="29"/>
      <c r="I33" s="29"/>
      <c r="J33" s="324" t="s">
        <v>1188</v>
      </c>
    </row>
    <row r="34" spans="1:12" x14ac:dyDescent="0.25">
      <c r="A34" s="4">
        <v>73</v>
      </c>
      <c r="B34" s="4">
        <v>1822400780</v>
      </c>
      <c r="C34" s="326" t="s">
        <v>314</v>
      </c>
      <c r="D34" s="29">
        <v>0</v>
      </c>
      <c r="E34" s="99">
        <f t="shared" si="1"/>
        <v>0</v>
      </c>
      <c r="F34" s="138">
        <v>0</v>
      </c>
      <c r="G34" s="29">
        <v>0</v>
      </c>
      <c r="H34" s="29">
        <v>0</v>
      </c>
      <c r="I34" s="29">
        <v>0</v>
      </c>
      <c r="J34" s="324" t="s">
        <v>1188</v>
      </c>
      <c r="L34" s="40"/>
    </row>
    <row r="35" spans="1:12" x14ac:dyDescent="0.25">
      <c r="A35" s="4">
        <v>74</v>
      </c>
      <c r="B35" s="4">
        <v>1824110780</v>
      </c>
      <c r="C35" s="327" t="s">
        <v>619</v>
      </c>
      <c r="D35" s="29">
        <v>0</v>
      </c>
      <c r="E35" s="99">
        <f t="shared" ref="E35:E39" si="2">D35/2</f>
        <v>0</v>
      </c>
      <c r="F35" s="138">
        <v>0</v>
      </c>
      <c r="G35" s="29">
        <v>0</v>
      </c>
      <c r="H35" s="29"/>
      <c r="I35" s="29">
        <v>0</v>
      </c>
      <c r="J35" s="324" t="s">
        <v>1188</v>
      </c>
    </row>
    <row r="36" spans="1:12" x14ac:dyDescent="0.25">
      <c r="A36" s="4">
        <v>83</v>
      </c>
      <c r="B36" s="47">
        <v>1826400780</v>
      </c>
      <c r="C36" s="325" t="s">
        <v>323</v>
      </c>
      <c r="D36" s="85">
        <v>0</v>
      </c>
      <c r="E36" s="99">
        <f t="shared" si="2"/>
        <v>0</v>
      </c>
      <c r="F36" s="138">
        <v>0</v>
      </c>
      <c r="G36" s="29">
        <v>0</v>
      </c>
      <c r="H36" s="29">
        <v>0</v>
      </c>
      <c r="I36" s="29">
        <v>0</v>
      </c>
      <c r="J36" s="324" t="s">
        <v>1188</v>
      </c>
    </row>
    <row r="37" spans="1:12" ht="27.6" x14ac:dyDescent="0.25">
      <c r="A37" s="4">
        <v>84</v>
      </c>
      <c r="B37" s="47">
        <v>1826410780</v>
      </c>
      <c r="C37" s="327" t="s">
        <v>477</v>
      </c>
      <c r="D37" s="85">
        <v>0</v>
      </c>
      <c r="E37" s="99">
        <f t="shared" si="2"/>
        <v>0</v>
      </c>
      <c r="F37" s="138">
        <v>0</v>
      </c>
      <c r="G37" s="29">
        <v>0</v>
      </c>
      <c r="H37" s="29"/>
      <c r="I37" s="29"/>
      <c r="J37" s="324" t="s">
        <v>1188</v>
      </c>
    </row>
    <row r="38" spans="1:12" x14ac:dyDescent="0.25">
      <c r="A38" s="4">
        <v>90</v>
      </c>
      <c r="B38" s="49">
        <v>1827300780</v>
      </c>
      <c r="C38" s="332" t="s">
        <v>1157</v>
      </c>
      <c r="D38" s="85">
        <v>10</v>
      </c>
      <c r="E38" s="99">
        <f t="shared" si="2"/>
        <v>5</v>
      </c>
      <c r="F38" s="138">
        <v>10</v>
      </c>
      <c r="G38" s="29">
        <v>0</v>
      </c>
      <c r="H38" s="29">
        <v>0</v>
      </c>
      <c r="I38" s="29">
        <v>0</v>
      </c>
      <c r="J38" s="324" t="s">
        <v>1202</v>
      </c>
    </row>
    <row r="39" spans="1:12" x14ac:dyDescent="0.25">
      <c r="A39" s="4">
        <v>105</v>
      </c>
      <c r="B39" s="23">
        <v>1939000780</v>
      </c>
      <c r="C39" s="325" t="s">
        <v>379</v>
      </c>
      <c r="D39" s="29">
        <v>0</v>
      </c>
      <c r="E39" s="99">
        <f t="shared" si="2"/>
        <v>0</v>
      </c>
      <c r="F39" s="138">
        <v>1</v>
      </c>
      <c r="G39" s="29">
        <v>0</v>
      </c>
      <c r="H39" s="29">
        <v>0</v>
      </c>
      <c r="I39" s="29">
        <v>0</v>
      </c>
      <c r="J39" s="324" t="s">
        <v>1188</v>
      </c>
    </row>
    <row r="40" spans="1:12" ht="18" customHeight="1" x14ac:dyDescent="0.25">
      <c r="A40" s="4">
        <v>8</v>
      </c>
      <c r="B40" s="4">
        <v>1611600782</v>
      </c>
      <c r="C40" s="325" t="s">
        <v>525</v>
      </c>
      <c r="D40" s="90">
        <v>0</v>
      </c>
      <c r="E40" s="90">
        <v>0</v>
      </c>
      <c r="F40" s="90">
        <v>0</v>
      </c>
      <c r="G40" s="131">
        <v>0</v>
      </c>
      <c r="H40" s="96">
        <v>0</v>
      </c>
      <c r="I40" s="4">
        <v>0</v>
      </c>
      <c r="J40" s="284" t="s">
        <v>1188</v>
      </c>
    </row>
    <row r="41" spans="1:12" ht="18" customHeight="1" x14ac:dyDescent="0.25">
      <c r="A41" s="4">
        <v>12</v>
      </c>
      <c r="B41" s="4">
        <v>1613100782</v>
      </c>
      <c r="C41" s="325" t="s">
        <v>528</v>
      </c>
      <c r="D41" s="90">
        <v>2</v>
      </c>
      <c r="E41" s="90">
        <v>0</v>
      </c>
      <c r="F41" s="90">
        <v>1</v>
      </c>
      <c r="G41" s="99">
        <v>0</v>
      </c>
      <c r="H41" s="29">
        <v>0</v>
      </c>
      <c r="I41" s="4">
        <v>0</v>
      </c>
      <c r="J41" s="284" t="s">
        <v>1188</v>
      </c>
    </row>
    <row r="42" spans="1:12" ht="18" customHeight="1" x14ac:dyDescent="0.25">
      <c r="A42" s="4">
        <v>18</v>
      </c>
      <c r="B42" s="4">
        <v>1613700782</v>
      </c>
      <c r="C42" s="325" t="s">
        <v>181</v>
      </c>
      <c r="D42" s="90">
        <v>0</v>
      </c>
      <c r="E42" s="90">
        <v>1</v>
      </c>
      <c r="F42" s="90">
        <v>2</v>
      </c>
      <c r="G42" s="99">
        <v>0</v>
      </c>
      <c r="H42" s="29">
        <v>0</v>
      </c>
      <c r="I42" s="4">
        <v>0</v>
      </c>
      <c r="J42" s="284" t="s">
        <v>1188</v>
      </c>
    </row>
    <row r="43" spans="1:12" ht="18" customHeight="1" x14ac:dyDescent="0.25">
      <c r="A43" s="4">
        <v>25</v>
      </c>
      <c r="B43" s="4">
        <v>1621200782</v>
      </c>
      <c r="C43" s="325" t="s">
        <v>1140</v>
      </c>
      <c r="D43" s="90">
        <v>1</v>
      </c>
      <c r="E43" s="90">
        <v>0</v>
      </c>
      <c r="F43" s="90">
        <v>0</v>
      </c>
      <c r="G43" s="131">
        <v>0</v>
      </c>
      <c r="H43" s="96"/>
      <c r="I43" s="4"/>
      <c r="J43" s="284" t="s">
        <v>1188</v>
      </c>
    </row>
    <row r="44" spans="1:12" ht="18" customHeight="1" x14ac:dyDescent="0.25">
      <c r="A44" s="4">
        <v>26</v>
      </c>
      <c r="B44" s="4">
        <v>1621210782</v>
      </c>
      <c r="C44" s="325" t="s">
        <v>1140</v>
      </c>
      <c r="D44" s="90">
        <v>3</v>
      </c>
      <c r="E44" s="90">
        <v>0</v>
      </c>
      <c r="F44" s="90">
        <v>0</v>
      </c>
      <c r="G44" s="131">
        <v>0</v>
      </c>
      <c r="H44" s="96"/>
      <c r="I44" s="4"/>
      <c r="J44" s="284" t="s">
        <v>1188</v>
      </c>
    </row>
    <row r="45" spans="1:12" ht="18" customHeight="1" x14ac:dyDescent="0.25">
      <c r="A45" s="4">
        <v>57</v>
      </c>
      <c r="B45" s="10">
        <v>1812240782</v>
      </c>
      <c r="C45" s="28" t="s">
        <v>554</v>
      </c>
      <c r="D45" s="343">
        <v>9</v>
      </c>
      <c r="E45" s="343">
        <v>1</v>
      </c>
      <c r="F45" s="86">
        <v>0</v>
      </c>
      <c r="G45" s="99">
        <v>0</v>
      </c>
      <c r="H45" s="29">
        <v>0</v>
      </c>
      <c r="I45" s="4">
        <v>0</v>
      </c>
      <c r="J45" s="284" t="s">
        <v>1204</v>
      </c>
    </row>
    <row r="46" spans="1:12" ht="18" customHeight="1" x14ac:dyDescent="0.25">
      <c r="A46" s="4">
        <v>58</v>
      </c>
      <c r="B46" s="10">
        <v>1812250782</v>
      </c>
      <c r="C46" s="28" t="s">
        <v>555</v>
      </c>
      <c r="D46" s="343">
        <v>19</v>
      </c>
      <c r="E46" s="343">
        <v>0</v>
      </c>
      <c r="F46" s="86">
        <v>0</v>
      </c>
      <c r="G46" s="156">
        <v>0</v>
      </c>
      <c r="H46" s="264">
        <v>0</v>
      </c>
      <c r="I46" s="4">
        <v>0</v>
      </c>
      <c r="J46" s="284" t="s">
        <v>1204</v>
      </c>
    </row>
    <row r="47" spans="1:12" ht="18" customHeight="1" x14ac:dyDescent="0.25">
      <c r="A47" s="4">
        <v>59</v>
      </c>
      <c r="B47" s="10">
        <v>1812260782</v>
      </c>
      <c r="C47" s="28" t="s">
        <v>556</v>
      </c>
      <c r="D47" s="343">
        <v>39</v>
      </c>
      <c r="E47" s="343">
        <v>1</v>
      </c>
      <c r="F47" s="86">
        <v>0</v>
      </c>
      <c r="G47" s="99">
        <v>0</v>
      </c>
      <c r="H47" s="29">
        <v>0</v>
      </c>
      <c r="I47" s="4">
        <v>0</v>
      </c>
      <c r="J47" s="284" t="s">
        <v>1204</v>
      </c>
    </row>
    <row r="48" spans="1:12" ht="18" customHeight="1" x14ac:dyDescent="0.25">
      <c r="A48" s="4">
        <v>61</v>
      </c>
      <c r="B48" s="10">
        <v>1812280782</v>
      </c>
      <c r="C48" s="28" t="s">
        <v>558</v>
      </c>
      <c r="D48" s="343">
        <v>14</v>
      </c>
      <c r="E48" s="343">
        <v>0</v>
      </c>
      <c r="F48" s="86">
        <v>0</v>
      </c>
      <c r="G48" s="156">
        <v>0</v>
      </c>
      <c r="H48" s="156">
        <v>0</v>
      </c>
      <c r="I48" s="38">
        <v>0</v>
      </c>
      <c r="J48" s="284" t="s">
        <v>1204</v>
      </c>
    </row>
    <row r="49" spans="1:12" ht="18" customHeight="1" x14ac:dyDescent="0.25">
      <c r="A49" s="4">
        <v>62</v>
      </c>
      <c r="B49" s="10">
        <v>1812290782</v>
      </c>
      <c r="C49" s="28" t="s">
        <v>559</v>
      </c>
      <c r="D49" s="343">
        <v>13</v>
      </c>
      <c r="E49" s="343">
        <v>1</v>
      </c>
      <c r="F49" s="86">
        <v>0</v>
      </c>
      <c r="G49" s="156">
        <v>0</v>
      </c>
      <c r="H49" s="156">
        <v>0</v>
      </c>
      <c r="I49" s="38">
        <v>0</v>
      </c>
      <c r="J49" s="284" t="s">
        <v>1204</v>
      </c>
    </row>
    <row r="50" spans="1:12" ht="18" customHeight="1" x14ac:dyDescent="0.25">
      <c r="A50" s="4">
        <v>66</v>
      </c>
      <c r="B50" s="10">
        <v>1812294782</v>
      </c>
      <c r="C50" s="28" t="s">
        <v>561</v>
      </c>
      <c r="D50" s="343">
        <v>5</v>
      </c>
      <c r="E50" s="86">
        <v>0</v>
      </c>
      <c r="F50" s="86">
        <v>3</v>
      </c>
      <c r="G50" s="99">
        <v>0</v>
      </c>
      <c r="H50" s="99">
        <v>0</v>
      </c>
      <c r="I50" s="38">
        <v>0</v>
      </c>
      <c r="J50" s="284" t="s">
        <v>1186</v>
      </c>
    </row>
    <row r="51" spans="1:12" ht="18" customHeight="1" x14ac:dyDescent="0.25">
      <c r="A51" s="4">
        <v>67</v>
      </c>
      <c r="B51" s="10">
        <v>1812295782</v>
      </c>
      <c r="C51" s="28" t="s">
        <v>562</v>
      </c>
      <c r="D51" s="343">
        <v>54</v>
      </c>
      <c r="E51" s="90">
        <v>0</v>
      </c>
      <c r="F51" s="86">
        <v>0</v>
      </c>
      <c r="G51" s="99">
        <v>0</v>
      </c>
      <c r="H51" s="99">
        <v>0</v>
      </c>
      <c r="I51" s="38">
        <v>0</v>
      </c>
      <c r="J51" s="284" t="s">
        <v>1205</v>
      </c>
    </row>
    <row r="52" spans="1:12" ht="18" customHeight="1" x14ac:dyDescent="0.25">
      <c r="A52" s="4">
        <v>70</v>
      </c>
      <c r="B52" s="10">
        <v>1812300782</v>
      </c>
      <c r="C52" s="28" t="s">
        <v>563</v>
      </c>
      <c r="D52" s="343">
        <v>20</v>
      </c>
      <c r="E52" s="86">
        <v>0</v>
      </c>
      <c r="F52" s="86">
        <v>0</v>
      </c>
      <c r="G52" s="99">
        <v>0</v>
      </c>
      <c r="H52" s="99">
        <v>0</v>
      </c>
      <c r="I52" s="38">
        <v>0</v>
      </c>
      <c r="J52" s="284" t="s">
        <v>1204</v>
      </c>
    </row>
    <row r="53" spans="1:12" ht="18" customHeight="1" x14ac:dyDescent="0.25">
      <c r="A53" s="4">
        <v>84</v>
      </c>
      <c r="B53" s="4">
        <v>1813200782</v>
      </c>
      <c r="C53" s="241" t="s">
        <v>281</v>
      </c>
      <c r="D53" s="90">
        <v>0</v>
      </c>
      <c r="E53" s="90">
        <v>0</v>
      </c>
      <c r="F53" s="90">
        <v>7</v>
      </c>
      <c r="G53" s="99">
        <v>0</v>
      </c>
      <c r="H53" s="29">
        <v>0</v>
      </c>
      <c r="I53" s="4">
        <v>0</v>
      </c>
      <c r="J53" s="284" t="s">
        <v>1206</v>
      </c>
    </row>
    <row r="54" spans="1:12" ht="18" customHeight="1" x14ac:dyDescent="0.25">
      <c r="A54" s="4">
        <v>104</v>
      </c>
      <c r="B54" s="4">
        <v>1823500782</v>
      </c>
      <c r="C54" s="249" t="s">
        <v>1141</v>
      </c>
      <c r="D54" s="90">
        <v>0</v>
      </c>
      <c r="E54" s="90">
        <v>0</v>
      </c>
      <c r="F54" s="343">
        <v>300</v>
      </c>
      <c r="G54" s="131">
        <v>0</v>
      </c>
      <c r="H54" s="131">
        <v>0</v>
      </c>
      <c r="I54" s="308">
        <v>0</v>
      </c>
      <c r="J54" s="340" t="s">
        <v>1175</v>
      </c>
      <c r="K54" s="344" t="s">
        <v>1211</v>
      </c>
    </row>
    <row r="55" spans="1:12" x14ac:dyDescent="0.25">
      <c r="A55" s="59">
        <v>23</v>
      </c>
      <c r="B55" s="321">
        <v>1824300810</v>
      </c>
      <c r="C55" s="82" t="s">
        <v>317</v>
      </c>
      <c r="D55" s="262">
        <v>130</v>
      </c>
      <c r="E55" s="4">
        <v>0</v>
      </c>
      <c r="F55" s="4">
        <v>0</v>
      </c>
      <c r="G55" s="4">
        <v>0</v>
      </c>
      <c r="H55" s="320">
        <v>0</v>
      </c>
      <c r="I55" s="320">
        <v>0</v>
      </c>
      <c r="J55" s="342" t="s">
        <v>1175</v>
      </c>
      <c r="K55" s="161"/>
      <c r="L55" s="161"/>
    </row>
  </sheetData>
  <autoFilter ref="A1:J10" xr:uid="{CA10884B-E335-4FBC-B517-DCFDBD6FDA3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36"/>
  <sheetViews>
    <sheetView rightToLeft="1" zoomScaleNormal="100" zoomScaleSheetLayoutView="70" workbookViewId="0">
      <pane ySplit="4" topLeftCell="A72" activePane="bottomLeft" state="frozen"/>
      <selection pane="bottomLeft" activeCell="E95" sqref="E95"/>
    </sheetView>
  </sheetViews>
  <sheetFormatPr defaultColWidth="8.69921875" defaultRowHeight="13.8" x14ac:dyDescent="0.25"/>
  <cols>
    <col min="1" max="1" width="3.8984375" style="177" bestFit="1" customWidth="1"/>
    <col min="2" max="2" width="10.8984375" style="177" bestFit="1" customWidth="1"/>
    <col min="3" max="3" width="30.796875" style="201" bestFit="1" customWidth="1"/>
    <col min="4" max="4" width="11.3984375" style="179" bestFit="1" customWidth="1"/>
    <col min="5" max="5" width="14.19921875" style="179" bestFit="1" customWidth="1"/>
    <col min="6" max="6" width="12.796875" style="182" customWidth="1"/>
    <col min="7" max="7" width="23.59765625" style="292" customWidth="1"/>
    <col min="8" max="8" width="11.796875" style="182" bestFit="1" customWidth="1"/>
    <col min="9" max="9" width="28.5" style="182" bestFit="1" customWidth="1"/>
    <col min="10" max="10" width="13.796875" style="182" bestFit="1" customWidth="1"/>
    <col min="11" max="11" width="12.59765625" style="182" bestFit="1" customWidth="1"/>
    <col min="12" max="12" width="8.69921875" style="182" bestFit="1" customWidth="1"/>
    <col min="13" max="13" width="7.59765625" style="177" bestFit="1" customWidth="1"/>
    <col min="14" max="14" width="28.5" style="177" bestFit="1" customWidth="1"/>
    <col min="15" max="16384" width="8.69921875" style="177"/>
  </cols>
  <sheetData>
    <row r="1" spans="1:24" x14ac:dyDescent="0.25">
      <c r="A1" s="182"/>
      <c r="B1" s="182"/>
      <c r="C1" s="291"/>
      <c r="M1" s="182"/>
      <c r="N1" s="182"/>
    </row>
    <row r="2" spans="1:24" ht="23.1" customHeight="1" x14ac:dyDescent="0.25">
      <c r="A2" s="540" t="s">
        <v>1245</v>
      </c>
      <c r="B2" s="540"/>
      <c r="C2" s="540"/>
      <c r="D2" s="540"/>
      <c r="E2" s="540"/>
      <c r="F2" s="540"/>
      <c r="G2" s="540"/>
      <c r="H2" s="540"/>
      <c r="I2" s="540"/>
      <c r="J2" s="517"/>
      <c r="K2" s="517"/>
      <c r="L2" s="517"/>
      <c r="M2" s="517"/>
      <c r="N2" s="517"/>
    </row>
    <row r="3" spans="1:24" ht="10.199999999999999" customHeight="1" x14ac:dyDescent="0.25">
      <c r="A3" s="293"/>
      <c r="B3" s="293"/>
      <c r="C3" s="294"/>
      <c r="D3" s="293"/>
      <c r="E3" s="293"/>
      <c r="F3" s="293"/>
      <c r="G3" s="295"/>
      <c r="H3" s="293"/>
      <c r="I3" s="293"/>
      <c r="J3" s="293"/>
      <c r="K3" s="293"/>
      <c r="L3" s="293"/>
      <c r="M3" s="293"/>
      <c r="N3" s="293"/>
    </row>
    <row r="4" spans="1:24" s="197" customFormat="1" ht="84" customHeight="1" x14ac:dyDescent="0.25">
      <c r="A4" s="296" t="s">
        <v>623</v>
      </c>
      <c r="B4" s="296" t="s">
        <v>397</v>
      </c>
      <c r="C4" s="296" t="s">
        <v>398</v>
      </c>
      <c r="D4" s="296" t="s">
        <v>1250</v>
      </c>
      <c r="E4" s="296" t="s">
        <v>1061</v>
      </c>
      <c r="F4" s="296" t="s">
        <v>1059</v>
      </c>
      <c r="G4" s="296" t="s">
        <v>1060</v>
      </c>
      <c r="H4" s="296" t="s">
        <v>1058</v>
      </c>
      <c r="I4" s="296" t="s">
        <v>1248</v>
      </c>
      <c r="J4" s="513"/>
      <c r="K4" s="513"/>
      <c r="L4" s="513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</row>
    <row r="5" spans="1:24" s="182" customFormat="1" x14ac:dyDescent="0.25">
      <c r="A5" s="297">
        <v>1</v>
      </c>
      <c r="B5" s="297">
        <v>1111000100</v>
      </c>
      <c r="C5" s="408" t="s">
        <v>3</v>
      </c>
      <c r="D5" s="410">
        <f>171051+956</f>
        <v>172007</v>
      </c>
      <c r="E5" s="410">
        <v>180888</v>
      </c>
      <c r="F5" s="410">
        <v>99403</v>
      </c>
      <c r="G5" s="410">
        <f>179919+1800+600</f>
        <v>182319</v>
      </c>
      <c r="H5" s="410">
        <f>G5*1.0192+2000+2000</f>
        <v>189819.52480000001</v>
      </c>
      <c r="I5" s="409" t="s">
        <v>1219</v>
      </c>
    </row>
    <row r="6" spans="1:24" s="182" customFormat="1" x14ac:dyDescent="0.25">
      <c r="A6" s="543">
        <v>2</v>
      </c>
      <c r="B6" s="543">
        <v>1111000910</v>
      </c>
      <c r="C6" s="408" t="s">
        <v>496</v>
      </c>
      <c r="D6" s="411">
        <v>0</v>
      </c>
      <c r="E6" s="411">
        <v>0</v>
      </c>
      <c r="F6" s="410">
        <v>0</v>
      </c>
      <c r="G6" s="410">
        <v>0</v>
      </c>
      <c r="H6" s="410">
        <v>0</v>
      </c>
      <c r="I6" s="409"/>
    </row>
    <row r="7" spans="1:24" s="182" customFormat="1" x14ac:dyDescent="0.25">
      <c r="A7" s="544"/>
      <c r="B7" s="544"/>
      <c r="C7" s="408" t="s">
        <v>497</v>
      </c>
      <c r="D7" s="410">
        <v>1573</v>
      </c>
      <c r="E7" s="410">
        <v>1500</v>
      </c>
      <c r="F7" s="410">
        <v>0</v>
      </c>
      <c r="G7" s="410">
        <v>100</v>
      </c>
      <c r="H7" s="410">
        <v>40</v>
      </c>
      <c r="I7" s="409"/>
    </row>
    <row r="8" spans="1:24" s="182" customFormat="1" x14ac:dyDescent="0.25">
      <c r="A8" s="297">
        <v>3</v>
      </c>
      <c r="B8" s="297">
        <v>1111200100</v>
      </c>
      <c r="C8" s="412" t="s">
        <v>746</v>
      </c>
      <c r="D8" s="411">
        <v>3</v>
      </c>
      <c r="E8" s="411">
        <v>100</v>
      </c>
      <c r="F8" s="410">
        <v>2</v>
      </c>
      <c r="G8" s="410">
        <v>2</v>
      </c>
      <c r="H8" s="410">
        <v>0</v>
      </c>
      <c r="I8" s="300"/>
    </row>
    <row r="9" spans="1:24" s="182" customFormat="1" x14ac:dyDescent="0.25">
      <c r="A9" s="405">
        <v>4</v>
      </c>
      <c r="B9" s="297">
        <v>1113000100</v>
      </c>
      <c r="C9" s="408" t="s">
        <v>957</v>
      </c>
      <c r="D9" s="410">
        <v>33076</v>
      </c>
      <c r="E9" s="410">
        <v>27000</v>
      </c>
      <c r="F9" s="410">
        <v>20123</v>
      </c>
      <c r="G9" s="410">
        <f>(20123/23285)*39425-2000</f>
        <v>32071.25939445995</v>
      </c>
      <c r="H9" s="410">
        <v>32000</v>
      </c>
      <c r="I9" s="409"/>
    </row>
    <row r="10" spans="1:24" s="182" customFormat="1" x14ac:dyDescent="0.25">
      <c r="A10" s="297">
        <v>5</v>
      </c>
      <c r="B10" s="297">
        <v>1121000220</v>
      </c>
      <c r="C10" s="408" t="s">
        <v>4</v>
      </c>
      <c r="D10" s="411">
        <v>67</v>
      </c>
      <c r="E10" s="411">
        <v>60.3</v>
      </c>
      <c r="F10" s="410">
        <v>32</v>
      </c>
      <c r="G10" s="410">
        <v>60</v>
      </c>
      <c r="H10" s="410">
        <v>60</v>
      </c>
      <c r="I10" s="409"/>
    </row>
    <row r="11" spans="1:24" s="407" customFormat="1" x14ac:dyDescent="0.25">
      <c r="A11" s="297">
        <v>6</v>
      </c>
      <c r="B11" s="297">
        <v>1121100220</v>
      </c>
      <c r="C11" s="408" t="s">
        <v>5</v>
      </c>
      <c r="D11" s="411">
        <v>297</v>
      </c>
      <c r="E11" s="411">
        <v>350</v>
      </c>
      <c r="F11" s="410">
        <v>261</v>
      </c>
      <c r="G11" s="410">
        <v>300</v>
      </c>
      <c r="H11" s="410">
        <v>300</v>
      </c>
      <c r="I11" s="409"/>
    </row>
    <row r="12" spans="1:24" s="182" customFormat="1" x14ac:dyDescent="0.25">
      <c r="A12" s="297">
        <v>7</v>
      </c>
      <c r="B12" s="297">
        <v>1122000210</v>
      </c>
      <c r="C12" s="408" t="s">
        <v>6</v>
      </c>
      <c r="D12" s="411">
        <v>1195</v>
      </c>
      <c r="E12" s="411">
        <v>1440</v>
      </c>
      <c r="F12" s="410">
        <v>797</v>
      </c>
      <c r="G12" s="410">
        <v>1131</v>
      </c>
      <c r="H12" s="410">
        <v>1300</v>
      </c>
      <c r="I12" s="409"/>
    </row>
    <row r="13" spans="1:24" s="407" customFormat="1" x14ac:dyDescent="0.25">
      <c r="A13" s="297">
        <v>8</v>
      </c>
      <c r="B13" s="297">
        <v>1122000211</v>
      </c>
      <c r="C13" s="408" t="s">
        <v>608</v>
      </c>
      <c r="D13" s="411">
        <v>95</v>
      </c>
      <c r="E13" s="411">
        <v>85</v>
      </c>
      <c r="F13" s="410">
        <v>117</v>
      </c>
      <c r="G13" s="410">
        <v>117</v>
      </c>
      <c r="H13" s="410">
        <f>85*1.17</f>
        <v>99.449999999999989</v>
      </c>
      <c r="I13" s="409"/>
    </row>
    <row r="14" spans="1:24" s="182" customFormat="1" x14ac:dyDescent="0.25">
      <c r="A14" s="297">
        <v>9</v>
      </c>
      <c r="B14" s="297">
        <v>1129000290</v>
      </c>
      <c r="C14" s="408" t="s">
        <v>7</v>
      </c>
      <c r="D14" s="411">
        <v>34</v>
      </c>
      <c r="E14" s="411">
        <v>130</v>
      </c>
      <c r="F14" s="410">
        <v>29</v>
      </c>
      <c r="G14" s="410">
        <v>40</v>
      </c>
      <c r="H14" s="410">
        <v>40</v>
      </c>
      <c r="I14" s="409"/>
    </row>
    <row r="15" spans="1:24" s="182" customFormat="1" x14ac:dyDescent="0.25">
      <c r="A15" s="405">
        <v>10</v>
      </c>
      <c r="B15" s="297">
        <v>1129000291</v>
      </c>
      <c r="C15" s="408" t="s">
        <v>726</v>
      </c>
      <c r="D15" s="411">
        <v>18</v>
      </c>
      <c r="E15" s="411">
        <v>40</v>
      </c>
      <c r="F15" s="410">
        <v>6</v>
      </c>
      <c r="G15" s="410">
        <v>20</v>
      </c>
      <c r="H15" s="410">
        <v>20</v>
      </c>
      <c r="I15" s="409"/>
    </row>
    <row r="16" spans="1:24" s="182" customFormat="1" x14ac:dyDescent="0.25">
      <c r="A16" s="409">
        <v>11</v>
      </c>
      <c r="B16" s="297">
        <v>1191000910</v>
      </c>
      <c r="C16" s="408" t="s">
        <v>8</v>
      </c>
      <c r="D16" s="410">
        <v>7319</v>
      </c>
      <c r="E16" s="410">
        <v>7319</v>
      </c>
      <c r="F16" s="410">
        <v>3194</v>
      </c>
      <c r="G16" s="410">
        <v>6400</v>
      </c>
      <c r="H16" s="410">
        <v>7300</v>
      </c>
      <c r="I16" s="409"/>
    </row>
    <row r="17" spans="1:9" s="182" customFormat="1" ht="18" customHeight="1" x14ac:dyDescent="0.25">
      <c r="A17" s="297">
        <v>12</v>
      </c>
      <c r="B17" s="297">
        <v>1192000910</v>
      </c>
      <c r="C17" s="408" t="s">
        <v>9</v>
      </c>
      <c r="D17" s="410">
        <v>5988</v>
      </c>
      <c r="E17" s="410">
        <v>4454.0688</v>
      </c>
      <c r="F17" s="410">
        <v>10</v>
      </c>
      <c r="G17" s="410">
        <v>4307</v>
      </c>
      <c r="H17" s="410">
        <v>4307</v>
      </c>
      <c r="I17" s="300"/>
    </row>
    <row r="18" spans="1:9" s="182" customFormat="1" ht="15" customHeight="1" x14ac:dyDescent="0.25">
      <c r="A18" s="405">
        <v>13</v>
      </c>
      <c r="B18" s="297">
        <v>1196000910</v>
      </c>
      <c r="C18" s="408" t="s">
        <v>1243</v>
      </c>
      <c r="D18" s="411"/>
      <c r="E18" s="411"/>
      <c r="F18" s="410"/>
      <c r="G18" s="410"/>
      <c r="H18" s="410">
        <v>200</v>
      </c>
      <c r="I18" s="300"/>
    </row>
    <row r="19" spans="1:9" s="182" customFormat="1" x14ac:dyDescent="0.25">
      <c r="A19" s="297">
        <v>14</v>
      </c>
      <c r="B19" s="297">
        <v>1212300650</v>
      </c>
      <c r="C19" s="408" t="s">
        <v>10</v>
      </c>
      <c r="D19" s="411">
        <v>148</v>
      </c>
      <c r="E19" s="411">
        <v>480</v>
      </c>
      <c r="F19" s="410">
        <v>278</v>
      </c>
      <c r="G19" s="410">
        <v>480</v>
      </c>
      <c r="H19" s="410">
        <v>500</v>
      </c>
      <c r="I19" s="409"/>
    </row>
    <row r="20" spans="1:9" s="182" customFormat="1" x14ac:dyDescent="0.25">
      <c r="A20" s="297">
        <v>15</v>
      </c>
      <c r="B20" s="297">
        <v>1212300690</v>
      </c>
      <c r="C20" s="408" t="s">
        <v>11</v>
      </c>
      <c r="D20" s="411">
        <v>12</v>
      </c>
      <c r="E20" s="411">
        <v>18</v>
      </c>
      <c r="F20" s="410">
        <v>6</v>
      </c>
      <c r="G20" s="410">
        <v>15</v>
      </c>
      <c r="H20" s="410">
        <v>15</v>
      </c>
      <c r="I20" s="409"/>
    </row>
    <row r="21" spans="1:9" s="182" customFormat="1" x14ac:dyDescent="0.25">
      <c r="A21" s="297">
        <v>16</v>
      </c>
      <c r="B21" s="297">
        <v>1214200220</v>
      </c>
      <c r="C21" s="408" t="s">
        <v>12</v>
      </c>
      <c r="D21" s="411">
        <v>12</v>
      </c>
      <c r="E21" s="411">
        <v>350</v>
      </c>
      <c r="F21" s="410">
        <v>316</v>
      </c>
      <c r="G21" s="410">
        <v>350</v>
      </c>
      <c r="H21" s="410">
        <v>350</v>
      </c>
      <c r="I21" s="300"/>
    </row>
    <row r="22" spans="1:9" s="182" customFormat="1" x14ac:dyDescent="0.25">
      <c r="A22" s="297">
        <v>17</v>
      </c>
      <c r="B22" s="297">
        <v>1214210220</v>
      </c>
      <c r="C22" s="408" t="s">
        <v>1057</v>
      </c>
      <c r="D22" s="411">
        <v>505</v>
      </c>
      <c r="E22" s="411">
        <v>250</v>
      </c>
      <c r="F22" s="410">
        <v>67</v>
      </c>
      <c r="G22" s="410">
        <v>67</v>
      </c>
      <c r="H22" s="410">
        <v>150</v>
      </c>
      <c r="I22" s="300"/>
    </row>
    <row r="23" spans="1:9" s="182" customFormat="1" x14ac:dyDescent="0.25">
      <c r="A23" s="297">
        <v>18</v>
      </c>
      <c r="B23" s="297">
        <v>1222100910</v>
      </c>
      <c r="C23" s="408" t="s">
        <v>13</v>
      </c>
      <c r="D23" s="411">
        <v>0</v>
      </c>
      <c r="E23" s="411">
        <v>12</v>
      </c>
      <c r="F23" s="410">
        <v>0</v>
      </c>
      <c r="G23" s="410">
        <v>12</v>
      </c>
      <c r="H23" s="410">
        <v>12</v>
      </c>
      <c r="I23" s="300"/>
    </row>
    <row r="24" spans="1:9" s="182" customFormat="1" x14ac:dyDescent="0.25">
      <c r="A24" s="297">
        <v>19</v>
      </c>
      <c r="B24" s="297">
        <v>1229000440</v>
      </c>
      <c r="C24" s="408" t="s">
        <v>1143</v>
      </c>
      <c r="D24" s="411">
        <v>0</v>
      </c>
      <c r="E24" s="411">
        <v>0</v>
      </c>
      <c r="F24" s="410">
        <v>0</v>
      </c>
      <c r="G24" s="410">
        <v>50</v>
      </c>
      <c r="H24" s="410">
        <v>50</v>
      </c>
      <c r="I24" s="300"/>
    </row>
    <row r="25" spans="1:9" s="292" customFormat="1" x14ac:dyDescent="0.25">
      <c r="A25" s="297">
        <v>20</v>
      </c>
      <c r="B25" s="298">
        <v>1229999910</v>
      </c>
      <c r="C25" s="408" t="s">
        <v>498</v>
      </c>
      <c r="D25" s="410">
        <v>1282</v>
      </c>
      <c r="E25" s="410">
        <v>926</v>
      </c>
      <c r="F25" s="410">
        <v>0</v>
      </c>
      <c r="G25" s="410">
        <v>481</v>
      </c>
      <c r="H25" s="410">
        <v>0</v>
      </c>
      <c r="I25" s="300"/>
    </row>
    <row r="26" spans="1:9" s="182" customFormat="1" x14ac:dyDescent="0.25">
      <c r="A26" s="297">
        <v>21</v>
      </c>
      <c r="B26" s="297">
        <v>1230000690</v>
      </c>
      <c r="C26" s="408" t="s">
        <v>14</v>
      </c>
      <c r="D26" s="410">
        <v>9725</v>
      </c>
      <c r="E26" s="410">
        <v>8091</v>
      </c>
      <c r="F26" s="410">
        <v>900</v>
      </c>
      <c r="G26" s="410">
        <f>5422*1.15+12878-1800-3500-1775+3</f>
        <v>12041.3</v>
      </c>
      <c r="H26" s="410">
        <f>5500*1.15+14732-2000-4000-436+3</f>
        <v>14624</v>
      </c>
      <c r="I26" s="300"/>
    </row>
    <row r="27" spans="1:9" s="182" customFormat="1" ht="14.25" hidden="1" customHeight="1" x14ac:dyDescent="0.25">
      <c r="A27" s="297">
        <v>17</v>
      </c>
      <c r="B27" s="297">
        <v>1232000690</v>
      </c>
      <c r="C27" s="408" t="s">
        <v>727</v>
      </c>
      <c r="D27" s="410" t="s">
        <v>878</v>
      </c>
      <c r="E27" s="410">
        <v>0</v>
      </c>
      <c r="F27" s="410"/>
      <c r="G27" s="410"/>
      <c r="H27" s="410"/>
      <c r="I27" s="409"/>
    </row>
    <row r="28" spans="1:9" s="182" customFormat="1" x14ac:dyDescent="0.25">
      <c r="A28" s="297">
        <v>22</v>
      </c>
      <c r="B28" s="297">
        <v>1233100290</v>
      </c>
      <c r="C28" s="408" t="s">
        <v>15</v>
      </c>
      <c r="D28" s="410">
        <v>2959</v>
      </c>
      <c r="E28" s="410">
        <v>4000</v>
      </c>
      <c r="F28" s="410">
        <v>1572</v>
      </c>
      <c r="G28" s="410">
        <f>2200+600+793</f>
        <v>3593</v>
      </c>
      <c r="H28" s="410">
        <v>4000</v>
      </c>
      <c r="I28" s="409"/>
    </row>
    <row r="29" spans="1:9" s="182" customFormat="1" x14ac:dyDescent="0.25">
      <c r="A29" s="297">
        <v>23</v>
      </c>
      <c r="B29" s="297">
        <v>1269000540</v>
      </c>
      <c r="C29" s="408" t="s">
        <v>16</v>
      </c>
      <c r="D29" s="411">
        <v>101</v>
      </c>
      <c r="E29" s="411">
        <v>200</v>
      </c>
      <c r="F29" s="410">
        <v>60</v>
      </c>
      <c r="G29" s="410">
        <v>250</v>
      </c>
      <c r="H29" s="410">
        <v>300</v>
      </c>
      <c r="I29" s="409"/>
    </row>
    <row r="30" spans="1:9" s="182" customFormat="1" x14ac:dyDescent="0.25">
      <c r="A30" s="297">
        <v>24</v>
      </c>
      <c r="B30" s="297">
        <v>1269000620</v>
      </c>
      <c r="C30" s="408" t="s">
        <v>17</v>
      </c>
      <c r="D30" s="411">
        <v>10</v>
      </c>
      <c r="E30" s="411">
        <v>110</v>
      </c>
      <c r="F30" s="410">
        <v>42</v>
      </c>
      <c r="G30" s="410">
        <v>42</v>
      </c>
      <c r="H30" s="410">
        <f>70+20</f>
        <v>90</v>
      </c>
      <c r="I30" s="300"/>
    </row>
    <row r="31" spans="1:9" s="182" customFormat="1" x14ac:dyDescent="0.25">
      <c r="A31" s="297">
        <v>25</v>
      </c>
      <c r="B31" s="297">
        <v>1269000690</v>
      </c>
      <c r="C31" s="408" t="s">
        <v>18</v>
      </c>
      <c r="D31" s="411">
        <f>3782+12</f>
        <v>3794</v>
      </c>
      <c r="E31" s="411">
        <v>1000</v>
      </c>
      <c r="F31" s="410">
        <v>141</v>
      </c>
      <c r="G31" s="410">
        <f>1000+3049</f>
        <v>4049</v>
      </c>
      <c r="H31" s="410">
        <v>1000</v>
      </c>
      <c r="I31" s="409"/>
    </row>
    <row r="32" spans="1:9" s="182" customFormat="1" ht="14.25" hidden="1" customHeight="1" x14ac:dyDescent="0.25">
      <c r="A32" s="297">
        <v>22</v>
      </c>
      <c r="B32" s="297">
        <v>1269000696</v>
      </c>
      <c r="C32" s="408" t="s">
        <v>487</v>
      </c>
      <c r="D32" s="411" t="s">
        <v>879</v>
      </c>
      <c r="E32" s="411">
        <v>0</v>
      </c>
      <c r="F32" s="410"/>
      <c r="G32" s="410"/>
      <c r="H32" s="410"/>
      <c r="I32" s="409"/>
    </row>
    <row r="33" spans="1:9" s="182" customFormat="1" x14ac:dyDescent="0.25">
      <c r="A33" s="297">
        <v>26</v>
      </c>
      <c r="B33" s="297">
        <v>1269011690</v>
      </c>
      <c r="C33" s="408" t="s">
        <v>19</v>
      </c>
      <c r="D33" s="411">
        <v>97</v>
      </c>
      <c r="E33" s="411">
        <v>120</v>
      </c>
      <c r="F33" s="410">
        <v>9</v>
      </c>
      <c r="G33" s="410">
        <v>20</v>
      </c>
      <c r="H33" s="410">
        <v>20</v>
      </c>
      <c r="I33" s="409"/>
    </row>
    <row r="34" spans="1:9" s="182" customFormat="1" x14ac:dyDescent="0.25">
      <c r="A34" s="297">
        <v>27</v>
      </c>
      <c r="B34" s="297">
        <v>1269012690</v>
      </c>
      <c r="C34" s="408" t="s">
        <v>20</v>
      </c>
      <c r="D34" s="411">
        <v>29</v>
      </c>
      <c r="E34" s="411">
        <v>40</v>
      </c>
      <c r="F34" s="410">
        <v>13</v>
      </c>
      <c r="G34" s="410">
        <v>40</v>
      </c>
      <c r="H34" s="410">
        <v>40</v>
      </c>
      <c r="I34" s="409"/>
    </row>
    <row r="35" spans="1:9" s="182" customFormat="1" ht="14.25" hidden="1" customHeight="1" x14ac:dyDescent="0.25">
      <c r="A35" s="297">
        <v>25</v>
      </c>
      <c r="B35" s="297">
        <v>1269022690</v>
      </c>
      <c r="C35" s="408" t="s">
        <v>21</v>
      </c>
      <c r="D35" s="411" t="s">
        <v>879</v>
      </c>
      <c r="E35" s="411">
        <v>0</v>
      </c>
      <c r="F35" s="410"/>
      <c r="G35" s="410"/>
      <c r="H35" s="410"/>
      <c r="I35" s="409"/>
    </row>
    <row r="36" spans="1:9" s="182" customFormat="1" ht="15" hidden="1" customHeight="1" x14ac:dyDescent="0.25">
      <c r="A36" s="297">
        <v>26</v>
      </c>
      <c r="B36" s="297">
        <v>1269023690</v>
      </c>
      <c r="C36" s="408" t="s">
        <v>747</v>
      </c>
      <c r="D36" s="411" t="s">
        <v>879</v>
      </c>
      <c r="E36" s="411">
        <v>0</v>
      </c>
      <c r="F36" s="410"/>
      <c r="G36" s="410"/>
      <c r="H36" s="410"/>
      <c r="I36" s="409"/>
    </row>
    <row r="37" spans="1:9" s="182" customFormat="1" ht="14.25" hidden="1" customHeight="1" x14ac:dyDescent="0.25">
      <c r="A37" s="297">
        <v>27</v>
      </c>
      <c r="B37" s="297">
        <v>1269034690</v>
      </c>
      <c r="C37" s="408" t="s">
        <v>22</v>
      </c>
      <c r="D37" s="411" t="s">
        <v>879</v>
      </c>
      <c r="E37" s="411">
        <v>0</v>
      </c>
      <c r="F37" s="410"/>
      <c r="G37" s="410"/>
      <c r="H37" s="410"/>
      <c r="I37" s="409"/>
    </row>
    <row r="38" spans="1:9" s="182" customFormat="1" ht="14.25" hidden="1" customHeight="1" x14ac:dyDescent="0.25">
      <c r="A38" s="297">
        <v>28</v>
      </c>
      <c r="B38" s="297">
        <v>1269042690</v>
      </c>
      <c r="C38" s="408" t="s">
        <v>23</v>
      </c>
      <c r="D38" s="411" t="s">
        <v>879</v>
      </c>
      <c r="E38" s="411">
        <v>0</v>
      </c>
      <c r="F38" s="410"/>
      <c r="G38" s="410"/>
      <c r="H38" s="410"/>
      <c r="I38" s="409"/>
    </row>
    <row r="39" spans="1:9" s="182" customFormat="1" x14ac:dyDescent="0.25">
      <c r="A39" s="297">
        <v>28</v>
      </c>
      <c r="B39" s="297">
        <v>1269050690</v>
      </c>
      <c r="C39" s="408" t="s">
        <v>602</v>
      </c>
      <c r="D39" s="411">
        <v>4</v>
      </c>
      <c r="E39" s="411">
        <v>10</v>
      </c>
      <c r="F39" s="410">
        <v>6</v>
      </c>
      <c r="G39" s="410">
        <v>12</v>
      </c>
      <c r="H39" s="410">
        <v>12</v>
      </c>
      <c r="I39" s="409"/>
    </row>
    <row r="40" spans="1:9" s="292" customFormat="1" x14ac:dyDescent="0.25">
      <c r="A40" s="297">
        <v>29</v>
      </c>
      <c r="B40" s="298">
        <v>1269053690</v>
      </c>
      <c r="C40" s="408" t="s">
        <v>538</v>
      </c>
      <c r="D40" s="411">
        <v>359</v>
      </c>
      <c r="E40" s="411">
        <v>400</v>
      </c>
      <c r="F40" s="410">
        <v>7</v>
      </c>
      <c r="G40" s="410">
        <f>(500+330+20*4)*350*1.17/1000</f>
        <v>372.64499999999998</v>
      </c>
      <c r="H40" s="410">
        <f>580*350*1.17/1000</f>
        <v>237.51</v>
      </c>
      <c r="I40" s="409"/>
    </row>
    <row r="41" spans="1:9" s="182" customFormat="1" x14ac:dyDescent="0.25">
      <c r="A41" s="297">
        <v>30</v>
      </c>
      <c r="B41" s="297">
        <v>1269056690</v>
      </c>
      <c r="C41" s="408" t="s">
        <v>24</v>
      </c>
      <c r="D41" s="411">
        <v>223</v>
      </c>
      <c r="E41" s="411">
        <v>200</v>
      </c>
      <c r="F41" s="410">
        <v>148</v>
      </c>
      <c r="G41" s="410">
        <v>300</v>
      </c>
      <c r="H41" s="410">
        <v>300</v>
      </c>
      <c r="I41" s="184"/>
    </row>
    <row r="42" spans="1:9" s="182" customFormat="1" x14ac:dyDescent="0.25">
      <c r="A42" s="297">
        <v>31</v>
      </c>
      <c r="B42" s="297">
        <v>1269063690</v>
      </c>
      <c r="C42" s="408" t="s">
        <v>25</v>
      </c>
      <c r="D42" s="411">
        <v>9</v>
      </c>
      <c r="E42" s="411">
        <v>30</v>
      </c>
      <c r="F42" s="410">
        <v>48</v>
      </c>
      <c r="G42" s="410">
        <f>95+72</f>
        <v>167</v>
      </c>
      <c r="H42" s="410">
        <v>30</v>
      </c>
      <c r="I42" s="398"/>
    </row>
    <row r="43" spans="1:9" s="182" customFormat="1" x14ac:dyDescent="0.25">
      <c r="A43" s="297">
        <v>32</v>
      </c>
      <c r="B43" s="297">
        <v>1269069690</v>
      </c>
      <c r="C43" s="408" t="s">
        <v>26</v>
      </c>
      <c r="D43" s="411">
        <v>320</v>
      </c>
      <c r="E43" s="411">
        <v>450</v>
      </c>
      <c r="F43" s="410">
        <v>8</v>
      </c>
      <c r="G43" s="410">
        <v>544</v>
      </c>
      <c r="H43" s="410">
        <v>550</v>
      </c>
      <c r="I43" s="409"/>
    </row>
    <row r="44" spans="1:9" s="182" customFormat="1" x14ac:dyDescent="0.25">
      <c r="A44" s="297">
        <v>33</v>
      </c>
      <c r="B44" s="297">
        <v>1269099690</v>
      </c>
      <c r="C44" s="413" t="s">
        <v>1105</v>
      </c>
      <c r="D44" s="411">
        <v>0</v>
      </c>
      <c r="E44" s="411">
        <v>0</v>
      </c>
      <c r="F44" s="410">
        <v>8</v>
      </c>
      <c r="G44" s="410">
        <f>8*4</f>
        <v>32</v>
      </c>
      <c r="H44" s="410">
        <v>32</v>
      </c>
      <c r="I44" s="409"/>
    </row>
    <row r="45" spans="1:9" s="182" customFormat="1" x14ac:dyDescent="0.25">
      <c r="A45" s="297">
        <v>34</v>
      </c>
      <c r="B45" s="297">
        <v>1269074690</v>
      </c>
      <c r="C45" s="408" t="s">
        <v>27</v>
      </c>
      <c r="D45" s="411">
        <v>4</v>
      </c>
      <c r="E45" s="411">
        <v>7</v>
      </c>
      <c r="F45" s="410">
        <v>5</v>
      </c>
      <c r="G45" s="410">
        <v>5</v>
      </c>
      <c r="H45" s="410">
        <v>0</v>
      </c>
      <c r="I45" s="409" t="s">
        <v>1176</v>
      </c>
    </row>
    <row r="46" spans="1:9" s="182" customFormat="1" ht="14.25" customHeight="1" x14ac:dyDescent="0.25">
      <c r="A46" s="297">
        <v>35</v>
      </c>
      <c r="B46" s="297">
        <v>1269023690</v>
      </c>
      <c r="C46" s="408" t="s">
        <v>1159</v>
      </c>
      <c r="D46" s="411">
        <v>0</v>
      </c>
      <c r="E46" s="411">
        <v>0</v>
      </c>
      <c r="F46" s="410">
        <v>0</v>
      </c>
      <c r="G46" s="410">
        <v>81</v>
      </c>
      <c r="H46" s="410">
        <v>40</v>
      </c>
      <c r="I46" s="299"/>
    </row>
    <row r="47" spans="1:9" s="182" customFormat="1" x14ac:dyDescent="0.25">
      <c r="A47" s="297">
        <v>36</v>
      </c>
      <c r="B47" s="297">
        <v>1269100990</v>
      </c>
      <c r="C47" s="408" t="s">
        <v>730</v>
      </c>
      <c r="D47" s="411">
        <v>359</v>
      </c>
      <c r="E47" s="411">
        <v>200</v>
      </c>
      <c r="F47" s="410">
        <v>0</v>
      </c>
      <c r="G47" s="410">
        <v>200</v>
      </c>
      <c r="H47" s="410">
        <v>200</v>
      </c>
      <c r="I47" s="409"/>
    </row>
    <row r="48" spans="1:9" s="182" customFormat="1" ht="15" customHeight="1" x14ac:dyDescent="0.25">
      <c r="A48" s="297">
        <v>37</v>
      </c>
      <c r="B48" s="297">
        <v>1269200690</v>
      </c>
      <c r="C48" s="408" t="s">
        <v>28</v>
      </c>
      <c r="D48" s="411">
        <v>13</v>
      </c>
      <c r="E48" s="411">
        <v>0</v>
      </c>
      <c r="F48" s="410">
        <v>6</v>
      </c>
      <c r="G48" s="410">
        <v>13</v>
      </c>
      <c r="H48" s="410">
        <v>13</v>
      </c>
      <c r="I48" s="409"/>
    </row>
    <row r="49" spans="1:9" s="182" customFormat="1" x14ac:dyDescent="0.25">
      <c r="A49" s="297">
        <v>38</v>
      </c>
      <c r="B49" s="297">
        <v>1272000640</v>
      </c>
      <c r="C49" s="408" t="s">
        <v>955</v>
      </c>
      <c r="D49" s="411">
        <v>258</v>
      </c>
      <c r="E49" s="411">
        <v>400</v>
      </c>
      <c r="F49" s="410">
        <v>242</v>
      </c>
      <c r="G49" s="410">
        <v>440</v>
      </c>
      <c r="H49" s="410">
        <v>450</v>
      </c>
      <c r="I49" s="409" t="s">
        <v>1177</v>
      </c>
    </row>
    <row r="50" spans="1:9" s="182" customFormat="1" x14ac:dyDescent="0.25">
      <c r="A50" s="297">
        <v>39</v>
      </c>
      <c r="B50" s="297">
        <v>1273200690</v>
      </c>
      <c r="C50" s="408" t="s">
        <v>29</v>
      </c>
      <c r="D50" s="411">
        <v>1476</v>
      </c>
      <c r="E50" s="411">
        <v>869</v>
      </c>
      <c r="F50" s="410">
        <v>369</v>
      </c>
      <c r="G50" s="410">
        <v>1060</v>
      </c>
      <c r="H50" s="410">
        <v>0</v>
      </c>
      <c r="I50" s="300"/>
    </row>
    <row r="51" spans="1:9" s="182" customFormat="1" x14ac:dyDescent="0.25">
      <c r="A51" s="297">
        <v>40</v>
      </c>
      <c r="B51" s="297">
        <v>1281200690</v>
      </c>
      <c r="C51" s="408" t="s">
        <v>30</v>
      </c>
      <c r="D51" s="411">
        <v>359</v>
      </c>
      <c r="E51" s="411">
        <v>300</v>
      </c>
      <c r="F51" s="410">
        <v>102</v>
      </c>
      <c r="G51" s="410">
        <v>200</v>
      </c>
      <c r="H51" s="410">
        <v>200</v>
      </c>
      <c r="I51" s="409"/>
    </row>
    <row r="52" spans="1:9" s="182" customFormat="1" x14ac:dyDescent="0.25">
      <c r="A52" s="297">
        <v>41</v>
      </c>
      <c r="B52" s="297">
        <v>1282000690</v>
      </c>
      <c r="C52" s="408" t="s">
        <v>31</v>
      </c>
      <c r="D52" s="411">
        <v>147</v>
      </c>
      <c r="E52" s="411">
        <v>200</v>
      </c>
      <c r="F52" s="410">
        <v>103</v>
      </c>
      <c r="G52" s="541">
        <v>250</v>
      </c>
      <c r="H52" s="541">
        <v>250</v>
      </c>
      <c r="I52" s="543" t="s">
        <v>1240</v>
      </c>
    </row>
    <row r="53" spans="1:9" s="182" customFormat="1" x14ac:dyDescent="0.25">
      <c r="A53" s="297">
        <v>42</v>
      </c>
      <c r="B53" s="297">
        <v>1282100690</v>
      </c>
      <c r="C53" s="408" t="s">
        <v>32</v>
      </c>
      <c r="D53" s="410">
        <v>6</v>
      </c>
      <c r="E53" s="410">
        <v>300</v>
      </c>
      <c r="F53" s="410">
        <v>43</v>
      </c>
      <c r="G53" s="542"/>
      <c r="H53" s="542"/>
      <c r="I53" s="544"/>
    </row>
    <row r="54" spans="1:9" s="407" customFormat="1" ht="15.6" x14ac:dyDescent="0.25">
      <c r="A54" s="543">
        <v>43</v>
      </c>
      <c r="B54" s="301">
        <v>31</v>
      </c>
      <c r="C54" s="518" t="s">
        <v>388</v>
      </c>
      <c r="D54" s="410">
        <f>'הכנסות חינוך 3'!D49</f>
        <v>48287</v>
      </c>
      <c r="E54" s="410">
        <v>43940.5</v>
      </c>
      <c r="F54" s="410">
        <f>'הכנסות חינוך 3'!F49</f>
        <v>27096</v>
      </c>
      <c r="G54" s="410">
        <f>'הכנסות חינוך 3'!G49</f>
        <v>48151</v>
      </c>
      <c r="H54" s="410">
        <f>'הכנסות חינוך 3'!H49</f>
        <v>45621</v>
      </c>
      <c r="I54" s="302" t="s">
        <v>1016</v>
      </c>
    </row>
    <row r="55" spans="1:9" s="182" customFormat="1" ht="15.6" x14ac:dyDescent="0.25">
      <c r="A55" s="544"/>
      <c r="B55" s="301">
        <v>31</v>
      </c>
      <c r="C55" s="518" t="s">
        <v>389</v>
      </c>
      <c r="D55" s="411">
        <f>'הכנסות חינוך 3'!D66</f>
        <v>2412</v>
      </c>
      <c r="E55" s="411">
        <v>2280</v>
      </c>
      <c r="F55" s="410">
        <f>'הכנסות חינוך 3'!F66</f>
        <v>970</v>
      </c>
      <c r="G55" s="410">
        <f>'הכנסות חינוך 3'!G66</f>
        <v>2145.4169999999999</v>
      </c>
      <c r="H55" s="410">
        <f>'הכנסות חינוך 3'!H66</f>
        <v>2127</v>
      </c>
      <c r="I55" s="302" t="s">
        <v>1016</v>
      </c>
    </row>
    <row r="56" spans="1:9" s="182" customFormat="1" ht="15.6" x14ac:dyDescent="0.25">
      <c r="A56" s="297">
        <v>44</v>
      </c>
      <c r="B56" s="301">
        <v>31</v>
      </c>
      <c r="C56" s="518" t="s">
        <v>390</v>
      </c>
      <c r="D56" s="411">
        <f>'הכנסות חינוך 3'!D52</f>
        <v>4979</v>
      </c>
      <c r="E56" s="411">
        <v>7400</v>
      </c>
      <c r="F56" s="410">
        <f>'הכנסות חינוך 3'!F52</f>
        <v>0</v>
      </c>
      <c r="G56" s="410">
        <f>'הכנסות חינוך 3'!G52</f>
        <v>7400</v>
      </c>
      <c r="H56" s="410">
        <f>'הכנסות חינוך 3'!H52</f>
        <v>7400</v>
      </c>
      <c r="I56" s="302" t="s">
        <v>1016</v>
      </c>
    </row>
    <row r="57" spans="1:9" s="182" customFormat="1" ht="15.6" x14ac:dyDescent="0.25">
      <c r="A57" s="543">
        <v>45</v>
      </c>
      <c r="B57" s="301">
        <v>32</v>
      </c>
      <c r="C57" s="518" t="s">
        <v>391</v>
      </c>
      <c r="D57" s="411">
        <f>'הכנסות תרבות 4'!D9</f>
        <v>1089</v>
      </c>
      <c r="E57" s="411">
        <v>1690</v>
      </c>
      <c r="F57" s="410">
        <f>'הכנסות תרבות 4'!F9</f>
        <v>212</v>
      </c>
      <c r="G57" s="410">
        <f>'הכנסות תרבות 4'!G9</f>
        <v>1510</v>
      </c>
      <c r="H57" s="410">
        <f>'הכנסות תרבות 4'!H9</f>
        <v>1650</v>
      </c>
      <c r="I57" s="302" t="s">
        <v>1017</v>
      </c>
    </row>
    <row r="58" spans="1:9" s="182" customFormat="1" ht="15.6" x14ac:dyDescent="0.25">
      <c r="A58" s="544"/>
      <c r="B58" s="301">
        <v>32</v>
      </c>
      <c r="C58" s="518" t="s">
        <v>392</v>
      </c>
      <c r="D58" s="411">
        <f>'הכנסות תרבות 4'!D21</f>
        <v>2560</v>
      </c>
      <c r="E58" s="411">
        <v>3338</v>
      </c>
      <c r="F58" s="410">
        <f>'הכנסות תרבות 4'!F21</f>
        <v>1408</v>
      </c>
      <c r="G58" s="410">
        <f>'הכנסות תרבות 4'!G21</f>
        <v>2930</v>
      </c>
      <c r="H58" s="410">
        <f>'הכנסות תרבות 4'!H21</f>
        <v>2430</v>
      </c>
      <c r="I58" s="302" t="s">
        <v>1017</v>
      </c>
    </row>
    <row r="59" spans="1:9" s="182" customFormat="1" ht="15.6" x14ac:dyDescent="0.25">
      <c r="A59" s="543">
        <v>46</v>
      </c>
      <c r="B59" s="301">
        <v>32</v>
      </c>
      <c r="C59" s="518" t="s">
        <v>393</v>
      </c>
      <c r="D59" s="411">
        <f>'הכנסות תרבות 4'!D29-'הכנסות תרבות 4'!D28</f>
        <v>518</v>
      </c>
      <c r="E59" s="411">
        <v>950</v>
      </c>
      <c r="F59" s="410">
        <f>'הכנסות תרבות 4'!F29</f>
        <v>0</v>
      </c>
      <c r="G59" s="410">
        <f>'הכנסות תרבות 4'!G26+'הכנסות תרבות 4'!G27</f>
        <v>0</v>
      </c>
      <c r="H59" s="410">
        <f>'הכנסות תרבות 4'!H26+'הכנסות תרבות 4'!H27</f>
        <v>0</v>
      </c>
      <c r="I59" s="302" t="s">
        <v>1017</v>
      </c>
    </row>
    <row r="60" spans="1:9" s="182" customFormat="1" ht="15.6" x14ac:dyDescent="0.25">
      <c r="A60" s="546"/>
      <c r="B60" s="301">
        <v>32</v>
      </c>
      <c r="C60" s="518" t="s">
        <v>394</v>
      </c>
      <c r="D60" s="411">
        <f>'הכנסות תרבות 4'!D28</f>
        <v>0</v>
      </c>
      <c r="E60" s="411">
        <v>1700</v>
      </c>
      <c r="F60" s="410">
        <v>0</v>
      </c>
      <c r="G60" s="410">
        <f>'הכנסות תרבות 4'!G28</f>
        <v>220</v>
      </c>
      <c r="H60" s="410">
        <f>'הכנסות תרבות 4'!H28</f>
        <v>220</v>
      </c>
      <c r="I60" s="302" t="s">
        <v>1017</v>
      </c>
    </row>
    <row r="61" spans="1:9" s="292" customFormat="1" ht="15.6" x14ac:dyDescent="0.25">
      <c r="A61" s="545">
        <v>47</v>
      </c>
      <c r="B61" s="301">
        <v>34</v>
      </c>
      <c r="C61" s="519" t="s">
        <v>395</v>
      </c>
      <c r="D61" s="411">
        <f>'הכנסות רווחה 5'!D117</f>
        <v>41200</v>
      </c>
      <c r="E61" s="411">
        <v>42884.72000000003</v>
      </c>
      <c r="F61" s="410">
        <f>'הכנסות רווחה 5'!F117</f>
        <v>20965</v>
      </c>
      <c r="G61" s="410">
        <f>'הכנסות רווחה 5'!G117</f>
        <v>49368</v>
      </c>
      <c r="H61" s="410">
        <f>'הכנסות רווחה 5'!H117</f>
        <v>49289</v>
      </c>
      <c r="I61" s="302" t="s">
        <v>1018</v>
      </c>
    </row>
    <row r="62" spans="1:9" s="182" customFormat="1" ht="15.6" x14ac:dyDescent="0.25">
      <c r="A62" s="545"/>
      <c r="B62" s="301">
        <v>34</v>
      </c>
      <c r="C62" s="518" t="s">
        <v>396</v>
      </c>
      <c r="D62" s="411">
        <f>'הכנסות רווחה 5'!D130</f>
        <v>1315</v>
      </c>
      <c r="E62" s="411">
        <v>1215</v>
      </c>
      <c r="F62" s="410">
        <f>'הכנסות רווחה 5'!F130</f>
        <v>653</v>
      </c>
      <c r="G62" s="410">
        <f>'הכנסות רווחה 5'!G130</f>
        <v>1220</v>
      </c>
      <c r="H62" s="410">
        <f>'הכנסות רווחה 5'!H130</f>
        <v>1222</v>
      </c>
      <c r="I62" s="409"/>
    </row>
    <row r="63" spans="1:9" s="182" customFormat="1" x14ac:dyDescent="0.25">
      <c r="A63" s="405">
        <v>48</v>
      </c>
      <c r="B63" s="297">
        <v>1413000690</v>
      </c>
      <c r="C63" s="413" t="s">
        <v>1113</v>
      </c>
      <c r="D63" s="411">
        <v>0</v>
      </c>
      <c r="E63" s="411">
        <v>0</v>
      </c>
      <c r="F63" s="410">
        <v>38</v>
      </c>
      <c r="G63" s="410">
        <v>220</v>
      </c>
      <c r="H63" s="410">
        <v>220</v>
      </c>
      <c r="I63" s="409"/>
    </row>
    <row r="64" spans="1:9" s="182" customFormat="1" x14ac:dyDescent="0.25">
      <c r="A64" s="405">
        <v>49</v>
      </c>
      <c r="B64" s="297">
        <v>1413100210</v>
      </c>
      <c r="C64" s="408" t="s">
        <v>151</v>
      </c>
      <c r="D64" s="411">
        <v>-7</v>
      </c>
      <c r="E64" s="411">
        <v>-10</v>
      </c>
      <c r="F64" s="410">
        <v>-7</v>
      </c>
      <c r="G64" s="410">
        <v>-10</v>
      </c>
      <c r="H64" s="410">
        <v>-10</v>
      </c>
      <c r="I64" s="300"/>
    </row>
    <row r="65" spans="1:9" s="182" customFormat="1" x14ac:dyDescent="0.25">
      <c r="A65" s="405">
        <v>50</v>
      </c>
      <c r="B65" s="297">
        <v>1433000640</v>
      </c>
      <c r="C65" s="408" t="s">
        <v>152</v>
      </c>
      <c r="D65" s="411">
        <v>1956</v>
      </c>
      <c r="E65" s="411">
        <v>2330.89</v>
      </c>
      <c r="F65" s="410">
        <v>788</v>
      </c>
      <c r="G65" s="410">
        <v>1723</v>
      </c>
      <c r="H65" s="410">
        <v>1723</v>
      </c>
      <c r="I65" s="300"/>
    </row>
    <row r="66" spans="1:9" s="182" customFormat="1" x14ac:dyDescent="0.25">
      <c r="A66" s="405">
        <v>51</v>
      </c>
      <c r="B66" s="297">
        <v>1433100640</v>
      </c>
      <c r="C66" s="408" t="s">
        <v>153</v>
      </c>
      <c r="D66" s="411">
        <v>3</v>
      </c>
      <c r="E66" s="411">
        <v>5</v>
      </c>
      <c r="F66" s="410">
        <v>3</v>
      </c>
      <c r="G66" s="410">
        <v>6</v>
      </c>
      <c r="H66" s="410">
        <v>10</v>
      </c>
      <c r="I66" s="409"/>
    </row>
    <row r="67" spans="1:9" s="182" customFormat="1" x14ac:dyDescent="0.25">
      <c r="A67" s="405">
        <v>52</v>
      </c>
      <c r="B67" s="297">
        <v>1433200640</v>
      </c>
      <c r="C67" s="408" t="s">
        <v>1167</v>
      </c>
      <c r="D67" s="411">
        <f>30+94</f>
        <v>124</v>
      </c>
      <c r="E67" s="411">
        <v>70</v>
      </c>
      <c r="F67" s="410">
        <v>22</v>
      </c>
      <c r="G67" s="410">
        <v>55</v>
      </c>
      <c r="H67" s="410">
        <v>80</v>
      </c>
      <c r="I67" s="409" t="s">
        <v>1178</v>
      </c>
    </row>
    <row r="68" spans="1:9" s="182" customFormat="1" ht="14.25" hidden="1" customHeight="1" x14ac:dyDescent="0.25">
      <c r="A68" s="405">
        <v>53</v>
      </c>
      <c r="B68" s="297">
        <v>1433300640</v>
      </c>
      <c r="C68" s="408" t="s">
        <v>753</v>
      </c>
      <c r="D68" s="411" t="s">
        <v>911</v>
      </c>
      <c r="E68" s="411">
        <v>0</v>
      </c>
      <c r="F68" s="410"/>
      <c r="G68" s="410"/>
      <c r="H68" s="410"/>
      <c r="I68" s="409"/>
    </row>
    <row r="69" spans="1:9" s="182" customFormat="1" ht="14.25" customHeight="1" x14ac:dyDescent="0.25">
      <c r="A69" s="405">
        <v>54</v>
      </c>
      <c r="B69" s="297">
        <v>1438000690</v>
      </c>
      <c r="C69" s="408" t="s">
        <v>1041</v>
      </c>
      <c r="D69" s="411">
        <v>0</v>
      </c>
      <c r="E69" s="411">
        <v>250</v>
      </c>
      <c r="F69" s="410">
        <v>0</v>
      </c>
      <c r="G69" s="410">
        <v>250</v>
      </c>
      <c r="H69" s="410">
        <v>250</v>
      </c>
      <c r="I69" s="299"/>
    </row>
    <row r="70" spans="1:9" s="182" customFormat="1" x14ac:dyDescent="0.25">
      <c r="A70" s="405">
        <v>55</v>
      </c>
      <c r="B70" s="297">
        <v>1439000640</v>
      </c>
      <c r="C70" s="408" t="s">
        <v>1179</v>
      </c>
      <c r="D70" s="411">
        <v>558</v>
      </c>
      <c r="E70" s="411">
        <v>656.5</v>
      </c>
      <c r="F70" s="410">
        <v>327</v>
      </c>
      <c r="G70" s="410">
        <f>161+166+165+165</f>
        <v>657</v>
      </c>
      <c r="H70" s="410">
        <v>657</v>
      </c>
      <c r="I70" s="409"/>
    </row>
    <row r="71" spans="1:9" s="182" customFormat="1" x14ac:dyDescent="0.25">
      <c r="A71" s="405">
        <v>56</v>
      </c>
      <c r="B71" s="297">
        <v>1439100640</v>
      </c>
      <c r="C71" s="412" t="s">
        <v>1181</v>
      </c>
      <c r="D71" s="411">
        <v>0</v>
      </c>
      <c r="E71" s="411">
        <v>0</v>
      </c>
      <c r="F71" s="410">
        <v>0</v>
      </c>
      <c r="G71" s="410">
        <v>250</v>
      </c>
      <c r="H71" s="410">
        <v>660</v>
      </c>
      <c r="I71" s="409"/>
    </row>
    <row r="72" spans="1:9" s="182" customFormat="1" x14ac:dyDescent="0.25">
      <c r="A72" s="405">
        <v>57</v>
      </c>
      <c r="B72" s="297">
        <v>1443000220</v>
      </c>
      <c r="C72" s="412" t="s">
        <v>154</v>
      </c>
      <c r="D72" s="411">
        <f>2272+6</f>
        <v>2278</v>
      </c>
      <c r="E72" s="411">
        <v>3200</v>
      </c>
      <c r="F72" s="410">
        <f>1087+14</f>
        <v>1101</v>
      </c>
      <c r="G72" s="410">
        <v>3000</v>
      </c>
      <c r="H72" s="410">
        <v>3400</v>
      </c>
      <c r="I72" s="409"/>
    </row>
    <row r="73" spans="1:9" s="182" customFormat="1" ht="14.25" hidden="1" customHeight="1" x14ac:dyDescent="0.25">
      <c r="A73" s="405">
        <v>58</v>
      </c>
      <c r="B73" s="297">
        <v>1443000221</v>
      </c>
      <c r="C73" s="412" t="s">
        <v>862</v>
      </c>
      <c r="D73" s="411"/>
      <c r="E73" s="411">
        <v>0</v>
      </c>
      <c r="F73" s="410"/>
      <c r="G73" s="410"/>
      <c r="H73" s="410"/>
      <c r="I73" s="409"/>
    </row>
    <row r="74" spans="1:9" s="182" customFormat="1" ht="15" hidden="1" customHeight="1" x14ac:dyDescent="0.25">
      <c r="A74" s="405">
        <v>59</v>
      </c>
      <c r="B74" s="297">
        <v>1443100220</v>
      </c>
      <c r="C74" s="412" t="s">
        <v>863</v>
      </c>
      <c r="D74" s="411"/>
      <c r="E74" s="411">
        <v>0</v>
      </c>
      <c r="F74" s="410"/>
      <c r="G74" s="410"/>
      <c r="H74" s="410"/>
      <c r="I74" s="409"/>
    </row>
    <row r="75" spans="1:9" s="182" customFormat="1" ht="13.95" hidden="1" customHeight="1" x14ac:dyDescent="0.25">
      <c r="A75" s="405">
        <v>60</v>
      </c>
      <c r="B75" s="297">
        <v>1472000210</v>
      </c>
      <c r="C75" s="412" t="s">
        <v>155</v>
      </c>
      <c r="D75" s="411" t="s">
        <v>913</v>
      </c>
      <c r="E75" s="411">
        <v>0</v>
      </c>
      <c r="F75" s="410"/>
      <c r="G75" s="410"/>
      <c r="H75" s="410"/>
      <c r="I75" s="409"/>
    </row>
    <row r="76" spans="1:9" s="182" customFormat="1" ht="13.95" hidden="1" customHeight="1" x14ac:dyDescent="0.25">
      <c r="A76" s="405">
        <v>61</v>
      </c>
      <c r="B76" s="297">
        <v>1472000800</v>
      </c>
      <c r="C76" s="412" t="s">
        <v>156</v>
      </c>
      <c r="D76" s="411" t="s">
        <v>913</v>
      </c>
      <c r="E76" s="411">
        <v>0</v>
      </c>
      <c r="F76" s="410"/>
      <c r="G76" s="410"/>
      <c r="H76" s="410"/>
      <c r="I76" s="409"/>
    </row>
    <row r="77" spans="1:9" s="182" customFormat="1" x14ac:dyDescent="0.25">
      <c r="A77" s="405">
        <v>62</v>
      </c>
      <c r="B77" s="297">
        <v>1472000210</v>
      </c>
      <c r="C77" s="408" t="s">
        <v>155</v>
      </c>
      <c r="D77" s="410">
        <v>1</v>
      </c>
      <c r="E77" s="410">
        <v>0</v>
      </c>
      <c r="F77" s="410">
        <v>0</v>
      </c>
      <c r="G77" s="410">
        <v>0</v>
      </c>
      <c r="H77" s="410">
        <v>0</v>
      </c>
      <c r="I77" s="409"/>
    </row>
    <row r="78" spans="1:9" s="182" customFormat="1" x14ac:dyDescent="0.25">
      <c r="A78" s="405">
        <v>63</v>
      </c>
      <c r="B78" s="297">
        <v>1511000660</v>
      </c>
      <c r="C78" s="408" t="s">
        <v>157</v>
      </c>
      <c r="D78" s="411">
        <v>3309</v>
      </c>
      <c r="E78" s="411">
        <v>1000</v>
      </c>
      <c r="F78" s="410">
        <v>567</v>
      </c>
      <c r="G78" s="410">
        <v>0</v>
      </c>
      <c r="H78" s="410">
        <v>1200</v>
      </c>
      <c r="I78" s="409"/>
    </row>
    <row r="79" spans="1:9" s="182" customFormat="1" x14ac:dyDescent="0.25">
      <c r="A79" s="405">
        <v>64</v>
      </c>
      <c r="B79" s="297">
        <v>1591900590</v>
      </c>
      <c r="C79" s="408" t="s">
        <v>158</v>
      </c>
      <c r="D79" s="411">
        <v>0</v>
      </c>
      <c r="E79" s="411">
        <v>0</v>
      </c>
      <c r="F79" s="410">
        <v>0</v>
      </c>
      <c r="G79" s="410">
        <v>0</v>
      </c>
      <c r="H79" s="410">
        <v>0</v>
      </c>
      <c r="I79" s="409"/>
    </row>
    <row r="80" spans="1:9" s="182" customFormat="1" x14ac:dyDescent="0.25">
      <c r="A80" s="405">
        <v>65</v>
      </c>
      <c r="B80" s="297">
        <v>1594100690</v>
      </c>
      <c r="C80" s="408" t="s">
        <v>159</v>
      </c>
      <c r="D80" s="411">
        <v>320</v>
      </c>
      <c r="E80" s="411">
        <v>200</v>
      </c>
      <c r="F80" s="410">
        <v>0</v>
      </c>
      <c r="G80" s="410">
        <v>200</v>
      </c>
      <c r="H80" s="410">
        <v>300</v>
      </c>
      <c r="I80" s="409"/>
    </row>
    <row r="81" spans="1:14" s="407" customFormat="1" x14ac:dyDescent="0.25">
      <c r="A81" s="405">
        <v>66</v>
      </c>
      <c r="B81" s="298">
        <v>1599200691</v>
      </c>
      <c r="C81" s="408" t="s">
        <v>160</v>
      </c>
      <c r="D81" s="411">
        <v>0</v>
      </c>
      <c r="E81" s="411">
        <v>500</v>
      </c>
      <c r="F81" s="410">
        <v>0</v>
      </c>
      <c r="G81" s="410">
        <v>100</v>
      </c>
      <c r="H81" s="410">
        <v>200</v>
      </c>
      <c r="I81" s="409"/>
    </row>
    <row r="82" spans="1:14" s="182" customFormat="1" x14ac:dyDescent="0.25">
      <c r="A82" s="405">
        <v>67</v>
      </c>
      <c r="B82" s="297">
        <v>1599000780</v>
      </c>
      <c r="C82" s="408" t="s">
        <v>604</v>
      </c>
      <c r="D82" s="411">
        <v>0</v>
      </c>
      <c r="E82" s="411">
        <v>0</v>
      </c>
      <c r="F82" s="410">
        <v>0</v>
      </c>
      <c r="G82" s="410">
        <v>0</v>
      </c>
      <c r="H82" s="410">
        <v>0</v>
      </c>
      <c r="I82" s="409"/>
    </row>
    <row r="83" spans="1:14" x14ac:dyDescent="0.25">
      <c r="A83" s="303"/>
      <c r="B83" s="304" t="s">
        <v>433</v>
      </c>
      <c r="C83" s="305"/>
      <c r="D83" s="516">
        <f t="shared" ref="D83:H83" si="0">SUM(D5:D82)</f>
        <v>354785</v>
      </c>
      <c r="E83" s="516">
        <f t="shared" si="0"/>
        <v>355929.97880000004</v>
      </c>
      <c r="F83" s="516">
        <f t="shared" si="0"/>
        <v>182616</v>
      </c>
      <c r="G83" s="516">
        <f t="shared" si="0"/>
        <v>371429.62139445997</v>
      </c>
      <c r="H83" s="516">
        <f t="shared" si="0"/>
        <v>377600.48480000003</v>
      </c>
      <c r="I83" s="516"/>
    </row>
    <row r="84" spans="1:14" x14ac:dyDescent="0.25">
      <c r="G84" s="514"/>
      <c r="I84" s="186"/>
      <c r="N84" s="183"/>
    </row>
    <row r="85" spans="1:14" x14ac:dyDescent="0.25">
      <c r="F85" s="186"/>
      <c r="N85" s="183"/>
    </row>
    <row r="86" spans="1:14" ht="31.2" x14ac:dyDescent="0.25">
      <c r="D86" s="296"/>
      <c r="E86" s="296" t="s">
        <v>1049</v>
      </c>
      <c r="F86" s="296" t="s">
        <v>1060</v>
      </c>
      <c r="G86" s="296" t="s">
        <v>1058</v>
      </c>
    </row>
    <row r="87" spans="1:14" ht="17.399999999999999" x14ac:dyDescent="0.25">
      <c r="D87" s="515" t="s">
        <v>487</v>
      </c>
      <c r="E87" s="512">
        <f>E83</f>
        <v>355929.97880000004</v>
      </c>
      <c r="F87" s="512">
        <f>G83</f>
        <v>371429.62139445997</v>
      </c>
      <c r="G87" s="512">
        <f>H83</f>
        <v>377600.48480000003</v>
      </c>
    </row>
    <row r="88" spans="1:14" ht="17.399999999999999" x14ac:dyDescent="0.25">
      <c r="D88" s="515" t="s">
        <v>488</v>
      </c>
      <c r="E88" s="512">
        <v>355930.21828571428</v>
      </c>
      <c r="F88" s="512">
        <f>'הוצאות 2'!G45</f>
        <v>371429.80497445993</v>
      </c>
      <c r="G88" s="512">
        <f>'הוצאות 2'!H45</f>
        <v>377600.05666370003</v>
      </c>
    </row>
    <row r="89" spans="1:14" ht="17.399999999999999" x14ac:dyDescent="0.25">
      <c r="D89" s="515" t="s">
        <v>489</v>
      </c>
      <c r="E89" s="532">
        <v>0</v>
      </c>
      <c r="F89" s="532">
        <v>0</v>
      </c>
      <c r="G89" s="512">
        <f t="shared" ref="G89" si="1">G87-G88</f>
        <v>0.42813630000455305</v>
      </c>
    </row>
    <row r="90" spans="1:14" x14ac:dyDescent="0.25">
      <c r="N90" s="183"/>
    </row>
    <row r="91" spans="1:14" x14ac:dyDescent="0.25">
      <c r="N91" s="183"/>
    </row>
    <row r="92" spans="1:14" ht="17.399999999999999" x14ac:dyDescent="0.25">
      <c r="C92" s="202"/>
      <c r="N92" s="183"/>
    </row>
    <row r="93" spans="1:14" x14ac:dyDescent="0.25">
      <c r="N93" s="183"/>
    </row>
    <row r="94" spans="1:14" x14ac:dyDescent="0.25">
      <c r="N94" s="183"/>
    </row>
    <row r="95" spans="1:14" x14ac:dyDescent="0.25">
      <c r="N95" s="183"/>
    </row>
    <row r="96" spans="1:14" x14ac:dyDescent="0.25">
      <c r="N96" s="183"/>
    </row>
    <row r="97" spans="14:14" x14ac:dyDescent="0.25">
      <c r="N97" s="183"/>
    </row>
    <row r="98" spans="14:14" x14ac:dyDescent="0.25">
      <c r="N98" s="183"/>
    </row>
    <row r="99" spans="14:14" x14ac:dyDescent="0.25">
      <c r="N99" s="183"/>
    </row>
    <row r="100" spans="14:14" x14ac:dyDescent="0.25">
      <c r="N100" s="183"/>
    </row>
    <row r="101" spans="14:14" x14ac:dyDescent="0.25">
      <c r="N101" s="183"/>
    </row>
    <row r="102" spans="14:14" x14ac:dyDescent="0.25">
      <c r="N102" s="183"/>
    </row>
    <row r="103" spans="14:14" x14ac:dyDescent="0.25">
      <c r="N103" s="183"/>
    </row>
    <row r="104" spans="14:14" x14ac:dyDescent="0.25">
      <c r="N104" s="183"/>
    </row>
    <row r="105" spans="14:14" x14ac:dyDescent="0.25">
      <c r="N105" s="183"/>
    </row>
    <row r="106" spans="14:14" x14ac:dyDescent="0.25">
      <c r="N106" s="183"/>
    </row>
    <row r="107" spans="14:14" x14ac:dyDescent="0.25">
      <c r="N107" s="183"/>
    </row>
    <row r="108" spans="14:14" x14ac:dyDescent="0.25">
      <c r="N108" s="183"/>
    </row>
    <row r="109" spans="14:14" x14ac:dyDescent="0.25">
      <c r="N109" s="183"/>
    </row>
    <row r="110" spans="14:14" x14ac:dyDescent="0.25">
      <c r="N110" s="183"/>
    </row>
    <row r="111" spans="14:14" x14ac:dyDescent="0.25">
      <c r="N111" s="183"/>
    </row>
    <row r="112" spans="14:14" x14ac:dyDescent="0.25">
      <c r="N112" s="183"/>
    </row>
    <row r="113" spans="4:14" ht="0.75" customHeight="1" x14ac:dyDescent="0.25">
      <c r="N113" s="183"/>
    </row>
    <row r="114" spans="4:14" x14ac:dyDescent="0.25">
      <c r="D114" s="182"/>
      <c r="E114" s="182"/>
      <c r="N114" s="183"/>
    </row>
    <row r="115" spans="4:14" x14ac:dyDescent="0.25">
      <c r="D115" s="182"/>
      <c r="E115" s="182"/>
      <c r="N115" s="183"/>
    </row>
    <row r="116" spans="4:14" x14ac:dyDescent="0.25">
      <c r="D116" s="182"/>
      <c r="E116" s="182"/>
      <c r="N116" s="183"/>
    </row>
    <row r="117" spans="4:14" x14ac:dyDescent="0.25">
      <c r="D117" s="182"/>
      <c r="E117" s="182"/>
      <c r="N117" s="183"/>
    </row>
    <row r="118" spans="4:14" x14ac:dyDescent="0.25">
      <c r="D118" s="182"/>
      <c r="E118" s="182"/>
      <c r="N118" s="183"/>
    </row>
    <row r="119" spans="4:14" x14ac:dyDescent="0.25">
      <c r="D119" s="182"/>
      <c r="E119" s="182"/>
      <c r="N119" s="183"/>
    </row>
    <row r="120" spans="4:14" x14ac:dyDescent="0.25">
      <c r="D120" s="182"/>
      <c r="E120" s="182"/>
      <c r="N120" s="183"/>
    </row>
    <row r="121" spans="4:14" x14ac:dyDescent="0.25">
      <c r="D121" s="182"/>
      <c r="E121" s="182"/>
      <c r="N121" s="183"/>
    </row>
    <row r="122" spans="4:14" x14ac:dyDescent="0.25">
      <c r="D122" s="182"/>
      <c r="E122" s="182"/>
      <c r="N122" s="183"/>
    </row>
    <row r="123" spans="4:14" x14ac:dyDescent="0.25">
      <c r="D123" s="182"/>
      <c r="E123" s="182"/>
      <c r="N123" s="183"/>
    </row>
    <row r="124" spans="4:14" x14ac:dyDescent="0.25">
      <c r="D124" s="182"/>
      <c r="E124" s="182"/>
      <c r="N124" s="183"/>
    </row>
    <row r="125" spans="4:14" x14ac:dyDescent="0.25">
      <c r="D125" s="182"/>
      <c r="E125" s="182"/>
      <c r="N125" s="183"/>
    </row>
    <row r="126" spans="4:14" x14ac:dyDescent="0.25">
      <c r="D126" s="182"/>
      <c r="E126" s="182"/>
      <c r="N126" s="183"/>
    </row>
    <row r="127" spans="4:14" x14ac:dyDescent="0.25">
      <c r="D127" s="182"/>
      <c r="E127" s="182"/>
      <c r="N127" s="183"/>
    </row>
    <row r="128" spans="4:14" x14ac:dyDescent="0.25">
      <c r="D128" s="182"/>
      <c r="E128" s="182"/>
      <c r="N128" s="183"/>
    </row>
    <row r="129" spans="4:14" x14ac:dyDescent="0.25">
      <c r="D129" s="182"/>
      <c r="E129" s="182"/>
      <c r="N129" s="183"/>
    </row>
    <row r="130" spans="4:14" x14ac:dyDescent="0.25">
      <c r="D130" s="182"/>
      <c r="E130" s="182"/>
      <c r="N130" s="183"/>
    </row>
    <row r="131" spans="4:14" x14ac:dyDescent="0.25">
      <c r="D131" s="182"/>
      <c r="E131" s="182"/>
      <c r="N131" s="183"/>
    </row>
    <row r="132" spans="4:14" x14ac:dyDescent="0.25">
      <c r="D132" s="182"/>
      <c r="E132" s="182"/>
      <c r="N132" s="183"/>
    </row>
    <row r="133" spans="4:14" x14ac:dyDescent="0.25">
      <c r="D133" s="182"/>
      <c r="E133" s="182"/>
      <c r="N133" s="183"/>
    </row>
    <row r="134" spans="4:14" x14ac:dyDescent="0.25">
      <c r="D134" s="182"/>
      <c r="E134" s="182"/>
      <c r="N134" s="183"/>
    </row>
    <row r="135" spans="4:14" x14ac:dyDescent="0.25">
      <c r="D135" s="182"/>
      <c r="E135" s="182"/>
      <c r="N135" s="183"/>
    </row>
    <row r="136" spans="4:14" x14ac:dyDescent="0.25">
      <c r="D136" s="182"/>
      <c r="E136" s="182"/>
      <c r="N136" s="183"/>
    </row>
    <row r="137" spans="4:14" x14ac:dyDescent="0.25">
      <c r="D137" s="182"/>
      <c r="E137" s="182"/>
      <c r="N137" s="183"/>
    </row>
    <row r="138" spans="4:14" x14ac:dyDescent="0.25">
      <c r="D138" s="182"/>
      <c r="E138" s="182"/>
      <c r="N138" s="183"/>
    </row>
    <row r="139" spans="4:14" x14ac:dyDescent="0.25">
      <c r="D139" s="182"/>
      <c r="E139" s="182"/>
      <c r="N139" s="183"/>
    </row>
    <row r="140" spans="4:14" x14ac:dyDescent="0.25">
      <c r="D140" s="182"/>
      <c r="E140" s="182"/>
      <c r="N140" s="183"/>
    </row>
    <row r="141" spans="4:14" x14ac:dyDescent="0.25">
      <c r="D141" s="182"/>
      <c r="E141" s="182"/>
      <c r="N141" s="183"/>
    </row>
    <row r="142" spans="4:14" x14ac:dyDescent="0.25">
      <c r="D142" s="182"/>
      <c r="E142" s="182"/>
      <c r="N142" s="183"/>
    </row>
    <row r="143" spans="4:14" x14ac:dyDescent="0.25">
      <c r="D143" s="182"/>
      <c r="E143" s="182"/>
      <c r="N143" s="183"/>
    </row>
    <row r="144" spans="4:14" x14ac:dyDescent="0.25">
      <c r="D144" s="182"/>
      <c r="E144" s="182"/>
      <c r="N144" s="183"/>
    </row>
    <row r="145" spans="4:14" x14ac:dyDescent="0.25">
      <c r="D145" s="182"/>
      <c r="E145" s="182"/>
      <c r="N145" s="183"/>
    </row>
    <row r="146" spans="4:14" x14ac:dyDescent="0.25">
      <c r="D146" s="182"/>
      <c r="E146" s="182"/>
      <c r="N146" s="183"/>
    </row>
    <row r="147" spans="4:14" x14ac:dyDescent="0.25">
      <c r="D147" s="182"/>
      <c r="E147" s="182"/>
      <c r="N147" s="183"/>
    </row>
    <row r="148" spans="4:14" x14ac:dyDescent="0.25">
      <c r="D148" s="182"/>
      <c r="E148" s="182"/>
      <c r="N148" s="183"/>
    </row>
    <row r="149" spans="4:14" x14ac:dyDescent="0.25">
      <c r="D149" s="182"/>
      <c r="E149" s="182"/>
      <c r="N149" s="183"/>
    </row>
    <row r="150" spans="4:14" x14ac:dyDescent="0.25">
      <c r="D150" s="182"/>
      <c r="E150" s="182"/>
      <c r="N150" s="183"/>
    </row>
    <row r="151" spans="4:14" x14ac:dyDescent="0.25">
      <c r="D151" s="182"/>
      <c r="E151" s="182"/>
      <c r="N151" s="183"/>
    </row>
    <row r="152" spans="4:14" x14ac:dyDescent="0.25">
      <c r="D152" s="182"/>
      <c r="E152" s="182"/>
      <c r="N152" s="183"/>
    </row>
    <row r="153" spans="4:14" x14ac:dyDescent="0.25">
      <c r="D153" s="182"/>
      <c r="E153" s="182"/>
      <c r="N153" s="183"/>
    </row>
    <row r="154" spans="4:14" x14ac:dyDescent="0.25">
      <c r="D154" s="182"/>
      <c r="E154" s="182"/>
      <c r="N154" s="183"/>
    </row>
    <row r="155" spans="4:14" x14ac:dyDescent="0.25">
      <c r="D155" s="182"/>
      <c r="E155" s="182"/>
      <c r="N155" s="183"/>
    </row>
    <row r="156" spans="4:14" x14ac:dyDescent="0.25">
      <c r="D156" s="182"/>
      <c r="E156" s="182"/>
      <c r="N156" s="183"/>
    </row>
    <row r="157" spans="4:14" x14ac:dyDescent="0.25">
      <c r="D157" s="182"/>
      <c r="E157" s="182"/>
      <c r="N157" s="183"/>
    </row>
    <row r="158" spans="4:14" x14ac:dyDescent="0.25">
      <c r="D158" s="182"/>
      <c r="E158" s="182"/>
      <c r="N158" s="183"/>
    </row>
    <row r="159" spans="4:14" x14ac:dyDescent="0.25">
      <c r="D159" s="182"/>
      <c r="E159" s="182"/>
      <c r="N159" s="183"/>
    </row>
    <row r="160" spans="4:14" x14ac:dyDescent="0.25">
      <c r="D160" s="182"/>
      <c r="E160" s="182"/>
      <c r="N160" s="183"/>
    </row>
    <row r="161" spans="4:14" x14ac:dyDescent="0.25">
      <c r="D161" s="182"/>
      <c r="E161" s="182"/>
      <c r="N161" s="183"/>
    </row>
    <row r="162" spans="4:14" x14ac:dyDescent="0.25">
      <c r="D162" s="182"/>
      <c r="E162" s="182"/>
      <c r="N162" s="183"/>
    </row>
    <row r="163" spans="4:14" x14ac:dyDescent="0.25">
      <c r="D163" s="182"/>
      <c r="E163" s="182"/>
      <c r="N163" s="183"/>
    </row>
    <row r="164" spans="4:14" x14ac:dyDescent="0.25">
      <c r="D164" s="182"/>
      <c r="E164" s="182"/>
      <c r="N164" s="183"/>
    </row>
    <row r="165" spans="4:14" x14ac:dyDescent="0.25">
      <c r="D165" s="182"/>
      <c r="E165" s="182"/>
      <c r="N165" s="183"/>
    </row>
    <row r="166" spans="4:14" x14ac:dyDescent="0.25">
      <c r="D166" s="182"/>
      <c r="E166" s="182"/>
      <c r="N166" s="183"/>
    </row>
    <row r="167" spans="4:14" x14ac:dyDescent="0.25">
      <c r="D167" s="182"/>
      <c r="E167" s="182"/>
      <c r="N167" s="183"/>
    </row>
    <row r="168" spans="4:14" x14ac:dyDescent="0.25">
      <c r="D168" s="182"/>
      <c r="E168" s="182"/>
      <c r="N168" s="183"/>
    </row>
    <row r="169" spans="4:14" x14ac:dyDescent="0.25">
      <c r="D169" s="182"/>
      <c r="E169" s="182"/>
      <c r="N169" s="183"/>
    </row>
    <row r="170" spans="4:14" x14ac:dyDescent="0.25">
      <c r="D170" s="182"/>
      <c r="E170" s="182"/>
      <c r="N170" s="183"/>
    </row>
    <row r="171" spans="4:14" x14ac:dyDescent="0.25">
      <c r="D171" s="182"/>
      <c r="E171" s="182"/>
      <c r="N171" s="183"/>
    </row>
    <row r="172" spans="4:14" x14ac:dyDescent="0.25">
      <c r="D172" s="182"/>
      <c r="E172" s="182"/>
      <c r="N172" s="183"/>
    </row>
    <row r="173" spans="4:14" x14ac:dyDescent="0.25">
      <c r="D173" s="182"/>
      <c r="E173" s="182"/>
      <c r="N173" s="183"/>
    </row>
    <row r="174" spans="4:14" x14ac:dyDescent="0.25">
      <c r="D174" s="182"/>
      <c r="E174" s="182"/>
      <c r="N174" s="183"/>
    </row>
    <row r="175" spans="4:14" x14ac:dyDescent="0.25">
      <c r="D175" s="182"/>
      <c r="E175" s="182"/>
      <c r="N175" s="183"/>
    </row>
    <row r="176" spans="4:14" x14ac:dyDescent="0.25">
      <c r="D176" s="182"/>
      <c r="E176" s="182"/>
      <c r="N176" s="183"/>
    </row>
    <row r="177" spans="4:14" x14ac:dyDescent="0.25">
      <c r="D177" s="182"/>
      <c r="E177" s="182"/>
      <c r="N177" s="183"/>
    </row>
    <row r="178" spans="4:14" x14ac:dyDescent="0.25">
      <c r="D178" s="182"/>
      <c r="E178" s="182"/>
      <c r="N178" s="183"/>
    </row>
    <row r="179" spans="4:14" x14ac:dyDescent="0.25">
      <c r="D179" s="182"/>
      <c r="E179" s="182"/>
      <c r="N179" s="183"/>
    </row>
    <row r="180" spans="4:14" x14ac:dyDescent="0.25">
      <c r="D180" s="182"/>
      <c r="E180" s="182"/>
      <c r="N180" s="183"/>
    </row>
    <row r="181" spans="4:14" x14ac:dyDescent="0.25">
      <c r="D181" s="182"/>
      <c r="E181" s="182"/>
      <c r="N181" s="183"/>
    </row>
    <row r="182" spans="4:14" x14ac:dyDescent="0.25">
      <c r="D182" s="182"/>
      <c r="E182" s="182"/>
      <c r="N182" s="183"/>
    </row>
    <row r="183" spans="4:14" x14ac:dyDescent="0.25">
      <c r="D183" s="182"/>
      <c r="E183" s="182"/>
      <c r="N183" s="183"/>
    </row>
    <row r="184" spans="4:14" x14ac:dyDescent="0.25">
      <c r="D184" s="182"/>
      <c r="E184" s="182"/>
      <c r="N184" s="183"/>
    </row>
    <row r="185" spans="4:14" x14ac:dyDescent="0.25">
      <c r="D185" s="182"/>
      <c r="E185" s="182"/>
      <c r="N185" s="183"/>
    </row>
    <row r="186" spans="4:14" x14ac:dyDescent="0.25">
      <c r="D186" s="182"/>
      <c r="E186" s="182"/>
      <c r="N186" s="183"/>
    </row>
    <row r="187" spans="4:14" x14ac:dyDescent="0.25">
      <c r="D187" s="182"/>
      <c r="E187" s="182"/>
      <c r="N187" s="183"/>
    </row>
    <row r="188" spans="4:14" x14ac:dyDescent="0.25">
      <c r="D188" s="182"/>
      <c r="E188" s="182"/>
      <c r="N188" s="183"/>
    </row>
    <row r="189" spans="4:14" x14ac:dyDescent="0.25">
      <c r="D189" s="182"/>
      <c r="E189" s="182"/>
      <c r="N189" s="183"/>
    </row>
    <row r="190" spans="4:14" x14ac:dyDescent="0.25">
      <c r="D190" s="182"/>
      <c r="E190" s="182"/>
      <c r="N190" s="183"/>
    </row>
    <row r="191" spans="4:14" x14ac:dyDescent="0.25">
      <c r="D191" s="182"/>
      <c r="E191" s="182"/>
      <c r="N191" s="183"/>
    </row>
    <row r="192" spans="4:14" x14ac:dyDescent="0.25">
      <c r="D192" s="182"/>
      <c r="E192" s="182"/>
      <c r="N192" s="183"/>
    </row>
    <row r="193" spans="4:14" x14ac:dyDescent="0.25">
      <c r="D193" s="182"/>
      <c r="E193" s="182"/>
      <c r="N193" s="183"/>
    </row>
    <row r="194" spans="4:14" x14ac:dyDescent="0.25">
      <c r="D194" s="182"/>
      <c r="E194" s="182"/>
      <c r="N194" s="183"/>
    </row>
    <row r="195" spans="4:14" x14ac:dyDescent="0.25">
      <c r="D195" s="182"/>
      <c r="E195" s="182"/>
      <c r="N195" s="183"/>
    </row>
    <row r="196" spans="4:14" x14ac:dyDescent="0.25">
      <c r="D196" s="182"/>
      <c r="E196" s="182"/>
      <c r="N196" s="183"/>
    </row>
    <row r="197" spans="4:14" x14ac:dyDescent="0.25">
      <c r="D197" s="182"/>
      <c r="E197" s="182"/>
      <c r="N197" s="183"/>
    </row>
    <row r="198" spans="4:14" x14ac:dyDescent="0.25">
      <c r="D198" s="182"/>
      <c r="E198" s="182"/>
      <c r="N198" s="183"/>
    </row>
    <row r="199" spans="4:14" x14ac:dyDescent="0.25">
      <c r="D199" s="182"/>
      <c r="E199" s="182"/>
      <c r="N199" s="183"/>
    </row>
    <row r="200" spans="4:14" x14ac:dyDescent="0.25">
      <c r="D200" s="182"/>
      <c r="E200" s="182"/>
      <c r="N200" s="183"/>
    </row>
    <row r="201" spans="4:14" x14ac:dyDescent="0.25">
      <c r="D201" s="182"/>
      <c r="E201" s="182"/>
      <c r="N201" s="183"/>
    </row>
    <row r="202" spans="4:14" x14ac:dyDescent="0.25">
      <c r="D202" s="182"/>
      <c r="E202" s="182"/>
      <c r="N202" s="183"/>
    </row>
    <row r="203" spans="4:14" x14ac:dyDescent="0.25">
      <c r="D203" s="182"/>
      <c r="E203" s="182"/>
      <c r="N203" s="183"/>
    </row>
    <row r="204" spans="4:14" x14ac:dyDescent="0.25">
      <c r="D204" s="182"/>
      <c r="E204" s="182"/>
      <c r="N204" s="183"/>
    </row>
    <row r="205" spans="4:14" x14ac:dyDescent="0.25">
      <c r="D205" s="182"/>
      <c r="E205" s="182"/>
      <c r="N205" s="183"/>
    </row>
    <row r="206" spans="4:14" x14ac:dyDescent="0.25">
      <c r="D206" s="182"/>
      <c r="E206" s="182"/>
      <c r="N206" s="183"/>
    </row>
    <row r="207" spans="4:14" x14ac:dyDescent="0.25">
      <c r="D207" s="182"/>
      <c r="E207" s="182"/>
      <c r="N207" s="183"/>
    </row>
    <row r="208" spans="4:14" x14ac:dyDescent="0.25">
      <c r="D208" s="182"/>
      <c r="E208" s="182"/>
      <c r="N208" s="183"/>
    </row>
    <row r="209" spans="4:14" x14ac:dyDescent="0.25">
      <c r="D209" s="182"/>
      <c r="E209" s="182"/>
      <c r="N209" s="183"/>
    </row>
    <row r="210" spans="4:14" x14ac:dyDescent="0.25">
      <c r="D210" s="182"/>
      <c r="E210" s="182"/>
      <c r="N210" s="183"/>
    </row>
    <row r="211" spans="4:14" x14ac:dyDescent="0.25">
      <c r="D211" s="182"/>
      <c r="E211" s="182"/>
      <c r="N211" s="183"/>
    </row>
    <row r="212" spans="4:14" x14ac:dyDescent="0.25">
      <c r="D212" s="182"/>
      <c r="E212" s="182"/>
      <c r="N212" s="183"/>
    </row>
    <row r="213" spans="4:14" x14ac:dyDescent="0.25">
      <c r="D213" s="182"/>
      <c r="E213" s="182"/>
      <c r="N213" s="183"/>
    </row>
    <row r="214" spans="4:14" x14ac:dyDescent="0.25">
      <c r="D214" s="182"/>
      <c r="E214" s="182"/>
      <c r="N214" s="183"/>
    </row>
    <row r="215" spans="4:14" x14ac:dyDescent="0.25">
      <c r="D215" s="182"/>
      <c r="E215" s="182"/>
      <c r="N215" s="183"/>
    </row>
    <row r="216" spans="4:14" x14ac:dyDescent="0.25">
      <c r="D216" s="182"/>
      <c r="E216" s="182"/>
    </row>
    <row r="217" spans="4:14" x14ac:dyDescent="0.25">
      <c r="D217" s="182"/>
      <c r="E217" s="182"/>
    </row>
    <row r="218" spans="4:14" x14ac:dyDescent="0.25">
      <c r="D218" s="182"/>
      <c r="E218" s="182"/>
    </row>
    <row r="219" spans="4:14" x14ac:dyDescent="0.25">
      <c r="D219" s="182"/>
      <c r="E219" s="182"/>
    </row>
    <row r="220" spans="4:14" x14ac:dyDescent="0.25">
      <c r="D220" s="182"/>
      <c r="E220" s="182"/>
    </row>
    <row r="221" spans="4:14" x14ac:dyDescent="0.25">
      <c r="D221" s="182"/>
      <c r="E221" s="182"/>
    </row>
    <row r="222" spans="4:14" x14ac:dyDescent="0.25">
      <c r="D222" s="182"/>
      <c r="E222" s="182"/>
    </row>
    <row r="223" spans="4:14" x14ac:dyDescent="0.25">
      <c r="D223" s="182"/>
      <c r="E223" s="182"/>
    </row>
    <row r="224" spans="4:14" x14ac:dyDescent="0.25">
      <c r="D224" s="182"/>
      <c r="E224" s="182"/>
    </row>
    <row r="225" spans="4:5" x14ac:dyDescent="0.25">
      <c r="D225" s="182"/>
      <c r="E225" s="182"/>
    </row>
    <row r="226" spans="4:5" x14ac:dyDescent="0.25">
      <c r="D226" s="182"/>
      <c r="E226" s="182"/>
    </row>
    <row r="227" spans="4:5" x14ac:dyDescent="0.25">
      <c r="D227" s="182"/>
      <c r="E227" s="182"/>
    </row>
    <row r="228" spans="4:5" x14ac:dyDescent="0.25">
      <c r="D228" s="182"/>
      <c r="E228" s="182"/>
    </row>
    <row r="229" spans="4:5" x14ac:dyDescent="0.25">
      <c r="D229" s="182"/>
      <c r="E229" s="182"/>
    </row>
    <row r="230" spans="4:5" x14ac:dyDescent="0.25">
      <c r="D230" s="182"/>
      <c r="E230" s="182"/>
    </row>
    <row r="231" spans="4:5" x14ac:dyDescent="0.25">
      <c r="D231" s="182"/>
      <c r="E231" s="182"/>
    </row>
    <row r="232" spans="4:5" x14ac:dyDescent="0.25">
      <c r="D232" s="182"/>
      <c r="E232" s="182"/>
    </row>
    <row r="233" spans="4:5" x14ac:dyDescent="0.25">
      <c r="D233" s="182"/>
      <c r="E233" s="182"/>
    </row>
    <row r="234" spans="4:5" x14ac:dyDescent="0.25">
      <c r="D234" s="182"/>
      <c r="E234" s="182"/>
    </row>
    <row r="235" spans="4:5" x14ac:dyDescent="0.25">
      <c r="D235" s="182"/>
      <c r="E235" s="182"/>
    </row>
    <row r="236" spans="4:5" x14ac:dyDescent="0.25">
      <c r="D236" s="182"/>
      <c r="E236" s="182"/>
    </row>
    <row r="237" spans="4:5" x14ac:dyDescent="0.25">
      <c r="D237" s="182"/>
      <c r="E237" s="182"/>
    </row>
    <row r="238" spans="4:5" x14ac:dyDescent="0.25">
      <c r="D238" s="182"/>
      <c r="E238" s="182"/>
    </row>
    <row r="239" spans="4:5" x14ac:dyDescent="0.25">
      <c r="D239" s="182"/>
      <c r="E239" s="182"/>
    </row>
    <row r="240" spans="4:5" x14ac:dyDescent="0.25">
      <c r="D240" s="182"/>
      <c r="E240" s="182"/>
    </row>
    <row r="241" spans="4:5" x14ac:dyDescent="0.25">
      <c r="D241" s="182"/>
      <c r="E241" s="182"/>
    </row>
    <row r="242" spans="4:5" x14ac:dyDescent="0.25">
      <c r="D242" s="182"/>
      <c r="E242" s="182"/>
    </row>
    <row r="243" spans="4:5" x14ac:dyDescent="0.25">
      <c r="D243" s="182"/>
      <c r="E243" s="182"/>
    </row>
    <row r="244" spans="4:5" x14ac:dyDescent="0.25">
      <c r="D244" s="182"/>
      <c r="E244" s="182"/>
    </row>
    <row r="245" spans="4:5" x14ac:dyDescent="0.25">
      <c r="D245" s="182"/>
      <c r="E245" s="182"/>
    </row>
    <row r="246" spans="4:5" x14ac:dyDescent="0.25">
      <c r="D246" s="182"/>
      <c r="E246" s="182"/>
    </row>
    <row r="247" spans="4:5" x14ac:dyDescent="0.25">
      <c r="D247" s="182"/>
      <c r="E247" s="182"/>
    </row>
    <row r="248" spans="4:5" x14ac:dyDescent="0.25">
      <c r="D248" s="182"/>
      <c r="E248" s="182"/>
    </row>
    <row r="249" spans="4:5" x14ac:dyDescent="0.25">
      <c r="D249" s="182"/>
      <c r="E249" s="182"/>
    </row>
    <row r="250" spans="4:5" x14ac:dyDescent="0.25">
      <c r="D250" s="182"/>
      <c r="E250" s="182"/>
    </row>
    <row r="251" spans="4:5" x14ac:dyDescent="0.25">
      <c r="D251" s="182"/>
      <c r="E251" s="182"/>
    </row>
    <row r="252" spans="4:5" x14ac:dyDescent="0.25">
      <c r="D252" s="182"/>
      <c r="E252" s="182"/>
    </row>
    <row r="253" spans="4:5" x14ac:dyDescent="0.25">
      <c r="D253" s="182"/>
      <c r="E253" s="182"/>
    </row>
    <row r="254" spans="4:5" x14ac:dyDescent="0.25">
      <c r="D254" s="182"/>
      <c r="E254" s="182"/>
    </row>
    <row r="255" spans="4:5" x14ac:dyDescent="0.25">
      <c r="D255" s="182"/>
      <c r="E255" s="182"/>
    </row>
    <row r="256" spans="4:5" x14ac:dyDescent="0.25">
      <c r="D256" s="182"/>
      <c r="E256" s="182"/>
    </row>
    <row r="257" spans="4:5" x14ac:dyDescent="0.25">
      <c r="D257" s="182"/>
      <c r="E257" s="182"/>
    </row>
    <row r="258" spans="4:5" x14ac:dyDescent="0.25">
      <c r="D258" s="182"/>
      <c r="E258" s="182"/>
    </row>
    <row r="259" spans="4:5" x14ac:dyDescent="0.25">
      <c r="D259" s="182"/>
      <c r="E259" s="182"/>
    </row>
    <row r="260" spans="4:5" x14ac:dyDescent="0.25">
      <c r="D260" s="182"/>
      <c r="E260" s="182"/>
    </row>
    <row r="261" spans="4:5" x14ac:dyDescent="0.25">
      <c r="D261" s="182"/>
      <c r="E261" s="182"/>
    </row>
    <row r="262" spans="4:5" x14ac:dyDescent="0.25">
      <c r="D262" s="182"/>
      <c r="E262" s="182"/>
    </row>
    <row r="263" spans="4:5" x14ac:dyDescent="0.25">
      <c r="D263" s="182"/>
      <c r="E263" s="182"/>
    </row>
    <row r="264" spans="4:5" x14ac:dyDescent="0.25">
      <c r="D264" s="182"/>
      <c r="E264" s="182"/>
    </row>
    <row r="265" spans="4:5" x14ac:dyDescent="0.25">
      <c r="D265" s="182"/>
      <c r="E265" s="182"/>
    </row>
    <row r="266" spans="4:5" x14ac:dyDescent="0.25">
      <c r="D266" s="182"/>
      <c r="E266" s="182"/>
    </row>
    <row r="267" spans="4:5" x14ac:dyDescent="0.25">
      <c r="D267" s="182"/>
      <c r="E267" s="182"/>
    </row>
    <row r="268" spans="4:5" x14ac:dyDescent="0.25">
      <c r="D268" s="182"/>
      <c r="E268" s="182"/>
    </row>
    <row r="269" spans="4:5" x14ac:dyDescent="0.25">
      <c r="D269" s="182"/>
      <c r="E269" s="182"/>
    </row>
    <row r="270" spans="4:5" x14ac:dyDescent="0.25">
      <c r="D270" s="182"/>
      <c r="E270" s="182"/>
    </row>
    <row r="271" spans="4:5" x14ac:dyDescent="0.25">
      <c r="D271" s="182"/>
      <c r="E271" s="182"/>
    </row>
    <row r="272" spans="4:5" x14ac:dyDescent="0.25">
      <c r="D272" s="182"/>
      <c r="E272" s="182"/>
    </row>
    <row r="273" spans="4:5" x14ac:dyDescent="0.25">
      <c r="D273" s="182"/>
      <c r="E273" s="182"/>
    </row>
    <row r="274" spans="4:5" x14ac:dyDescent="0.25">
      <c r="D274" s="182"/>
      <c r="E274" s="182"/>
    </row>
    <row r="275" spans="4:5" x14ac:dyDescent="0.25">
      <c r="D275" s="182"/>
      <c r="E275" s="182"/>
    </row>
    <row r="276" spans="4:5" x14ac:dyDescent="0.25">
      <c r="D276" s="182"/>
      <c r="E276" s="182"/>
    </row>
    <row r="277" spans="4:5" x14ac:dyDescent="0.25">
      <c r="D277" s="182"/>
      <c r="E277" s="182"/>
    </row>
    <row r="278" spans="4:5" x14ac:dyDescent="0.25">
      <c r="D278" s="182"/>
      <c r="E278" s="182"/>
    </row>
    <row r="279" spans="4:5" x14ac:dyDescent="0.25">
      <c r="D279" s="182"/>
      <c r="E279" s="182"/>
    </row>
    <row r="280" spans="4:5" x14ac:dyDescent="0.25">
      <c r="D280" s="182"/>
      <c r="E280" s="182"/>
    </row>
    <row r="281" spans="4:5" x14ac:dyDescent="0.25">
      <c r="D281" s="182"/>
      <c r="E281" s="182"/>
    </row>
    <row r="282" spans="4:5" x14ac:dyDescent="0.25">
      <c r="D282" s="182"/>
      <c r="E282" s="182"/>
    </row>
    <row r="283" spans="4:5" x14ac:dyDescent="0.25">
      <c r="D283" s="182"/>
      <c r="E283" s="182"/>
    </row>
    <row r="284" spans="4:5" x14ac:dyDescent="0.25">
      <c r="D284" s="182"/>
      <c r="E284" s="182"/>
    </row>
    <row r="285" spans="4:5" x14ac:dyDescent="0.25">
      <c r="D285" s="182"/>
      <c r="E285" s="182"/>
    </row>
    <row r="286" spans="4:5" x14ac:dyDescent="0.25">
      <c r="D286" s="182"/>
      <c r="E286" s="182"/>
    </row>
    <row r="287" spans="4:5" x14ac:dyDescent="0.25">
      <c r="D287" s="182"/>
      <c r="E287" s="182"/>
    </row>
    <row r="288" spans="4:5" x14ac:dyDescent="0.25">
      <c r="D288" s="182"/>
      <c r="E288" s="182"/>
    </row>
    <row r="289" spans="4:5" x14ac:dyDescent="0.25">
      <c r="D289" s="182"/>
      <c r="E289" s="182"/>
    </row>
    <row r="290" spans="4:5" x14ac:dyDescent="0.25">
      <c r="D290" s="182"/>
      <c r="E290" s="182"/>
    </row>
    <row r="291" spans="4:5" x14ac:dyDescent="0.25">
      <c r="D291" s="182"/>
      <c r="E291" s="182"/>
    </row>
    <row r="292" spans="4:5" x14ac:dyDescent="0.25">
      <c r="D292" s="182"/>
      <c r="E292" s="182"/>
    </row>
    <row r="293" spans="4:5" x14ac:dyDescent="0.25">
      <c r="D293" s="182"/>
      <c r="E293" s="182"/>
    </row>
    <row r="294" spans="4:5" x14ac:dyDescent="0.25">
      <c r="D294" s="182"/>
      <c r="E294" s="182"/>
    </row>
    <row r="295" spans="4:5" x14ac:dyDescent="0.25">
      <c r="D295" s="182"/>
      <c r="E295" s="182"/>
    </row>
    <row r="296" spans="4:5" x14ac:dyDescent="0.25">
      <c r="D296" s="182"/>
      <c r="E296" s="182"/>
    </row>
    <row r="297" spans="4:5" x14ac:dyDescent="0.25">
      <c r="D297" s="182"/>
      <c r="E297" s="182"/>
    </row>
    <row r="298" spans="4:5" x14ac:dyDescent="0.25">
      <c r="D298" s="182"/>
      <c r="E298" s="182"/>
    </row>
    <row r="299" spans="4:5" x14ac:dyDescent="0.25">
      <c r="D299" s="182"/>
      <c r="E299" s="182"/>
    </row>
    <row r="300" spans="4:5" x14ac:dyDescent="0.25">
      <c r="D300" s="182"/>
      <c r="E300" s="182"/>
    </row>
    <row r="301" spans="4:5" x14ac:dyDescent="0.25">
      <c r="D301" s="182"/>
      <c r="E301" s="182"/>
    </row>
    <row r="302" spans="4:5" x14ac:dyDescent="0.25">
      <c r="D302" s="182"/>
      <c r="E302" s="182"/>
    </row>
    <row r="303" spans="4:5" x14ac:dyDescent="0.25">
      <c r="D303" s="182"/>
      <c r="E303" s="182"/>
    </row>
    <row r="304" spans="4:5" x14ac:dyDescent="0.25">
      <c r="D304" s="182"/>
      <c r="E304" s="182"/>
    </row>
    <row r="305" spans="4:5" x14ac:dyDescent="0.25">
      <c r="D305" s="182"/>
      <c r="E305" s="182"/>
    </row>
    <row r="306" spans="4:5" x14ac:dyDescent="0.25">
      <c r="D306" s="182"/>
      <c r="E306" s="182"/>
    </row>
    <row r="307" spans="4:5" x14ac:dyDescent="0.25">
      <c r="D307" s="182"/>
      <c r="E307" s="182"/>
    </row>
    <row r="308" spans="4:5" x14ac:dyDescent="0.25">
      <c r="D308" s="182"/>
      <c r="E308" s="182"/>
    </row>
    <row r="309" spans="4:5" x14ac:dyDescent="0.25">
      <c r="D309" s="182"/>
      <c r="E309" s="182"/>
    </row>
    <row r="310" spans="4:5" x14ac:dyDescent="0.25">
      <c r="D310" s="182"/>
      <c r="E310" s="182"/>
    </row>
    <row r="311" spans="4:5" x14ac:dyDescent="0.25">
      <c r="D311" s="182"/>
      <c r="E311" s="182"/>
    </row>
    <row r="312" spans="4:5" x14ac:dyDescent="0.25">
      <c r="D312" s="182"/>
      <c r="E312" s="182"/>
    </row>
    <row r="313" spans="4:5" x14ac:dyDescent="0.25">
      <c r="D313" s="182"/>
      <c r="E313" s="182"/>
    </row>
    <row r="314" spans="4:5" x14ac:dyDescent="0.25">
      <c r="D314" s="182"/>
      <c r="E314" s="182"/>
    </row>
    <row r="315" spans="4:5" x14ac:dyDescent="0.25">
      <c r="D315" s="182"/>
      <c r="E315" s="182"/>
    </row>
    <row r="316" spans="4:5" x14ac:dyDescent="0.25">
      <c r="D316" s="182"/>
      <c r="E316" s="182"/>
    </row>
    <row r="317" spans="4:5" x14ac:dyDescent="0.25">
      <c r="D317" s="182"/>
      <c r="E317" s="182"/>
    </row>
    <row r="318" spans="4:5" x14ac:dyDescent="0.25">
      <c r="D318" s="182"/>
      <c r="E318" s="182"/>
    </row>
    <row r="319" spans="4:5" x14ac:dyDescent="0.25">
      <c r="D319" s="182"/>
      <c r="E319" s="182"/>
    </row>
    <row r="320" spans="4:5" x14ac:dyDescent="0.25">
      <c r="D320" s="182"/>
      <c r="E320" s="182"/>
    </row>
    <row r="321" spans="4:5" x14ac:dyDescent="0.25">
      <c r="D321" s="182"/>
      <c r="E321" s="182"/>
    </row>
    <row r="322" spans="4:5" x14ac:dyDescent="0.25">
      <c r="D322" s="182"/>
      <c r="E322" s="182"/>
    </row>
    <row r="323" spans="4:5" x14ac:dyDescent="0.25">
      <c r="D323" s="182"/>
      <c r="E323" s="182"/>
    </row>
    <row r="324" spans="4:5" x14ac:dyDescent="0.25">
      <c r="D324" s="182"/>
      <c r="E324" s="182"/>
    </row>
    <row r="325" spans="4:5" x14ac:dyDescent="0.25">
      <c r="D325" s="182"/>
      <c r="E325" s="182"/>
    </row>
    <row r="326" spans="4:5" x14ac:dyDescent="0.25">
      <c r="D326" s="182"/>
      <c r="E326" s="182"/>
    </row>
    <row r="327" spans="4:5" x14ac:dyDescent="0.25">
      <c r="D327" s="182"/>
      <c r="E327" s="182"/>
    </row>
    <row r="328" spans="4:5" x14ac:dyDescent="0.25">
      <c r="D328" s="182"/>
      <c r="E328" s="182"/>
    </row>
    <row r="329" spans="4:5" x14ac:dyDescent="0.25">
      <c r="D329" s="182"/>
      <c r="E329" s="182"/>
    </row>
    <row r="330" spans="4:5" x14ac:dyDescent="0.25">
      <c r="D330" s="182"/>
      <c r="E330" s="182"/>
    </row>
    <row r="331" spans="4:5" x14ac:dyDescent="0.25">
      <c r="D331" s="182"/>
      <c r="E331" s="182"/>
    </row>
    <row r="332" spans="4:5" x14ac:dyDescent="0.25">
      <c r="D332" s="182"/>
      <c r="E332" s="182"/>
    </row>
    <row r="333" spans="4:5" x14ac:dyDescent="0.25">
      <c r="D333" s="182"/>
      <c r="E333" s="182"/>
    </row>
    <row r="334" spans="4:5" x14ac:dyDescent="0.25">
      <c r="D334" s="182"/>
      <c r="E334" s="182"/>
    </row>
    <row r="335" spans="4:5" x14ac:dyDescent="0.25">
      <c r="D335" s="182"/>
      <c r="E335" s="182"/>
    </row>
    <row r="336" spans="4:5" x14ac:dyDescent="0.25">
      <c r="D336" s="182"/>
      <c r="E336" s="182"/>
    </row>
    <row r="337" spans="4:5" x14ac:dyDescent="0.25">
      <c r="D337" s="182"/>
      <c r="E337" s="182"/>
    </row>
    <row r="338" spans="4:5" x14ac:dyDescent="0.25">
      <c r="D338" s="182"/>
      <c r="E338" s="182"/>
    </row>
    <row r="339" spans="4:5" x14ac:dyDescent="0.25">
      <c r="D339" s="182"/>
      <c r="E339" s="182"/>
    </row>
    <row r="340" spans="4:5" x14ac:dyDescent="0.25">
      <c r="D340" s="182"/>
      <c r="E340" s="182"/>
    </row>
    <row r="341" spans="4:5" x14ac:dyDescent="0.25">
      <c r="D341" s="182"/>
      <c r="E341" s="182"/>
    </row>
    <row r="342" spans="4:5" x14ac:dyDescent="0.25">
      <c r="D342" s="182"/>
      <c r="E342" s="182"/>
    </row>
    <row r="343" spans="4:5" x14ac:dyDescent="0.25">
      <c r="D343" s="182"/>
      <c r="E343" s="182"/>
    </row>
    <row r="344" spans="4:5" x14ac:dyDescent="0.25">
      <c r="D344" s="182"/>
      <c r="E344" s="182"/>
    </row>
    <row r="345" spans="4:5" x14ac:dyDescent="0.25">
      <c r="D345" s="182"/>
      <c r="E345" s="182"/>
    </row>
    <row r="346" spans="4:5" x14ac:dyDescent="0.25">
      <c r="D346" s="182"/>
      <c r="E346" s="182"/>
    </row>
    <row r="347" spans="4:5" x14ac:dyDescent="0.25">
      <c r="D347" s="182"/>
      <c r="E347" s="182"/>
    </row>
    <row r="348" spans="4:5" x14ac:dyDescent="0.25">
      <c r="D348" s="182"/>
      <c r="E348" s="182"/>
    </row>
    <row r="349" spans="4:5" x14ac:dyDescent="0.25">
      <c r="D349" s="182"/>
      <c r="E349" s="182"/>
    </row>
    <row r="350" spans="4:5" x14ac:dyDescent="0.25">
      <c r="D350" s="182"/>
      <c r="E350" s="182"/>
    </row>
    <row r="351" spans="4:5" x14ac:dyDescent="0.25">
      <c r="D351" s="182"/>
      <c r="E351" s="182"/>
    </row>
    <row r="352" spans="4:5" x14ac:dyDescent="0.25">
      <c r="D352" s="182"/>
      <c r="E352" s="182"/>
    </row>
    <row r="353" spans="4:5" x14ac:dyDescent="0.25">
      <c r="D353" s="182"/>
      <c r="E353" s="182"/>
    </row>
    <row r="354" spans="4:5" x14ac:dyDescent="0.25">
      <c r="D354" s="182"/>
      <c r="E354" s="182"/>
    </row>
    <row r="355" spans="4:5" x14ac:dyDescent="0.25">
      <c r="D355" s="182"/>
      <c r="E355" s="182"/>
    </row>
    <row r="356" spans="4:5" x14ac:dyDescent="0.25">
      <c r="D356" s="182"/>
      <c r="E356" s="182"/>
    </row>
    <row r="357" spans="4:5" x14ac:dyDescent="0.25">
      <c r="D357" s="182"/>
      <c r="E357" s="182"/>
    </row>
    <row r="358" spans="4:5" x14ac:dyDescent="0.25">
      <c r="D358" s="182"/>
      <c r="E358" s="182"/>
    </row>
    <row r="359" spans="4:5" x14ac:dyDescent="0.25">
      <c r="D359" s="182"/>
      <c r="E359" s="182"/>
    </row>
    <row r="360" spans="4:5" x14ac:dyDescent="0.25">
      <c r="D360" s="182"/>
      <c r="E360" s="182"/>
    </row>
    <row r="361" spans="4:5" x14ac:dyDescent="0.25">
      <c r="D361" s="182"/>
      <c r="E361" s="182"/>
    </row>
    <row r="362" spans="4:5" x14ac:dyDescent="0.25">
      <c r="D362" s="182"/>
      <c r="E362" s="182"/>
    </row>
    <row r="363" spans="4:5" x14ac:dyDescent="0.25">
      <c r="D363" s="182"/>
      <c r="E363" s="182"/>
    </row>
    <row r="364" spans="4:5" x14ac:dyDescent="0.25">
      <c r="D364" s="182"/>
      <c r="E364" s="182"/>
    </row>
    <row r="365" spans="4:5" x14ac:dyDescent="0.25">
      <c r="D365" s="182"/>
      <c r="E365" s="182"/>
    </row>
    <row r="366" spans="4:5" x14ac:dyDescent="0.25">
      <c r="D366" s="182"/>
      <c r="E366" s="182"/>
    </row>
    <row r="367" spans="4:5" x14ac:dyDescent="0.25">
      <c r="D367" s="182"/>
      <c r="E367" s="182"/>
    </row>
    <row r="368" spans="4:5" x14ac:dyDescent="0.25">
      <c r="D368" s="182"/>
      <c r="E368" s="182"/>
    </row>
    <row r="369" spans="4:5" x14ac:dyDescent="0.25">
      <c r="D369" s="182"/>
      <c r="E369" s="182"/>
    </row>
    <row r="370" spans="4:5" x14ac:dyDescent="0.25">
      <c r="D370" s="182"/>
      <c r="E370" s="182"/>
    </row>
    <row r="371" spans="4:5" x14ac:dyDescent="0.25">
      <c r="D371" s="182"/>
      <c r="E371" s="182"/>
    </row>
    <row r="372" spans="4:5" x14ac:dyDescent="0.25">
      <c r="D372" s="182"/>
      <c r="E372" s="182"/>
    </row>
    <row r="373" spans="4:5" x14ac:dyDescent="0.25">
      <c r="D373" s="182"/>
      <c r="E373" s="182"/>
    </row>
    <row r="374" spans="4:5" x14ac:dyDescent="0.25">
      <c r="D374" s="182"/>
      <c r="E374" s="182"/>
    </row>
    <row r="375" spans="4:5" x14ac:dyDescent="0.25">
      <c r="D375" s="182"/>
      <c r="E375" s="182"/>
    </row>
    <row r="376" spans="4:5" x14ac:dyDescent="0.25">
      <c r="D376" s="182"/>
      <c r="E376" s="182"/>
    </row>
    <row r="377" spans="4:5" x14ac:dyDescent="0.25">
      <c r="D377" s="182"/>
      <c r="E377" s="182"/>
    </row>
    <row r="378" spans="4:5" x14ac:dyDescent="0.25">
      <c r="D378" s="182"/>
      <c r="E378" s="182"/>
    </row>
    <row r="379" spans="4:5" x14ac:dyDescent="0.25">
      <c r="D379" s="182"/>
      <c r="E379" s="182"/>
    </row>
    <row r="380" spans="4:5" x14ac:dyDescent="0.25">
      <c r="D380" s="182"/>
      <c r="E380" s="182"/>
    </row>
    <row r="381" spans="4:5" x14ac:dyDescent="0.25">
      <c r="D381" s="182"/>
      <c r="E381" s="182"/>
    </row>
    <row r="382" spans="4:5" x14ac:dyDescent="0.25">
      <c r="D382" s="182"/>
      <c r="E382" s="182"/>
    </row>
    <row r="383" spans="4:5" x14ac:dyDescent="0.25">
      <c r="D383" s="182"/>
      <c r="E383" s="182"/>
    </row>
    <row r="384" spans="4:5" x14ac:dyDescent="0.25">
      <c r="D384" s="182"/>
      <c r="E384" s="182"/>
    </row>
    <row r="385" spans="4:5" x14ac:dyDescent="0.25">
      <c r="D385" s="182"/>
      <c r="E385" s="182"/>
    </row>
    <row r="386" spans="4:5" x14ac:dyDescent="0.25">
      <c r="D386" s="182"/>
      <c r="E386" s="182"/>
    </row>
    <row r="387" spans="4:5" x14ac:dyDescent="0.25">
      <c r="D387" s="182"/>
      <c r="E387" s="182"/>
    </row>
    <row r="388" spans="4:5" x14ac:dyDescent="0.25">
      <c r="D388" s="182"/>
      <c r="E388" s="182"/>
    </row>
    <row r="389" spans="4:5" x14ac:dyDescent="0.25">
      <c r="D389" s="182"/>
      <c r="E389" s="182"/>
    </row>
    <row r="390" spans="4:5" x14ac:dyDescent="0.25">
      <c r="D390" s="182"/>
      <c r="E390" s="182"/>
    </row>
    <row r="391" spans="4:5" x14ac:dyDescent="0.25">
      <c r="D391" s="182"/>
      <c r="E391" s="182"/>
    </row>
    <row r="392" spans="4:5" x14ac:dyDescent="0.25">
      <c r="D392" s="182"/>
      <c r="E392" s="182"/>
    </row>
    <row r="393" spans="4:5" x14ac:dyDescent="0.25">
      <c r="D393" s="182"/>
      <c r="E393" s="182"/>
    </row>
    <row r="394" spans="4:5" x14ac:dyDescent="0.25">
      <c r="D394" s="182"/>
      <c r="E394" s="182"/>
    </row>
    <row r="395" spans="4:5" x14ac:dyDescent="0.25">
      <c r="D395" s="182"/>
      <c r="E395" s="182"/>
    </row>
    <row r="396" spans="4:5" x14ac:dyDescent="0.25">
      <c r="D396" s="182"/>
      <c r="E396" s="182"/>
    </row>
    <row r="397" spans="4:5" x14ac:dyDescent="0.25">
      <c r="D397" s="182"/>
      <c r="E397" s="182"/>
    </row>
    <row r="398" spans="4:5" x14ac:dyDescent="0.25">
      <c r="D398" s="182"/>
      <c r="E398" s="182"/>
    </row>
    <row r="399" spans="4:5" x14ac:dyDescent="0.25">
      <c r="D399" s="182"/>
      <c r="E399" s="182"/>
    </row>
    <row r="400" spans="4:5" x14ac:dyDescent="0.25">
      <c r="D400" s="182"/>
      <c r="E400" s="182"/>
    </row>
    <row r="401" spans="4:5" x14ac:dyDescent="0.25">
      <c r="D401" s="182"/>
      <c r="E401" s="182"/>
    </row>
    <row r="402" spans="4:5" x14ac:dyDescent="0.25">
      <c r="D402" s="182"/>
      <c r="E402" s="182"/>
    </row>
    <row r="403" spans="4:5" x14ac:dyDescent="0.25">
      <c r="D403" s="182"/>
      <c r="E403" s="182"/>
    </row>
    <row r="404" spans="4:5" x14ac:dyDescent="0.25">
      <c r="D404" s="182"/>
      <c r="E404" s="182"/>
    </row>
    <row r="405" spans="4:5" x14ac:dyDescent="0.25">
      <c r="D405" s="182"/>
      <c r="E405" s="182"/>
    </row>
    <row r="406" spans="4:5" x14ac:dyDescent="0.25">
      <c r="D406" s="182"/>
      <c r="E406" s="182"/>
    </row>
    <row r="407" spans="4:5" x14ac:dyDescent="0.25">
      <c r="D407" s="182"/>
      <c r="E407" s="182"/>
    </row>
    <row r="408" spans="4:5" x14ac:dyDescent="0.25">
      <c r="D408" s="182"/>
      <c r="E408" s="182"/>
    </row>
    <row r="409" spans="4:5" x14ac:dyDescent="0.25">
      <c r="D409" s="182"/>
      <c r="E409" s="182"/>
    </row>
    <row r="410" spans="4:5" x14ac:dyDescent="0.25">
      <c r="D410" s="182"/>
      <c r="E410" s="182"/>
    </row>
    <row r="411" spans="4:5" x14ac:dyDescent="0.25">
      <c r="D411" s="182"/>
      <c r="E411" s="182"/>
    </row>
    <row r="412" spans="4:5" x14ac:dyDescent="0.25">
      <c r="D412" s="182"/>
      <c r="E412" s="182"/>
    </row>
    <row r="413" spans="4:5" x14ac:dyDescent="0.25">
      <c r="D413" s="182"/>
      <c r="E413" s="182"/>
    </row>
    <row r="414" spans="4:5" x14ac:dyDescent="0.25">
      <c r="D414" s="182"/>
      <c r="E414" s="182"/>
    </row>
    <row r="415" spans="4:5" x14ac:dyDescent="0.25">
      <c r="D415" s="182"/>
      <c r="E415" s="182"/>
    </row>
    <row r="416" spans="4:5" x14ac:dyDescent="0.25">
      <c r="D416" s="182"/>
      <c r="E416" s="182"/>
    </row>
    <row r="417" spans="4:5" x14ac:dyDescent="0.25">
      <c r="D417" s="182"/>
      <c r="E417" s="182"/>
    </row>
    <row r="418" spans="4:5" x14ac:dyDescent="0.25">
      <c r="D418" s="182"/>
      <c r="E418" s="182"/>
    </row>
    <row r="419" spans="4:5" x14ac:dyDescent="0.25">
      <c r="D419" s="182"/>
      <c r="E419" s="182"/>
    </row>
    <row r="420" spans="4:5" x14ac:dyDescent="0.25">
      <c r="D420" s="182"/>
      <c r="E420" s="182"/>
    </row>
    <row r="421" spans="4:5" x14ac:dyDescent="0.25">
      <c r="D421" s="182"/>
      <c r="E421" s="182"/>
    </row>
    <row r="422" spans="4:5" x14ac:dyDescent="0.25">
      <c r="D422" s="182"/>
      <c r="E422" s="182"/>
    </row>
    <row r="423" spans="4:5" x14ac:dyDescent="0.25">
      <c r="D423" s="182"/>
      <c r="E423" s="182"/>
    </row>
    <row r="424" spans="4:5" x14ac:dyDescent="0.25">
      <c r="D424" s="182"/>
      <c r="E424" s="182"/>
    </row>
    <row r="425" spans="4:5" x14ac:dyDescent="0.25">
      <c r="D425" s="182"/>
      <c r="E425" s="182"/>
    </row>
    <row r="426" spans="4:5" x14ac:dyDescent="0.25">
      <c r="D426" s="182"/>
      <c r="E426" s="182"/>
    </row>
    <row r="427" spans="4:5" x14ac:dyDescent="0.25">
      <c r="D427" s="182"/>
      <c r="E427" s="182"/>
    </row>
    <row r="428" spans="4:5" x14ac:dyDescent="0.25">
      <c r="D428" s="182"/>
      <c r="E428" s="182"/>
    </row>
    <row r="429" spans="4:5" x14ac:dyDescent="0.25">
      <c r="D429" s="182"/>
      <c r="E429" s="182"/>
    </row>
    <row r="430" spans="4:5" x14ac:dyDescent="0.25">
      <c r="D430" s="182"/>
      <c r="E430" s="182"/>
    </row>
    <row r="431" spans="4:5" x14ac:dyDescent="0.25">
      <c r="D431" s="182"/>
      <c r="E431" s="182"/>
    </row>
    <row r="432" spans="4:5" x14ac:dyDescent="0.25">
      <c r="D432" s="182"/>
      <c r="E432" s="182"/>
    </row>
    <row r="433" spans="4:5" x14ac:dyDescent="0.25">
      <c r="D433" s="182"/>
      <c r="E433" s="182"/>
    </row>
    <row r="434" spans="4:5" x14ac:dyDescent="0.25">
      <c r="D434" s="182"/>
      <c r="E434" s="182"/>
    </row>
    <row r="435" spans="4:5" x14ac:dyDescent="0.25">
      <c r="D435" s="182"/>
      <c r="E435" s="182"/>
    </row>
    <row r="436" spans="4:5" x14ac:dyDescent="0.25">
      <c r="D436" s="182"/>
      <c r="E436" s="182"/>
    </row>
    <row r="437" spans="4:5" x14ac:dyDescent="0.25">
      <c r="D437" s="182"/>
      <c r="E437" s="182"/>
    </row>
    <row r="438" spans="4:5" x14ac:dyDescent="0.25">
      <c r="D438" s="182"/>
      <c r="E438" s="182"/>
    </row>
    <row r="439" spans="4:5" x14ac:dyDescent="0.25">
      <c r="D439" s="182"/>
      <c r="E439" s="182"/>
    </row>
    <row r="440" spans="4:5" x14ac:dyDescent="0.25">
      <c r="D440" s="182"/>
      <c r="E440" s="182"/>
    </row>
    <row r="441" spans="4:5" x14ac:dyDescent="0.25">
      <c r="D441" s="182"/>
      <c r="E441" s="182"/>
    </row>
    <row r="442" spans="4:5" x14ac:dyDescent="0.25">
      <c r="D442" s="182"/>
      <c r="E442" s="182"/>
    </row>
    <row r="443" spans="4:5" x14ac:dyDescent="0.25">
      <c r="D443" s="182"/>
      <c r="E443" s="182"/>
    </row>
    <row r="444" spans="4:5" x14ac:dyDescent="0.25">
      <c r="D444" s="182"/>
      <c r="E444" s="182"/>
    </row>
    <row r="445" spans="4:5" x14ac:dyDescent="0.25">
      <c r="D445" s="182"/>
      <c r="E445" s="182"/>
    </row>
    <row r="446" spans="4:5" x14ac:dyDescent="0.25">
      <c r="D446" s="182"/>
      <c r="E446" s="182"/>
    </row>
    <row r="447" spans="4:5" x14ac:dyDescent="0.25">
      <c r="D447" s="182"/>
      <c r="E447" s="182"/>
    </row>
    <row r="448" spans="4:5" x14ac:dyDescent="0.25">
      <c r="D448" s="182"/>
      <c r="E448" s="182"/>
    </row>
    <row r="449" spans="4:5" x14ac:dyDescent="0.25">
      <c r="D449" s="182"/>
      <c r="E449" s="182"/>
    </row>
    <row r="450" spans="4:5" x14ac:dyDescent="0.25">
      <c r="D450" s="182"/>
      <c r="E450" s="182"/>
    </row>
    <row r="451" spans="4:5" x14ac:dyDescent="0.25">
      <c r="D451" s="182"/>
      <c r="E451" s="182"/>
    </row>
    <row r="452" spans="4:5" x14ac:dyDescent="0.25">
      <c r="D452" s="182"/>
      <c r="E452" s="182"/>
    </row>
    <row r="453" spans="4:5" x14ac:dyDescent="0.25">
      <c r="D453" s="182"/>
      <c r="E453" s="182"/>
    </row>
    <row r="454" spans="4:5" x14ac:dyDescent="0.25">
      <c r="D454" s="182"/>
      <c r="E454" s="182"/>
    </row>
    <row r="455" spans="4:5" x14ac:dyDescent="0.25">
      <c r="D455" s="182"/>
      <c r="E455" s="182"/>
    </row>
    <row r="456" spans="4:5" x14ac:dyDescent="0.25">
      <c r="D456" s="182"/>
      <c r="E456" s="182"/>
    </row>
    <row r="457" spans="4:5" x14ac:dyDescent="0.25">
      <c r="D457" s="182"/>
      <c r="E457" s="182"/>
    </row>
    <row r="458" spans="4:5" x14ac:dyDescent="0.25">
      <c r="D458" s="182"/>
      <c r="E458" s="182"/>
    </row>
    <row r="459" spans="4:5" x14ac:dyDescent="0.25">
      <c r="D459" s="182"/>
      <c r="E459" s="182"/>
    </row>
    <row r="460" spans="4:5" x14ac:dyDescent="0.25">
      <c r="D460" s="182"/>
      <c r="E460" s="182"/>
    </row>
    <row r="461" spans="4:5" x14ac:dyDescent="0.25">
      <c r="D461" s="182"/>
      <c r="E461" s="182"/>
    </row>
    <row r="462" spans="4:5" x14ac:dyDescent="0.25">
      <c r="D462" s="182"/>
      <c r="E462" s="182"/>
    </row>
    <row r="463" spans="4:5" x14ac:dyDescent="0.25">
      <c r="D463" s="182"/>
      <c r="E463" s="182"/>
    </row>
    <row r="464" spans="4:5" x14ac:dyDescent="0.25">
      <c r="D464" s="182"/>
      <c r="E464" s="182"/>
    </row>
    <row r="465" spans="4:5" x14ac:dyDescent="0.25">
      <c r="D465" s="182"/>
      <c r="E465" s="182"/>
    </row>
    <row r="466" spans="4:5" x14ac:dyDescent="0.25">
      <c r="D466" s="182"/>
      <c r="E466" s="182"/>
    </row>
    <row r="467" spans="4:5" x14ac:dyDescent="0.25">
      <c r="D467" s="182"/>
      <c r="E467" s="182"/>
    </row>
    <row r="468" spans="4:5" x14ac:dyDescent="0.25">
      <c r="D468" s="182"/>
      <c r="E468" s="182"/>
    </row>
    <row r="469" spans="4:5" x14ac:dyDescent="0.25">
      <c r="D469" s="182"/>
      <c r="E469" s="182"/>
    </row>
    <row r="470" spans="4:5" x14ac:dyDescent="0.25">
      <c r="D470" s="182"/>
      <c r="E470" s="182"/>
    </row>
    <row r="471" spans="4:5" x14ac:dyDescent="0.25">
      <c r="D471" s="182"/>
      <c r="E471" s="182"/>
    </row>
    <row r="472" spans="4:5" x14ac:dyDescent="0.25">
      <c r="D472" s="182"/>
      <c r="E472" s="182"/>
    </row>
    <row r="473" spans="4:5" x14ac:dyDescent="0.25">
      <c r="D473" s="182"/>
      <c r="E473" s="182"/>
    </row>
    <row r="474" spans="4:5" x14ac:dyDescent="0.25">
      <c r="D474" s="182"/>
      <c r="E474" s="182"/>
    </row>
    <row r="475" spans="4:5" x14ac:dyDescent="0.25">
      <c r="D475" s="182"/>
      <c r="E475" s="182"/>
    </row>
    <row r="476" spans="4:5" x14ac:dyDescent="0.25">
      <c r="D476" s="182"/>
      <c r="E476" s="182"/>
    </row>
    <row r="477" spans="4:5" x14ac:dyDescent="0.25">
      <c r="D477" s="182"/>
      <c r="E477" s="182"/>
    </row>
    <row r="478" spans="4:5" x14ac:dyDescent="0.25">
      <c r="D478" s="182"/>
      <c r="E478" s="182"/>
    </row>
    <row r="479" spans="4:5" x14ac:dyDescent="0.25">
      <c r="D479" s="182"/>
      <c r="E479" s="182"/>
    </row>
    <row r="480" spans="4:5" x14ac:dyDescent="0.25">
      <c r="D480" s="182"/>
      <c r="E480" s="182"/>
    </row>
    <row r="481" spans="4:5" x14ac:dyDescent="0.25">
      <c r="D481" s="182"/>
      <c r="E481" s="182"/>
    </row>
    <row r="482" spans="4:5" x14ac:dyDescent="0.25">
      <c r="D482" s="182"/>
      <c r="E482" s="182"/>
    </row>
    <row r="483" spans="4:5" x14ac:dyDescent="0.25">
      <c r="D483" s="182"/>
      <c r="E483" s="182"/>
    </row>
    <row r="484" spans="4:5" x14ac:dyDescent="0.25">
      <c r="D484" s="182"/>
      <c r="E484" s="182"/>
    </row>
    <row r="485" spans="4:5" x14ac:dyDescent="0.25">
      <c r="D485" s="182"/>
      <c r="E485" s="182"/>
    </row>
    <row r="486" spans="4:5" x14ac:dyDescent="0.25">
      <c r="D486" s="182"/>
      <c r="E486" s="182"/>
    </row>
    <row r="487" spans="4:5" x14ac:dyDescent="0.25">
      <c r="D487" s="182"/>
      <c r="E487" s="182"/>
    </row>
    <row r="488" spans="4:5" x14ac:dyDescent="0.25">
      <c r="D488" s="182"/>
      <c r="E488" s="182"/>
    </row>
    <row r="489" spans="4:5" x14ac:dyDescent="0.25">
      <c r="D489" s="182"/>
      <c r="E489" s="182"/>
    </row>
    <row r="490" spans="4:5" x14ac:dyDescent="0.25">
      <c r="D490" s="182"/>
      <c r="E490" s="182"/>
    </row>
    <row r="491" spans="4:5" x14ac:dyDescent="0.25">
      <c r="D491" s="182"/>
      <c r="E491" s="182"/>
    </row>
    <row r="492" spans="4:5" x14ac:dyDescent="0.25">
      <c r="D492" s="182"/>
      <c r="E492" s="182"/>
    </row>
    <row r="493" spans="4:5" x14ac:dyDescent="0.25">
      <c r="D493" s="182"/>
      <c r="E493" s="182"/>
    </row>
    <row r="494" spans="4:5" x14ac:dyDescent="0.25">
      <c r="D494" s="182"/>
      <c r="E494" s="182"/>
    </row>
    <row r="495" spans="4:5" x14ac:dyDescent="0.25">
      <c r="D495" s="182"/>
      <c r="E495" s="182"/>
    </row>
    <row r="496" spans="4:5" x14ac:dyDescent="0.25">
      <c r="D496" s="182"/>
      <c r="E496" s="182"/>
    </row>
    <row r="497" spans="4:5" x14ac:dyDescent="0.25">
      <c r="D497" s="182"/>
      <c r="E497" s="182"/>
    </row>
    <row r="498" spans="4:5" x14ac:dyDescent="0.25">
      <c r="D498" s="182"/>
      <c r="E498" s="182"/>
    </row>
    <row r="499" spans="4:5" x14ac:dyDescent="0.25">
      <c r="D499" s="182"/>
      <c r="E499" s="182"/>
    </row>
    <row r="500" spans="4:5" x14ac:dyDescent="0.25">
      <c r="D500" s="182"/>
      <c r="E500" s="182"/>
    </row>
    <row r="501" spans="4:5" x14ac:dyDescent="0.25">
      <c r="D501" s="182"/>
      <c r="E501" s="182"/>
    </row>
    <row r="502" spans="4:5" x14ac:dyDescent="0.25">
      <c r="D502" s="182"/>
      <c r="E502" s="182"/>
    </row>
    <row r="503" spans="4:5" x14ac:dyDescent="0.25">
      <c r="D503" s="182"/>
      <c r="E503" s="182"/>
    </row>
    <row r="504" spans="4:5" x14ac:dyDescent="0.25">
      <c r="D504" s="182"/>
      <c r="E504" s="182"/>
    </row>
    <row r="505" spans="4:5" x14ac:dyDescent="0.25">
      <c r="D505" s="182"/>
      <c r="E505" s="182"/>
    </row>
    <row r="506" spans="4:5" x14ac:dyDescent="0.25">
      <c r="D506" s="182"/>
      <c r="E506" s="182"/>
    </row>
    <row r="507" spans="4:5" x14ac:dyDescent="0.25">
      <c r="D507" s="182"/>
      <c r="E507" s="182"/>
    </row>
    <row r="508" spans="4:5" x14ac:dyDescent="0.25">
      <c r="D508" s="182"/>
      <c r="E508" s="182"/>
    </row>
    <row r="509" spans="4:5" x14ac:dyDescent="0.25">
      <c r="D509" s="182"/>
      <c r="E509" s="182"/>
    </row>
    <row r="510" spans="4:5" x14ac:dyDescent="0.25">
      <c r="D510" s="182"/>
      <c r="E510" s="182"/>
    </row>
    <row r="511" spans="4:5" x14ac:dyDescent="0.25">
      <c r="D511" s="182"/>
      <c r="E511" s="182"/>
    </row>
    <row r="512" spans="4:5" x14ac:dyDescent="0.25">
      <c r="D512" s="182"/>
      <c r="E512" s="182"/>
    </row>
    <row r="513" spans="4:5" x14ac:dyDescent="0.25">
      <c r="D513" s="182"/>
      <c r="E513" s="182"/>
    </row>
    <row r="514" spans="4:5" x14ac:dyDescent="0.25">
      <c r="D514" s="182"/>
      <c r="E514" s="182"/>
    </row>
    <row r="515" spans="4:5" x14ac:dyDescent="0.25">
      <c r="D515" s="182"/>
      <c r="E515" s="182"/>
    </row>
    <row r="516" spans="4:5" x14ac:dyDescent="0.25">
      <c r="D516" s="182"/>
      <c r="E516" s="182"/>
    </row>
    <row r="517" spans="4:5" x14ac:dyDescent="0.25">
      <c r="D517" s="182"/>
      <c r="E517" s="182"/>
    </row>
    <row r="518" spans="4:5" x14ac:dyDescent="0.25">
      <c r="D518" s="182"/>
      <c r="E518" s="182"/>
    </row>
    <row r="519" spans="4:5" x14ac:dyDescent="0.25">
      <c r="D519" s="182"/>
      <c r="E519" s="182"/>
    </row>
    <row r="520" spans="4:5" x14ac:dyDescent="0.25">
      <c r="D520" s="182"/>
      <c r="E520" s="182"/>
    </row>
    <row r="521" spans="4:5" x14ac:dyDescent="0.25">
      <c r="D521" s="182"/>
      <c r="E521" s="182"/>
    </row>
    <row r="522" spans="4:5" x14ac:dyDescent="0.25">
      <c r="D522" s="182"/>
      <c r="E522" s="182"/>
    </row>
    <row r="523" spans="4:5" x14ac:dyDescent="0.25">
      <c r="D523" s="182"/>
      <c r="E523" s="182"/>
    </row>
    <row r="524" spans="4:5" x14ac:dyDescent="0.25">
      <c r="D524" s="182"/>
      <c r="E524" s="182"/>
    </row>
    <row r="525" spans="4:5" x14ac:dyDescent="0.25">
      <c r="D525" s="182"/>
      <c r="E525" s="182"/>
    </row>
    <row r="526" spans="4:5" x14ac:dyDescent="0.25">
      <c r="D526" s="182"/>
      <c r="E526" s="182"/>
    </row>
    <row r="527" spans="4:5" x14ac:dyDescent="0.25">
      <c r="D527" s="182"/>
      <c r="E527" s="182"/>
    </row>
    <row r="528" spans="4:5" x14ac:dyDescent="0.25">
      <c r="D528" s="182"/>
      <c r="E528" s="182"/>
    </row>
    <row r="529" spans="4:5" x14ac:dyDescent="0.25">
      <c r="D529" s="182"/>
      <c r="E529" s="182"/>
    </row>
    <row r="530" spans="4:5" x14ac:dyDescent="0.25">
      <c r="D530" s="182"/>
      <c r="E530" s="182"/>
    </row>
    <row r="531" spans="4:5" x14ac:dyDescent="0.25">
      <c r="D531" s="182"/>
      <c r="E531" s="182"/>
    </row>
    <row r="532" spans="4:5" x14ac:dyDescent="0.25">
      <c r="D532" s="182"/>
      <c r="E532" s="182"/>
    </row>
    <row r="533" spans="4:5" x14ac:dyDescent="0.25">
      <c r="D533" s="182"/>
      <c r="E533" s="182"/>
    </row>
    <row r="534" spans="4:5" x14ac:dyDescent="0.25">
      <c r="D534" s="182"/>
      <c r="E534" s="182"/>
    </row>
    <row r="535" spans="4:5" x14ac:dyDescent="0.25">
      <c r="D535" s="182"/>
      <c r="E535" s="182"/>
    </row>
    <row r="536" spans="4:5" x14ac:dyDescent="0.25">
      <c r="D536" s="182"/>
      <c r="E536" s="182"/>
    </row>
  </sheetData>
  <sheetProtection algorithmName="SHA-512" hashValue="6WKDw4tHhzYC2nKv1XGedAAeLLzAgggDSZxDJFcVvTUzM91qoqM009Uz5mlZiea7gMNYWUQlK6PgtVSISGoMng==" saltValue="84aPOJJ0VltjRewK0czaMQ==" spinCount="100000" sheet="1" objects="1" scenarios="1"/>
  <mergeCells count="10">
    <mergeCell ref="A2:I2"/>
    <mergeCell ref="G52:G53"/>
    <mergeCell ref="H52:H53"/>
    <mergeCell ref="I52:I53"/>
    <mergeCell ref="A61:A62"/>
    <mergeCell ref="B6:B7"/>
    <mergeCell ref="A6:A7"/>
    <mergeCell ref="A54:A55"/>
    <mergeCell ref="A57:A58"/>
    <mergeCell ref="A59:A60"/>
  </mergeCells>
  <phoneticPr fontId="31" type="noConversion"/>
  <hyperlinks>
    <hyperlink ref="I55" location="'הכנסות חינוך 3'!WPrint_Area_W" display="ראה עמוד-3" xr:uid="{00000000-0004-0000-0100-000001000000}"/>
    <hyperlink ref="I56" location="'הכנסות חינוך 3'!WPrint_Area_W" display="ראה עמוד-3" xr:uid="{00000000-0004-0000-0100-000002000000}"/>
    <hyperlink ref="I57" location="'הכנסות תרבות 4'!A1" display="ראה עמוד-4" xr:uid="{00000000-0004-0000-0100-000003000000}"/>
    <hyperlink ref="I58" location="'הכנסות תרבות 4'!A1" display="ראה עמוד-4" xr:uid="{00000000-0004-0000-0100-000004000000}"/>
    <hyperlink ref="I59" location="'הכנסות תרבות 4'!A1" display="ראה עמוד-4" xr:uid="{00000000-0004-0000-0100-000005000000}"/>
    <hyperlink ref="I60" location="'הכנסות תרבות 4'!A1" display="ראה עמוד-4" xr:uid="{00000000-0004-0000-0100-000006000000}"/>
    <hyperlink ref="I61" location="'הכנסות רווחה 5'!A1" display="ראה עמוד-5-7" xr:uid="{00000000-0004-0000-0100-000007000000}"/>
    <hyperlink ref="I54" location="'הכנסות חינוך 3'!WPrint_Area_W" display="ראה עמוד-3" xr:uid="{00000000-0004-0000-0100-000000000000}"/>
  </hyperlinks>
  <pageMargins left="0.27559055118110237" right="0.27559055118110237" top="0.27559055118110237" bottom="0.15748031496062992" header="0.23622047244094491" footer="0.15748031496062992"/>
  <pageSetup scale="56" orientation="portrait" useFirstPageNumber="1" r:id="rId1"/>
  <headerFooter>
    <oddFooter>עמוד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topLeftCell="B23" workbookViewId="0"/>
  </sheetViews>
  <sheetFormatPr defaultRowHeight="13.8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Q79"/>
  <sheetViews>
    <sheetView rightToLeft="1" zoomScale="110" zoomScaleNormal="110" zoomScaleSheetLayoutView="100" workbookViewId="0">
      <pane ySplit="4" topLeftCell="A36" activePane="bottomLeft" state="frozen"/>
      <selection activeCell="F73" sqref="F73"/>
      <selection pane="bottomLeft" activeCell="H40" sqref="H40"/>
    </sheetView>
  </sheetViews>
  <sheetFormatPr defaultColWidth="8.69921875" defaultRowHeight="13.8" x14ac:dyDescent="0.25"/>
  <cols>
    <col min="1" max="1" width="3.3984375" style="224" bestFit="1" customWidth="1"/>
    <col min="2" max="2" width="7.5" style="207" bestFit="1" customWidth="1"/>
    <col min="3" max="3" width="18.19921875" style="207" bestFit="1" customWidth="1"/>
    <col min="4" max="4" width="16.8984375" style="209" bestFit="1" customWidth="1"/>
    <col min="5" max="5" width="14" style="209" bestFit="1" customWidth="1"/>
    <col min="6" max="6" width="14" style="207" bestFit="1" customWidth="1"/>
    <col min="7" max="7" width="13.796875" style="207" bestFit="1" customWidth="1"/>
    <col min="8" max="8" width="14" style="207" customWidth="1"/>
    <col min="9" max="14" width="14" style="207" bestFit="1" customWidth="1"/>
    <col min="15" max="15" width="12.19921875" style="207" bestFit="1" customWidth="1"/>
    <col min="16" max="16" width="17.59765625" style="207" bestFit="1" customWidth="1"/>
    <col min="17" max="17" width="10.8984375" style="228" bestFit="1" customWidth="1"/>
    <col min="18" max="16384" width="8.69921875" style="207"/>
  </cols>
  <sheetData>
    <row r="2" spans="1:17" ht="22.8" x14ac:dyDescent="0.25">
      <c r="A2" s="540" t="s">
        <v>1246</v>
      </c>
      <c r="B2" s="540"/>
      <c r="C2" s="540"/>
      <c r="D2" s="540"/>
      <c r="E2" s="540"/>
      <c r="F2" s="540"/>
      <c r="G2" s="540"/>
      <c r="H2" s="540"/>
      <c r="I2" s="540"/>
      <c r="J2" s="540"/>
      <c r="K2" s="517"/>
      <c r="L2" s="517"/>
      <c r="M2" s="517"/>
      <c r="N2" s="517"/>
      <c r="O2" s="517"/>
      <c r="P2" s="517"/>
      <c r="Q2" s="517"/>
    </row>
    <row r="3" spans="1:17" x14ac:dyDescent="0.25">
      <c r="A3" s="208"/>
      <c r="B3" s="177"/>
      <c r="C3" s="209"/>
      <c r="D3" s="182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10"/>
    </row>
    <row r="4" spans="1:17" s="196" customFormat="1" ht="31.2" x14ac:dyDescent="0.25">
      <c r="A4" s="194" t="s">
        <v>624</v>
      </c>
      <c r="B4" s="194" t="s">
        <v>399</v>
      </c>
      <c r="C4" s="194" t="s">
        <v>400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  <c r="I4" s="165" t="s">
        <v>1077</v>
      </c>
    </row>
    <row r="5" spans="1:17" s="209" customFormat="1" ht="16.5" customHeight="1" x14ac:dyDescent="0.25">
      <c r="A5" s="185">
        <v>1</v>
      </c>
      <c r="B5" s="185">
        <v>110</v>
      </c>
      <c r="C5" s="211" t="s">
        <v>401</v>
      </c>
      <c r="D5" s="370">
        <v>133818</v>
      </c>
      <c r="E5" s="370">
        <v>138248</v>
      </c>
      <c r="F5" s="370">
        <f>'הוצאות שכר 6'!E123-'הוצאות שכר 6'!E113-'הוצאות שכר 6'!E31-'הוצאות שכר 6'!E32</f>
        <v>71032</v>
      </c>
      <c r="G5" s="370">
        <f>'הוצאות שכר 6'!D140-'הוצאות שכר 6'!F129</f>
        <v>139402.40557999999</v>
      </c>
      <c r="H5" s="370">
        <f>'הוצאות שכר 6'!E140-'הוצאות שכר 6'!G129</f>
        <v>141839.05666370003</v>
      </c>
      <c r="I5" s="414" t="s">
        <v>990</v>
      </c>
    </row>
    <row r="6" spans="1:17" s="209" customFormat="1" ht="16.5" customHeight="1" x14ac:dyDescent="0.25">
      <c r="A6" s="185">
        <v>2</v>
      </c>
      <c r="B6" s="185" t="s">
        <v>1183</v>
      </c>
      <c r="C6" s="211" t="s">
        <v>402</v>
      </c>
      <c r="D6" s="370">
        <v>27674</v>
      </c>
      <c r="E6" s="370">
        <v>28500</v>
      </c>
      <c r="F6" s="370">
        <f>'הוצאות שכר 6'!E129</f>
        <v>15432</v>
      </c>
      <c r="G6" s="370">
        <f>'הוצאות שכר 6'!F129</f>
        <v>30290</v>
      </c>
      <c r="H6" s="370">
        <f>'הוצאות שכר 6'!G129</f>
        <v>30290</v>
      </c>
      <c r="I6" s="414" t="s">
        <v>991</v>
      </c>
    </row>
    <row r="7" spans="1:17" s="209" customFormat="1" ht="16.5" customHeight="1" x14ac:dyDescent="0.25">
      <c r="A7" s="185">
        <v>3</v>
      </c>
      <c r="B7" s="185">
        <v>410</v>
      </c>
      <c r="C7" s="211" t="s">
        <v>403</v>
      </c>
      <c r="D7" s="370">
        <f>'שכד ביטוחים עיתונים ומשלחות 7  '!D5</f>
        <v>42</v>
      </c>
      <c r="E7" s="370">
        <v>75.2</v>
      </c>
      <c r="F7" s="370">
        <f>'שכד ביטוחים עיתונים ומשלחות 7  '!F6</f>
        <v>76</v>
      </c>
      <c r="G7" s="370">
        <f>'שכד ביטוחים עיתונים ומשלחות 7  '!G6</f>
        <v>84</v>
      </c>
      <c r="H7" s="370">
        <f>'שכד ביטוחים עיתונים ומשלחות 7  '!H6</f>
        <v>84</v>
      </c>
      <c r="I7" s="214" t="s">
        <v>992</v>
      </c>
    </row>
    <row r="8" spans="1:17" s="209" customFormat="1" ht="16.5" customHeight="1" x14ac:dyDescent="0.25">
      <c r="A8" s="185">
        <v>4</v>
      </c>
      <c r="B8" s="185">
        <v>420</v>
      </c>
      <c r="C8" s="211" t="s">
        <v>659</v>
      </c>
      <c r="D8" s="370">
        <v>480</v>
      </c>
      <c r="E8" s="370">
        <v>480</v>
      </c>
      <c r="F8" s="370">
        <f>' 19 הג"א'!F27</f>
        <v>256</v>
      </c>
      <c r="G8" s="370">
        <f>' 19 הג"א'!G27</f>
        <v>480</v>
      </c>
      <c r="H8" s="370">
        <f>' 19 הג"א'!H27</f>
        <v>480</v>
      </c>
      <c r="I8" s="214"/>
    </row>
    <row r="9" spans="1:17" s="209" customFormat="1" ht="16.5" customHeight="1" x14ac:dyDescent="0.25">
      <c r="A9" s="185">
        <v>5</v>
      </c>
      <c r="B9" s="185">
        <v>422</v>
      </c>
      <c r="C9" s="211" t="s">
        <v>1182</v>
      </c>
      <c r="D9" s="370">
        <f>'תיקונים ורישוי 14'!F50</f>
        <v>40</v>
      </c>
      <c r="E9" s="370">
        <f>'תיקונים ורישוי 14'!G50</f>
        <v>0</v>
      </c>
      <c r="F9" s="370">
        <f>'תיקונים ורישוי 14'!H50</f>
        <v>55</v>
      </c>
      <c r="G9" s="370">
        <f>'תיקונים ורישוי 14'!I51</f>
        <v>85</v>
      </c>
      <c r="H9" s="370">
        <f>'תיקונים ורישוי 14'!J51</f>
        <v>85</v>
      </c>
      <c r="I9" s="214"/>
    </row>
    <row r="10" spans="1:17" s="209" customFormat="1" ht="27.6" x14ac:dyDescent="0.25">
      <c r="A10" s="185">
        <v>6</v>
      </c>
      <c r="B10" s="415" t="s">
        <v>404</v>
      </c>
      <c r="C10" s="215" t="s">
        <v>405</v>
      </c>
      <c r="D10" s="370">
        <f>'חשמל ומים 12'!D22+'חשמל ומים 12'!D26</f>
        <v>6695</v>
      </c>
      <c r="E10" s="370">
        <f>'חשמל ומים 12'!E22+'חשמל ומים 12'!E26</f>
        <v>3916</v>
      </c>
      <c r="F10" s="370">
        <f>'חשמל ומים 12'!F22+'חשמל ומים 12'!F26</f>
        <v>2831</v>
      </c>
      <c r="G10" s="370">
        <f>'חשמל ומים 12'!G28</f>
        <v>5368</v>
      </c>
      <c r="H10" s="370">
        <f>'חשמל ומים 12'!H28</f>
        <v>5276</v>
      </c>
      <c r="I10" s="216" t="s">
        <v>993</v>
      </c>
    </row>
    <row r="11" spans="1:17" ht="18.75" customHeight="1" x14ac:dyDescent="0.25">
      <c r="A11" s="185">
        <v>7</v>
      </c>
      <c r="B11" s="185">
        <v>440</v>
      </c>
      <c r="C11" s="211" t="s">
        <v>406</v>
      </c>
      <c r="D11" s="372">
        <f>'שכד ביטוחים עיתונים ומשלחות 7  '!D16</f>
        <v>3096</v>
      </c>
      <c r="E11" s="372">
        <v>3143</v>
      </c>
      <c r="F11" s="372">
        <f>'שכד ביטוחים עיתונים ומשלחות 7  '!F16</f>
        <v>2872</v>
      </c>
      <c r="G11" s="372">
        <f>'שכד ביטוחים עיתונים ומשלחות 7  '!G16</f>
        <v>3410</v>
      </c>
      <c r="H11" s="372">
        <f>'שכד ביטוחים עיתונים ומשלחות 7  '!H16</f>
        <v>3410</v>
      </c>
      <c r="I11" s="214" t="s">
        <v>992</v>
      </c>
      <c r="Q11" s="207"/>
    </row>
    <row r="12" spans="1:17" ht="27.6" x14ac:dyDescent="0.25">
      <c r="A12" s="185">
        <v>8</v>
      </c>
      <c r="B12" s="185">
        <v>470</v>
      </c>
      <c r="C12" s="215" t="s">
        <v>407</v>
      </c>
      <c r="D12" s="372">
        <f>'ציוד משרדי וכיבוד 11'!D42</f>
        <v>754</v>
      </c>
      <c r="E12" s="372">
        <v>753.04</v>
      </c>
      <c r="F12" s="372">
        <f>'ציוד משרדי וכיבוד 11'!F42</f>
        <v>393</v>
      </c>
      <c r="G12" s="372">
        <f>'ציוד משרדי וכיבוד 11'!G42</f>
        <v>763</v>
      </c>
      <c r="H12" s="372">
        <f>'ציוד משרדי וכיבוד 11'!H42</f>
        <v>753</v>
      </c>
      <c r="I12" s="216" t="s">
        <v>994</v>
      </c>
      <c r="Q12" s="207"/>
    </row>
    <row r="13" spans="1:17" ht="17.25" customHeight="1" x14ac:dyDescent="0.25">
      <c r="A13" s="185">
        <v>9</v>
      </c>
      <c r="B13" s="185">
        <v>511</v>
      </c>
      <c r="C13" s="211" t="s">
        <v>408</v>
      </c>
      <c r="D13" s="372">
        <f>'ציוד משרדי וכיבוד 11'!D57</f>
        <v>123</v>
      </c>
      <c r="E13" s="372">
        <v>124</v>
      </c>
      <c r="F13" s="372">
        <f>'ציוד משרדי וכיבוד 11'!F57</f>
        <v>112</v>
      </c>
      <c r="G13" s="372">
        <f>'ציוד משרדי וכיבוד 11'!G57</f>
        <v>160</v>
      </c>
      <c r="H13" s="372">
        <f>'ציוד משרדי וכיבוד 11'!H57</f>
        <v>140</v>
      </c>
      <c r="I13" s="216" t="s">
        <v>995</v>
      </c>
      <c r="Q13" s="207"/>
    </row>
    <row r="14" spans="1:17" ht="17.25" customHeight="1" x14ac:dyDescent="0.25">
      <c r="A14" s="185">
        <v>10</v>
      </c>
      <c r="B14" s="185">
        <v>513</v>
      </c>
      <c r="C14" s="215" t="s">
        <v>409</v>
      </c>
      <c r="D14" s="372">
        <f>'שכד ביטוחים עיתונים ומשלחות 7  '!D23</f>
        <v>0</v>
      </c>
      <c r="E14" s="372">
        <v>20</v>
      </c>
      <c r="F14" s="372">
        <f>'שכד ביטוחים עיתונים ומשלחות 7  '!F23</f>
        <v>13</v>
      </c>
      <c r="G14" s="372">
        <f>'שכד ביטוחים עיתונים ומשלחות 7  '!G23</f>
        <v>17</v>
      </c>
      <c r="H14" s="372">
        <f>'שכד ביטוחים עיתונים ומשלחות 7  '!H23</f>
        <v>17</v>
      </c>
      <c r="I14" s="217" t="s">
        <v>992</v>
      </c>
      <c r="Q14" s="207"/>
    </row>
    <row r="15" spans="1:17" ht="17.25" customHeight="1" x14ac:dyDescent="0.25">
      <c r="A15" s="185">
        <v>11</v>
      </c>
      <c r="B15" s="185">
        <v>522</v>
      </c>
      <c r="C15" s="211" t="s">
        <v>410</v>
      </c>
      <c r="D15" s="372">
        <f>'שכד ביטוחים עיתונים ומשלחות 7  '!D31</f>
        <v>0</v>
      </c>
      <c r="E15" s="372">
        <v>0.4</v>
      </c>
      <c r="F15" s="372">
        <f>'שכד ביטוחים עיתונים ומשלחות 7  '!F31</f>
        <v>0</v>
      </c>
      <c r="G15" s="372">
        <f>'שכד ביטוחים עיתונים ומשלחות 7  '!G31</f>
        <v>2</v>
      </c>
      <c r="H15" s="372">
        <f>'שכד ביטוחים עיתונים ומשלחות 7  '!H31</f>
        <v>2</v>
      </c>
      <c r="I15" s="214" t="s">
        <v>992</v>
      </c>
      <c r="Q15" s="207"/>
    </row>
    <row r="16" spans="1:17" ht="27.6" x14ac:dyDescent="0.25">
      <c r="A16" s="185">
        <v>12</v>
      </c>
      <c r="B16" s="185">
        <v>530</v>
      </c>
      <c r="C16" s="215" t="s">
        <v>605</v>
      </c>
      <c r="D16" s="372">
        <f>'דלק ורכבים 13'!E34</f>
        <v>298</v>
      </c>
      <c r="E16" s="372">
        <v>584</v>
      </c>
      <c r="F16" s="372">
        <f>'דלק ורכבים 13'!G34</f>
        <v>343</v>
      </c>
      <c r="G16" s="372">
        <f>'דלק ורכבים 13'!H34</f>
        <v>384</v>
      </c>
      <c r="H16" s="372">
        <f>'דלק ורכבים 13'!I34</f>
        <v>384</v>
      </c>
      <c r="I16" s="214" t="s">
        <v>996</v>
      </c>
      <c r="Q16" s="207"/>
    </row>
    <row r="17" spans="1:17" ht="20.25" customHeight="1" x14ac:dyDescent="0.25">
      <c r="A17" s="185">
        <v>13</v>
      </c>
      <c r="B17" s="185">
        <v>531</v>
      </c>
      <c r="C17" s="211" t="s">
        <v>411</v>
      </c>
      <c r="D17" s="372">
        <v>1067</v>
      </c>
      <c r="E17" s="372">
        <v>1199.52</v>
      </c>
      <c r="F17" s="372">
        <f>'דלק ורכבים 13'!G24</f>
        <v>694</v>
      </c>
      <c r="G17" s="372">
        <f>'דלק ורכבים 13'!H24</f>
        <v>1335</v>
      </c>
      <c r="H17" s="372">
        <f>'דלק ורכבים 13'!I24</f>
        <v>1342</v>
      </c>
      <c r="I17" s="216" t="s">
        <v>996</v>
      </c>
      <c r="Q17" s="207"/>
    </row>
    <row r="18" spans="1:17" ht="20.25" customHeight="1" x14ac:dyDescent="0.25">
      <c r="A18" s="185">
        <v>14</v>
      </c>
      <c r="B18" s="185">
        <v>532</v>
      </c>
      <c r="C18" s="215" t="s">
        <v>412</v>
      </c>
      <c r="D18" s="372">
        <f>'תיקונים ורישוי 14'!F28</f>
        <v>902</v>
      </c>
      <c r="E18" s="372">
        <v>959.32799999999997</v>
      </c>
      <c r="F18" s="372">
        <f>'תיקונים ורישוי 14'!H28</f>
        <v>695</v>
      </c>
      <c r="G18" s="372">
        <f>'תיקונים ורישוי 14'!I28</f>
        <v>942</v>
      </c>
      <c r="H18" s="372">
        <f>'תיקונים ורישוי 14'!J28</f>
        <v>1360</v>
      </c>
      <c r="I18" s="216" t="s">
        <v>997</v>
      </c>
      <c r="Q18" s="207"/>
    </row>
    <row r="19" spans="1:17" ht="20.25" customHeight="1" x14ac:dyDescent="0.25">
      <c r="A19" s="185">
        <v>15</v>
      </c>
      <c r="B19" s="185">
        <v>533</v>
      </c>
      <c r="C19" s="211" t="s">
        <v>413</v>
      </c>
      <c r="D19" s="372">
        <f>'תיקונים ורישוי 14'!F46</f>
        <v>416</v>
      </c>
      <c r="E19" s="372">
        <v>428</v>
      </c>
      <c r="F19" s="372">
        <f>'תיקונים ורישוי 14'!H46</f>
        <v>390</v>
      </c>
      <c r="G19" s="372">
        <f>'תיקונים ורישוי 14'!I46</f>
        <v>415</v>
      </c>
      <c r="H19" s="372">
        <f>'תיקונים ורישוי 14'!J46</f>
        <v>415</v>
      </c>
      <c r="I19" s="216" t="s">
        <v>998</v>
      </c>
      <c r="Q19" s="207"/>
    </row>
    <row r="20" spans="1:17" ht="20.25" customHeight="1" x14ac:dyDescent="0.25">
      <c r="A20" s="185">
        <v>16</v>
      </c>
      <c r="B20" s="185">
        <v>534</v>
      </c>
      <c r="C20" s="211" t="s">
        <v>414</v>
      </c>
      <c r="D20" s="372">
        <f>'ליסינג 15'!E21</f>
        <v>1605</v>
      </c>
      <c r="E20" s="372">
        <v>1704.896</v>
      </c>
      <c r="F20" s="372">
        <f>'ליסינג 15'!G21</f>
        <v>769</v>
      </c>
      <c r="G20" s="372">
        <f>'ליסינג 15'!H21</f>
        <v>1669</v>
      </c>
      <c r="H20" s="372">
        <f>'ליסינג 15'!I21</f>
        <v>1804</v>
      </c>
      <c r="I20" s="216" t="s">
        <v>999</v>
      </c>
      <c r="Q20" s="207"/>
    </row>
    <row r="21" spans="1:17" ht="27.6" x14ac:dyDescent="0.25">
      <c r="A21" s="185">
        <v>17</v>
      </c>
      <c r="B21" s="185">
        <v>540</v>
      </c>
      <c r="C21" s="215" t="s">
        <v>415</v>
      </c>
      <c r="D21" s="372">
        <f>'תקשורת פרסום ומחשוב 16'!F6</f>
        <v>1585.7142857142858</v>
      </c>
      <c r="E21" s="372">
        <v>1585.7142857142858</v>
      </c>
      <c r="F21" s="372">
        <f>'תקשורת פרסום ומחשוב 16'!H6</f>
        <v>796</v>
      </c>
      <c r="G21" s="372">
        <f>'תקשורת פרסום ומחשוב 16'!I6</f>
        <v>1586</v>
      </c>
      <c r="H21" s="372">
        <f>'תקשורת פרסום ומחשוב 16'!J6</f>
        <v>1586</v>
      </c>
      <c r="I21" s="216" t="s">
        <v>1076</v>
      </c>
      <c r="Q21" s="207"/>
    </row>
    <row r="22" spans="1:17" ht="26.25" customHeight="1" x14ac:dyDescent="0.25">
      <c r="A22" s="185">
        <v>18</v>
      </c>
      <c r="B22" s="185">
        <v>550</v>
      </c>
      <c r="C22" s="211" t="s">
        <v>416</v>
      </c>
      <c r="D22" s="372">
        <f>'תקשורת פרסום ומחשוב 16'!F15</f>
        <v>241</v>
      </c>
      <c r="E22" s="372">
        <v>302</v>
      </c>
      <c r="F22" s="372">
        <f>'תקשורת פרסום ומחשוב 16'!H15</f>
        <v>223</v>
      </c>
      <c r="G22" s="372">
        <f>'תקשורת פרסום ומחשוב 16'!I15</f>
        <v>301</v>
      </c>
      <c r="H22" s="372">
        <f>'תקשורת פרסום ומחשוב 16'!J15</f>
        <v>301</v>
      </c>
      <c r="I22" s="214" t="s">
        <v>1000</v>
      </c>
      <c r="Q22" s="207"/>
    </row>
    <row r="23" spans="1:17" s="209" customFormat="1" ht="41.4" x14ac:dyDescent="0.25">
      <c r="A23" s="185">
        <v>19</v>
      </c>
      <c r="B23" s="185">
        <v>570</v>
      </c>
      <c r="C23" s="215" t="s">
        <v>417</v>
      </c>
      <c r="D23" s="370">
        <f>'תקשורת פרסום ומחשוב 16'!F24</f>
        <v>946</v>
      </c>
      <c r="E23" s="370">
        <v>1458</v>
      </c>
      <c r="F23" s="370">
        <f>'תקשורת פרסום ומחשוב 16'!H24</f>
        <v>506</v>
      </c>
      <c r="G23" s="370">
        <f>'תקשורת פרסום ומחשוב 16'!I24</f>
        <v>1368</v>
      </c>
      <c r="H23" s="370">
        <f>'תקשורת פרסום ומחשוב 16'!J24</f>
        <v>1368</v>
      </c>
      <c r="I23" s="216" t="s">
        <v>1000</v>
      </c>
    </row>
    <row r="24" spans="1:17" s="209" customFormat="1" ht="18" customHeight="1" x14ac:dyDescent="0.25">
      <c r="A24" s="185">
        <v>20</v>
      </c>
      <c r="B24" s="185">
        <v>610</v>
      </c>
      <c r="C24" s="211" t="s">
        <v>418</v>
      </c>
      <c r="D24" s="370">
        <f>'ריבית ועמלות ופרעון 17'!F8</f>
        <v>1882</v>
      </c>
      <c r="E24" s="370">
        <v>850</v>
      </c>
      <c r="F24" s="370">
        <f>'ריבית ועמלות ופרעון 17'!H8</f>
        <v>3242</v>
      </c>
      <c r="G24" s="370">
        <f>'ריבית ועמלות ופרעון 17'!I8</f>
        <v>1201</v>
      </c>
      <c r="H24" s="370">
        <f>'ריבית ועמלות ופרעון 17'!J8</f>
        <v>1200</v>
      </c>
      <c r="I24" s="214" t="s">
        <v>1001</v>
      </c>
    </row>
    <row r="25" spans="1:17" s="209" customFormat="1" ht="27.75" customHeight="1" x14ac:dyDescent="0.25">
      <c r="A25" s="185">
        <v>21</v>
      </c>
      <c r="B25" s="185" t="s">
        <v>419</v>
      </c>
      <c r="C25" s="215" t="s">
        <v>420</v>
      </c>
      <c r="D25" s="370">
        <f>'ריבית ועמלות ופרעון 17'!F21</f>
        <v>10383</v>
      </c>
      <c r="E25" s="370">
        <v>11324.039999999999</v>
      </c>
      <c r="F25" s="370">
        <f>'ריבית ועמלות ופרעון 17'!H21</f>
        <v>8359</v>
      </c>
      <c r="G25" s="370">
        <f>'ריבית ועמלות ופרעון 17'!I21</f>
        <v>12878</v>
      </c>
      <c r="H25" s="370">
        <f>'ריבית ועמלות ופרעון 17'!J21</f>
        <v>14732</v>
      </c>
      <c r="I25" s="216" t="s">
        <v>1001</v>
      </c>
    </row>
    <row r="26" spans="1:17" s="209" customFormat="1" ht="16.5" customHeight="1" x14ac:dyDescent="0.25">
      <c r="A26" s="185">
        <v>22</v>
      </c>
      <c r="B26" s="185">
        <v>710</v>
      </c>
      <c r="C26" s="211" t="s">
        <v>421</v>
      </c>
      <c r="D26" s="370">
        <f>'עבודות קבלניות 18'!D56</f>
        <v>6616</v>
      </c>
      <c r="E26" s="370">
        <v>6500</v>
      </c>
      <c r="F26" s="370">
        <f>'עבודות קבלניות 18'!F56</f>
        <v>3476</v>
      </c>
      <c r="G26" s="370">
        <f>'עבודות קבלניות 18'!G56</f>
        <v>7020</v>
      </c>
      <c r="H26" s="370">
        <f>'עבודות קבלניות 18'!H56</f>
        <v>7300</v>
      </c>
      <c r="I26" s="216" t="s">
        <v>1002</v>
      </c>
    </row>
    <row r="27" spans="1:17" s="209" customFormat="1" ht="16.5" customHeight="1" x14ac:dyDescent="0.25">
      <c r="A27" s="185">
        <v>23</v>
      </c>
      <c r="B27" s="185">
        <v>720</v>
      </c>
      <c r="C27" s="215" t="s">
        <v>422</v>
      </c>
      <c r="D27" s="370">
        <f>'חשמל ומים 12'!D35</f>
        <v>2697</v>
      </c>
      <c r="E27" s="370">
        <v>3980</v>
      </c>
      <c r="F27" s="370">
        <f>'חשמל ומים 12'!F35</f>
        <v>781</v>
      </c>
      <c r="G27" s="370">
        <f>'חשמל ומים 12'!G35</f>
        <v>2296</v>
      </c>
      <c r="H27" s="370">
        <f>'חשמל ומים 12'!H35</f>
        <v>2296</v>
      </c>
      <c r="I27" s="216" t="s">
        <v>993</v>
      </c>
    </row>
    <row r="28" spans="1:17" s="209" customFormat="1" ht="16.5" customHeight="1" x14ac:dyDescent="0.25">
      <c r="A28" s="185">
        <v>24</v>
      </c>
      <c r="B28" s="185">
        <v>750</v>
      </c>
      <c r="C28" s="211" t="s">
        <v>423</v>
      </c>
      <c r="D28" s="370">
        <f>'עבודות קבלניות 18'!D25</f>
        <v>28089</v>
      </c>
      <c r="E28" s="370">
        <v>28066</v>
      </c>
      <c r="F28" s="370">
        <f>'עבודות קבלניות 18'!F25</f>
        <v>15881</v>
      </c>
      <c r="G28" s="370">
        <f>'עבודות קבלניות 18'!G25</f>
        <v>28156</v>
      </c>
      <c r="H28" s="370">
        <f>'עבודות קבלניות 18'!H25</f>
        <v>27731</v>
      </c>
      <c r="I28" s="216" t="s">
        <v>1003</v>
      </c>
    </row>
    <row r="29" spans="1:17" s="209" customFormat="1" ht="16.5" customHeight="1" x14ac:dyDescent="0.25">
      <c r="A29" s="185">
        <v>25</v>
      </c>
      <c r="B29" s="185">
        <v>760</v>
      </c>
      <c r="C29" s="211" t="s">
        <v>1046</v>
      </c>
      <c r="D29" s="370">
        <f>'עבודות קבלניות 18'!D31</f>
        <v>1084</v>
      </c>
      <c r="E29" s="370">
        <v>500</v>
      </c>
      <c r="F29" s="370">
        <v>750</v>
      </c>
      <c r="G29" s="370">
        <v>850</v>
      </c>
      <c r="H29" s="370">
        <v>600</v>
      </c>
      <c r="I29" s="216" t="str">
        <f>I28</f>
        <v>ראה עמוד-27</v>
      </c>
    </row>
    <row r="30" spans="1:17" s="209" customFormat="1" ht="47.25" customHeight="1" x14ac:dyDescent="0.25">
      <c r="A30" s="185">
        <v>26</v>
      </c>
      <c r="B30" s="185">
        <v>780</v>
      </c>
      <c r="C30" s="215" t="s">
        <v>424</v>
      </c>
      <c r="D30" s="370">
        <f>'20-780'!D93</f>
        <v>10810</v>
      </c>
      <c r="E30" s="370">
        <v>12494.6</v>
      </c>
      <c r="F30" s="370">
        <f>'20-780'!F93</f>
        <v>8459</v>
      </c>
      <c r="G30" s="370">
        <f>'20-780'!G93</f>
        <v>14292.5</v>
      </c>
      <c r="H30" s="370">
        <f>'20-780'!H93</f>
        <v>13773</v>
      </c>
      <c r="I30" s="216" t="s">
        <v>1004</v>
      </c>
    </row>
    <row r="31" spans="1:17" s="209" customFormat="1" ht="20.25" customHeight="1" x14ac:dyDescent="0.25">
      <c r="A31" s="185">
        <v>27</v>
      </c>
      <c r="B31" s="185">
        <v>781</v>
      </c>
      <c r="C31" s="211" t="s">
        <v>425</v>
      </c>
      <c r="D31" s="370">
        <f>'עבודות קבלניות 18'!D43</f>
        <v>221</v>
      </c>
      <c r="E31" s="370">
        <v>590</v>
      </c>
      <c r="F31" s="370">
        <f>'עבודות קבלניות 18'!F43</f>
        <v>95</v>
      </c>
      <c r="G31" s="370">
        <f>'עבודות קבלניות 18'!G43</f>
        <v>232.5</v>
      </c>
      <c r="H31" s="370">
        <f>'עבודות קבלניות 18'!H43</f>
        <v>651</v>
      </c>
      <c r="I31" s="216" t="s">
        <v>1005</v>
      </c>
    </row>
    <row r="32" spans="1:17" s="209" customFormat="1" ht="41.4" x14ac:dyDescent="0.25">
      <c r="A32" s="185">
        <v>28</v>
      </c>
      <c r="B32" s="185">
        <v>782</v>
      </c>
      <c r="C32" s="215" t="s">
        <v>424</v>
      </c>
      <c r="D32" s="370">
        <f>'21-782'!F97</f>
        <v>14484</v>
      </c>
      <c r="E32" s="370">
        <v>13947.5</v>
      </c>
      <c r="F32" s="370">
        <f>'21-782'!H97</f>
        <v>6298</v>
      </c>
      <c r="G32" s="370">
        <f>'21-782'!I97</f>
        <v>13607.140000000001</v>
      </c>
      <c r="H32" s="370">
        <f>'21-782'!J97</f>
        <v>14634</v>
      </c>
      <c r="I32" s="216" t="s">
        <v>1006</v>
      </c>
    </row>
    <row r="33" spans="1:17" s="209" customFormat="1" ht="61.5" customHeight="1" x14ac:dyDescent="0.25">
      <c r="A33" s="185">
        <v>29</v>
      </c>
      <c r="B33" s="185">
        <v>800</v>
      </c>
      <c r="C33" s="215" t="s">
        <v>426</v>
      </c>
      <c r="D33" s="370">
        <f>'עבודות קבלניות 18'!D49</f>
        <v>14</v>
      </c>
      <c r="E33" s="370">
        <v>45</v>
      </c>
      <c r="F33" s="370">
        <f>'עבודות קבלניות 18'!F49</f>
        <v>10</v>
      </c>
      <c r="G33" s="370">
        <f>'עבודות קבלניות 18'!G49</f>
        <v>35</v>
      </c>
      <c r="H33" s="370">
        <f>'עבודות קבלניות 18'!H49</f>
        <v>35</v>
      </c>
      <c r="I33" s="219" t="s">
        <v>1005</v>
      </c>
    </row>
    <row r="34" spans="1:17" s="209" customFormat="1" ht="34.5" customHeight="1" x14ac:dyDescent="0.25">
      <c r="A34" s="185">
        <v>30</v>
      </c>
      <c r="B34" s="185">
        <v>810</v>
      </c>
      <c r="C34" s="215" t="s">
        <v>427</v>
      </c>
      <c r="D34" s="370">
        <f>'תמיכות 22'!D51</f>
        <v>21041.835999999999</v>
      </c>
      <c r="E34" s="370">
        <v>19306</v>
      </c>
      <c r="F34" s="370">
        <f>'תמיכות 22'!F51</f>
        <v>10362</v>
      </c>
      <c r="G34" s="370">
        <f>'תמיכות 22'!G51</f>
        <v>17584</v>
      </c>
      <c r="H34" s="370">
        <f>'תמיכות 22'!H51</f>
        <v>20116</v>
      </c>
      <c r="I34" s="216" t="s">
        <v>1007</v>
      </c>
    </row>
    <row r="35" spans="1:17" s="209" customFormat="1" ht="18" customHeight="1" x14ac:dyDescent="0.25">
      <c r="A35" s="185">
        <v>31</v>
      </c>
      <c r="B35" s="185">
        <v>811</v>
      </c>
      <c r="C35" s="215" t="s">
        <v>428</v>
      </c>
      <c r="D35" s="370">
        <v>317</v>
      </c>
      <c r="E35" s="370">
        <v>317</v>
      </c>
      <c r="F35" s="370">
        <v>0</v>
      </c>
      <c r="G35" s="370">
        <f>' 19 הג"א'!G16</f>
        <v>318</v>
      </c>
      <c r="H35" s="370">
        <f>' 19 הג"א'!H16</f>
        <v>318</v>
      </c>
      <c r="I35" s="219" t="s">
        <v>1002</v>
      </c>
    </row>
    <row r="36" spans="1:17" s="209" customFormat="1" ht="24.6" customHeight="1" x14ac:dyDescent="0.25">
      <c r="A36" s="185">
        <v>32</v>
      </c>
      <c r="B36" s="185">
        <v>830</v>
      </c>
      <c r="C36" s="215" t="s">
        <v>1221</v>
      </c>
      <c r="D36" s="371">
        <f>'עבודות קבלניות 18'!D62</f>
        <v>0</v>
      </c>
      <c r="E36" s="371">
        <f>'עבודות קבלניות 18'!E62</f>
        <v>0</v>
      </c>
      <c r="F36" s="371">
        <f>'עבודות קבלניות 18'!F62</f>
        <v>68</v>
      </c>
      <c r="G36" s="371">
        <f>'עבודות קבלניות 18'!G62</f>
        <v>308</v>
      </c>
      <c r="H36" s="371">
        <f>'עבודות קבלניות 18'!H62</f>
        <v>310</v>
      </c>
      <c r="I36" s="219" t="s">
        <v>1237</v>
      </c>
    </row>
    <row r="37" spans="1:17" s="209" customFormat="1" ht="22.2" customHeight="1" x14ac:dyDescent="0.25">
      <c r="A37" s="185">
        <v>33</v>
      </c>
      <c r="B37" s="185">
        <v>840</v>
      </c>
      <c r="C37" s="215" t="s">
        <v>429</v>
      </c>
      <c r="D37" s="370">
        <f>' הוצאות רווחה  8'!D110</f>
        <v>44678</v>
      </c>
      <c r="E37" s="370">
        <v>46193</v>
      </c>
      <c r="F37" s="370">
        <f>' הוצאות רווחה  8'!F110</f>
        <v>23132</v>
      </c>
      <c r="G37" s="370">
        <f>' הוצאות רווחה  8'!G110</f>
        <v>51058</v>
      </c>
      <c r="H37" s="370">
        <f>' הוצאות רווחה  8'!H110</f>
        <v>50588</v>
      </c>
      <c r="I37" s="216" t="s">
        <v>1008</v>
      </c>
    </row>
    <row r="38" spans="1:17" s="209" customFormat="1" ht="34.5" customHeight="1" x14ac:dyDescent="0.25">
      <c r="A38" s="185">
        <v>34</v>
      </c>
      <c r="B38" s="185">
        <v>860</v>
      </c>
      <c r="C38" s="215" t="s">
        <v>620</v>
      </c>
      <c r="D38" s="370">
        <v>33076</v>
      </c>
      <c r="E38" s="370">
        <v>27000</v>
      </c>
      <c r="F38" s="370">
        <v>20123</v>
      </c>
      <c r="G38" s="370">
        <f>(20123/23285)*39425-2000</f>
        <v>32071.25939445995</v>
      </c>
      <c r="H38" s="370">
        <v>32000</v>
      </c>
      <c r="I38" s="216" t="s">
        <v>1015</v>
      </c>
    </row>
    <row r="39" spans="1:17" s="209" customFormat="1" ht="17.25" customHeight="1" x14ac:dyDescent="0.25">
      <c r="A39" s="185">
        <v>35</v>
      </c>
      <c r="B39" s="185" t="s">
        <v>600</v>
      </c>
      <c r="C39" s="215" t="s">
        <v>495</v>
      </c>
      <c r="D39" s="370">
        <f>'סעיפי קורונה 10'!E22</f>
        <v>489.95</v>
      </c>
      <c r="E39" s="370">
        <v>956</v>
      </c>
      <c r="F39" s="370">
        <f>'סעיפי קורונה 10'!G22</f>
        <v>814</v>
      </c>
      <c r="G39" s="370">
        <f>'סעיפי קורונה 10'!H24</f>
        <v>841</v>
      </c>
      <c r="H39" s="370">
        <f>'סעיפי קורונה 10'!I24</f>
        <v>0</v>
      </c>
      <c r="I39" s="216" t="s">
        <v>1009</v>
      </c>
    </row>
    <row r="40" spans="1:17" s="209" customFormat="1" ht="17.25" customHeight="1" x14ac:dyDescent="0.25">
      <c r="A40" s="185">
        <v>36</v>
      </c>
      <c r="B40" s="185">
        <v>930</v>
      </c>
      <c r="C40" s="215" t="s">
        <v>1042</v>
      </c>
      <c r="D40" s="370">
        <v>60</v>
      </c>
      <c r="E40" s="370">
        <v>60</v>
      </c>
      <c r="F40" s="370">
        <f>' 19 הג"א'!F34</f>
        <v>20</v>
      </c>
      <c r="G40" s="370">
        <f>' 19 הג"א'!G34</f>
        <v>60</v>
      </c>
      <c r="H40" s="370">
        <f>' 19 הג"א'!H34</f>
        <v>60</v>
      </c>
      <c r="I40" s="216"/>
    </row>
    <row r="41" spans="1:17" s="209" customFormat="1" ht="17.25" customHeight="1" x14ac:dyDescent="0.25">
      <c r="A41" s="185">
        <v>37</v>
      </c>
      <c r="B41" s="185">
        <v>960</v>
      </c>
      <c r="C41" s="215" t="s">
        <v>431</v>
      </c>
      <c r="D41" s="370">
        <v>0</v>
      </c>
      <c r="E41" s="370">
        <v>100</v>
      </c>
      <c r="F41" s="370">
        <v>0</v>
      </c>
      <c r="G41" s="370">
        <v>100</v>
      </c>
      <c r="H41" s="370">
        <v>100</v>
      </c>
      <c r="I41" s="216"/>
    </row>
    <row r="42" spans="1:17" s="209" customFormat="1" ht="27.6" x14ac:dyDescent="0.25">
      <c r="A42" s="185">
        <v>38</v>
      </c>
      <c r="B42" s="185">
        <v>960</v>
      </c>
      <c r="C42" s="215" t="s">
        <v>432</v>
      </c>
      <c r="D42" s="370">
        <v>0</v>
      </c>
      <c r="E42" s="370">
        <v>100</v>
      </c>
      <c r="F42" s="370">
        <v>0</v>
      </c>
      <c r="G42" s="370">
        <v>0</v>
      </c>
      <c r="H42" s="370">
        <v>100</v>
      </c>
      <c r="I42" s="216"/>
    </row>
    <row r="43" spans="1:17" s="209" customFormat="1" ht="27.6" x14ac:dyDescent="0.25">
      <c r="A43" s="185">
        <v>39</v>
      </c>
      <c r="B43" s="185">
        <v>970</v>
      </c>
      <c r="C43" s="215" t="s">
        <v>876</v>
      </c>
      <c r="D43" s="370">
        <v>18</v>
      </c>
      <c r="E43" s="370">
        <v>20</v>
      </c>
      <c r="F43" s="370">
        <v>12</v>
      </c>
      <c r="G43" s="370">
        <v>20</v>
      </c>
      <c r="H43" s="370">
        <v>20</v>
      </c>
      <c r="I43" s="216"/>
    </row>
    <row r="44" spans="1:17" s="209" customFormat="1" ht="19.5" customHeight="1" x14ac:dyDescent="0.25">
      <c r="A44" s="185">
        <v>40</v>
      </c>
      <c r="B44" s="185">
        <v>980</v>
      </c>
      <c r="C44" s="215" t="s">
        <v>430</v>
      </c>
      <c r="D44" s="370">
        <v>376</v>
      </c>
      <c r="E44" s="370">
        <v>100</v>
      </c>
      <c r="F44" s="370">
        <v>439</v>
      </c>
      <c r="G44" s="370">
        <v>440</v>
      </c>
      <c r="H44" s="370">
        <v>100</v>
      </c>
      <c r="I44" s="216"/>
    </row>
    <row r="45" spans="1:17" ht="22.8" x14ac:dyDescent="0.25">
      <c r="A45" s="220"/>
      <c r="B45" s="547" t="s">
        <v>433</v>
      </c>
      <c r="C45" s="547"/>
      <c r="D45" s="221">
        <v>342700.38198821427</v>
      </c>
      <c r="E45" s="222">
        <f>SUM(E5:E44)</f>
        <v>355930.23828571429</v>
      </c>
      <c r="F45" s="222">
        <f>SUM(F5:F44)</f>
        <v>199809</v>
      </c>
      <c r="G45" s="222">
        <f>SUM(G5:G44)</f>
        <v>371429.80497445993</v>
      </c>
      <c r="H45" s="222">
        <f>SUM(H5:H44)</f>
        <v>377600.05666370003</v>
      </c>
      <c r="I45" s="223"/>
      <c r="Q45" s="207"/>
    </row>
    <row r="47" spans="1:17" x14ac:dyDescent="0.25">
      <c r="C47" s="225"/>
      <c r="D47" s="226"/>
      <c r="E47" s="227"/>
      <c r="F47" s="227"/>
    </row>
    <row r="48" spans="1:17" x14ac:dyDescent="0.25">
      <c r="C48" s="229"/>
      <c r="E48" s="230"/>
    </row>
    <row r="59" ht="1.5" customHeight="1" x14ac:dyDescent="0.25"/>
    <row r="60" hidden="1" x14ac:dyDescent="0.25"/>
    <row r="61" hidden="1" x14ac:dyDescent="0.25"/>
    <row r="62" ht="11.25" hidden="1" customHeight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</sheetData>
  <sheetProtection algorithmName="SHA-512" hashValue="RMS8rU2sW51sfABloY+wUggxxEpHQ8JIgvKy0jdfiTAs83x6ygLadcLroagCJPAXus040KW4auOtAzVklPqbYw==" saltValue="eDdkcMwTf0rLgKrk5almkw==" spinCount="100000" sheet="1" objects="1" scenarios="1"/>
  <mergeCells count="2">
    <mergeCell ref="B45:C45"/>
    <mergeCell ref="A2:J2"/>
  </mergeCells>
  <phoneticPr fontId="31" type="noConversion"/>
  <hyperlinks>
    <hyperlink ref="I5" location="'הוצאות שכר 6'!WPrint_Area_W" display="ראה עמוד 8" xr:uid="{00000000-0004-0000-0300-000000000000}"/>
    <hyperlink ref="I6" location="'הוצאות שכר 6'!WPrint_Area_W" display="ראה עמוד-8" xr:uid="{00000000-0004-0000-0300-000001000000}"/>
    <hyperlink ref="I10" location="'חשמל ומים 12'!WPrint_Area_W" display="ראה עמוד-20" xr:uid="{00000000-0004-0000-0300-000002000000}"/>
    <hyperlink ref="I7" location="'שכד ביטוחים עיתונים ומשלחות 7  '!A1" display="ראה עמוד-12" xr:uid="{00000000-0004-0000-0300-000003000000}"/>
    <hyperlink ref="I11" location="'שכד ביטוחים עיתונים ומשלחות 7  '!A1" display="ראה עמוד-12" xr:uid="{00000000-0004-0000-0300-000004000000}"/>
    <hyperlink ref="I13" location="'ציוד משרדי וכיבוד 11'!WPrint_Area_W" display="ראה עמוד-19" xr:uid="{00000000-0004-0000-0300-000005000000}"/>
    <hyperlink ref="I17" location="'דלק ושמנים 13'!WPrint_Area_W" display="ראה עמוד-21" xr:uid="{00000000-0004-0000-0300-000006000000}"/>
    <hyperlink ref="I24" location="'ריבית ועמלות ופרעון 17'!WPrint_Area_W" display="ראה עמוד-26" xr:uid="{00000000-0004-0000-0300-000007000000}"/>
    <hyperlink ref="I25" location="'ריבית ועמלות ופרעון 17'!WPrint_Area_W" display="ראה עמוד-26" xr:uid="{00000000-0004-0000-0300-000008000000}"/>
    <hyperlink ref="I27" location="'תקשורת פרסום ומחשוב 16'!WPrint_Area_W" display="ראה עמוד-25" xr:uid="{00000000-0004-0000-0300-000009000000}"/>
    <hyperlink ref="I28" location="'עבודות קבלניות 18'!WPrint_Area_W" display="ראה עמוד-27" xr:uid="{00000000-0004-0000-0300-00000A000000}"/>
    <hyperlink ref="I34" location="'תמיכות 21'!WPrint_Area_W" display="ראה עמוד-33" xr:uid="{00000000-0004-0000-0300-00000B000000}"/>
    <hyperlink ref="I32" location="'20-782'!WPrint_TitlesW" display="ראה עמוד-31" xr:uid="{00000000-0004-0000-0300-00000C000000}"/>
    <hyperlink ref="I14" location="'שכד ביטוחים עיתונים ומשלחות 7  '!A1" display="ראה עמוד-12" xr:uid="{00000000-0004-0000-0300-00000D000000}"/>
    <hyperlink ref="I15" location="'שכד ביטוחים עיתונים ומשלחות 7  '!A1" display="ראה עמוד-12" xr:uid="{00000000-0004-0000-0300-00000E000000}"/>
    <hyperlink ref="I16" location="'דלק ושמנים 13'!WPrint_Area_W" display="ראה עמוד-21" xr:uid="{00000000-0004-0000-0300-00000F000000}"/>
    <hyperlink ref="I18" location="'תיקונים ורישוי 14'!WPrint_Area_W" display="ראה עמוד-22" xr:uid="{00000000-0004-0000-0300-000010000000}"/>
    <hyperlink ref="I19" location="'תיקונים ורישוי 14'!WPrint_Area_W" display="ראה עמוד-23" xr:uid="{00000000-0004-0000-0300-000011000000}"/>
    <hyperlink ref="I20" location="'ליסינג 15'!WPrint_Area_W" display="ראה עמוד-24" xr:uid="{00000000-0004-0000-0300-000012000000}"/>
    <hyperlink ref="I21" location="'תקשורת פרסום ומחשוב 16'!A1" display="ראה עמוד-25" xr:uid="{00000000-0004-0000-0300-000013000000}"/>
    <hyperlink ref="I22" location="'תקשורת פרסום ומחשוב 16'!WPrint_Area_W" display="ראה עמוד-25" xr:uid="{00000000-0004-0000-0300-000014000000}"/>
    <hyperlink ref="I23" location="'תקשורת פרסום ומחשוב 16'!WPrint_Area_W" display="ראה עמוד-25" xr:uid="{00000000-0004-0000-0300-000015000000}"/>
    <hyperlink ref="I12" location="'ציוד משרדי וכיבוד 11'!A1" display="ראה עמוד-18" xr:uid="{00000000-0004-0000-0300-000016000000}"/>
    <hyperlink ref="I26" location="'עבודות קבלניות 18'!A1" display="ראה עמוד-28" xr:uid="{00000000-0004-0000-0300-000017000000}"/>
    <hyperlink ref="I30" location="'19-780'!WPrint_TitlesW" display="ראה עמוד- 29" xr:uid="{00000000-0004-0000-0300-000018000000}"/>
    <hyperlink ref="I31" location="'עבודות קבלניות 18'!A1" display="ראה עמוד -28" xr:uid="{00000000-0004-0000-0300-000019000000}"/>
    <hyperlink ref="I33" location="'עבודות קבלניות 18'!A1" display="ראה עמוד -28" xr:uid="{00000000-0004-0000-0300-00001A000000}"/>
    <hyperlink ref="I35" location="'עבודות קבלניות 18'!WPrint_Area_W" display="ראה עמוד-28" xr:uid="{00000000-0004-0000-0300-00001B000000}"/>
    <hyperlink ref="I37" location="' הוצאות רווחה  8'!WPrint_Area_W" display="ראה עמוד-13 " xr:uid="{00000000-0004-0000-0300-00001C000000}"/>
    <hyperlink ref="I39" location="'סעיפי קורונה 10'!A1" display="ראה עמוד -17" xr:uid="{00000000-0004-0000-0300-00001D000000}"/>
    <hyperlink ref="I38" location="'הכנסות 1'!A1" display="ראה עמוד-1" xr:uid="{00000000-0004-0000-0300-00001E000000}"/>
  </hyperlinks>
  <pageMargins left="0.70866141732283472" right="0.70866141732283472" top="0.31496062992125984" bottom="0.27559055118110237" header="0.31496062992125984" footer="0.31496062992125984"/>
  <pageSetup paperSize="9" scale="53" firstPageNumber="2" orientation="portrait" useFirstPageNumber="1" r:id="rId1"/>
  <headerFooter>
    <oddFooter>עמוד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6"/>
  <sheetViews>
    <sheetView rightToLeft="1" zoomScaleNormal="100" zoomScaleSheetLayoutView="66" workbookViewId="0">
      <pane ySplit="3" topLeftCell="A55" activePane="bottomLeft" state="frozen"/>
      <selection pane="bottomLeft" activeCell="I54" sqref="I54"/>
    </sheetView>
  </sheetViews>
  <sheetFormatPr defaultRowHeight="13.8" x14ac:dyDescent="0.25"/>
  <cols>
    <col min="1" max="1" width="3.3984375" customWidth="1"/>
    <col min="2" max="2" width="14.5" customWidth="1"/>
    <col min="3" max="3" width="28.5" customWidth="1"/>
    <col min="4" max="4" width="11.69921875" customWidth="1"/>
    <col min="5" max="5" width="13.69921875" style="5" customWidth="1"/>
    <col min="6" max="6" width="14.3984375" customWidth="1"/>
    <col min="7" max="7" width="13.09765625" customWidth="1"/>
    <col min="8" max="8" width="16.796875" customWidth="1"/>
    <col min="9" max="9" width="10.3984375" bestFit="1" customWidth="1"/>
    <col min="10" max="10" width="13.19921875" customWidth="1"/>
    <col min="11" max="11" width="14.59765625" customWidth="1"/>
    <col min="12" max="12" width="12.19921875" customWidth="1"/>
    <col min="13" max="13" width="9.5" customWidth="1"/>
    <col min="14" max="14" width="16.69921875" customWidth="1"/>
    <col min="16" max="16" width="23.59765625" bestFit="1" customWidth="1"/>
    <col min="17" max="19" width="12.09765625" bestFit="1" customWidth="1"/>
  </cols>
  <sheetData>
    <row r="1" spans="1:14" ht="22.8" x14ac:dyDescent="0.4">
      <c r="A1" s="549" t="s">
        <v>434</v>
      </c>
      <c r="B1" s="549"/>
      <c r="C1" s="549"/>
      <c r="D1" s="549"/>
      <c r="E1" s="549"/>
      <c r="F1" s="549"/>
      <c r="G1" s="549"/>
      <c r="H1" s="549"/>
      <c r="I1" s="520"/>
      <c r="J1" s="520"/>
      <c r="K1" s="520"/>
      <c r="L1" s="520"/>
      <c r="M1" s="520"/>
      <c r="N1" s="520"/>
    </row>
    <row r="2" spans="1:14" ht="13.95" customHeight="1" x14ac:dyDescent="0.25">
      <c r="D2" s="5"/>
    </row>
    <row r="3" spans="1:14" s="195" customFormat="1" ht="47.1" customHeight="1" x14ac:dyDescent="0.25">
      <c r="A3" s="194" t="s">
        <v>623</v>
      </c>
      <c r="B3" s="194" t="s">
        <v>0</v>
      </c>
      <c r="C3" s="194" t="s">
        <v>1</v>
      </c>
      <c r="D3" s="165" t="s">
        <v>1250</v>
      </c>
      <c r="E3" s="165" t="s">
        <v>1061</v>
      </c>
      <c r="F3" s="165" t="s">
        <v>1059</v>
      </c>
      <c r="G3" s="165" t="s">
        <v>1060</v>
      </c>
      <c r="H3" s="165" t="s">
        <v>1058</v>
      </c>
    </row>
    <row r="4" spans="1:14" s="124" customFormat="1" ht="13.5" customHeight="1" x14ac:dyDescent="0.25">
      <c r="A4" s="123">
        <v>1</v>
      </c>
      <c r="B4" s="416">
        <v>1312200920</v>
      </c>
      <c r="C4" s="416" t="s">
        <v>1062</v>
      </c>
      <c r="D4" s="417">
        <v>4069</v>
      </c>
      <c r="E4" s="417">
        <f>D4*1.02</f>
        <v>4150.38</v>
      </c>
      <c r="F4" s="417">
        <v>2005</v>
      </c>
      <c r="G4" s="418">
        <v>4000</v>
      </c>
      <c r="H4" s="418">
        <v>4000</v>
      </c>
      <c r="K4" s="125"/>
      <c r="L4" s="125"/>
      <c r="M4" s="125"/>
    </row>
    <row r="5" spans="1:14" s="124" customFormat="1" ht="13.5" customHeight="1" x14ac:dyDescent="0.25">
      <c r="A5" s="123">
        <v>2</v>
      </c>
      <c r="B5" s="416">
        <v>1312200923</v>
      </c>
      <c r="C5" s="416" t="s">
        <v>732</v>
      </c>
      <c r="D5" s="417">
        <v>434</v>
      </c>
      <c r="E5" s="417">
        <f>D5*1.02</f>
        <v>442.68</v>
      </c>
      <c r="F5" s="417">
        <v>179</v>
      </c>
      <c r="G5" s="418">
        <v>360</v>
      </c>
      <c r="H5" s="418">
        <v>360</v>
      </c>
      <c r="K5" s="125"/>
      <c r="L5" s="125"/>
      <c r="M5" s="125"/>
    </row>
    <row r="6" spans="1:14" s="124" customFormat="1" ht="13.5" customHeight="1" x14ac:dyDescent="0.25">
      <c r="A6" s="123">
        <v>3</v>
      </c>
      <c r="B6" s="416">
        <v>1312210920</v>
      </c>
      <c r="C6" s="416" t="s">
        <v>886</v>
      </c>
      <c r="D6" s="417">
        <v>1627</v>
      </c>
      <c r="E6" s="417">
        <f>D6*1.02</f>
        <v>1659.54</v>
      </c>
      <c r="F6" s="417">
        <v>636</v>
      </c>
      <c r="G6" s="418">
        <v>1400</v>
      </c>
      <c r="H6" s="418">
        <v>1400</v>
      </c>
      <c r="K6" s="125"/>
      <c r="L6" s="125"/>
      <c r="M6" s="125"/>
    </row>
    <row r="7" spans="1:14" s="124" customFormat="1" ht="13.5" customHeight="1" x14ac:dyDescent="0.25">
      <c r="A7" s="123">
        <v>4</v>
      </c>
      <c r="B7" s="416">
        <v>1312211920</v>
      </c>
      <c r="C7" s="416" t="s">
        <v>1089</v>
      </c>
      <c r="D7" s="417">
        <v>759</v>
      </c>
      <c r="E7" s="417">
        <v>0</v>
      </c>
      <c r="F7" s="420">
        <f>2396+25</f>
        <v>2421</v>
      </c>
      <c r="G7" s="418">
        <v>1200</v>
      </c>
      <c r="H7" s="418">
        <v>1200</v>
      </c>
      <c r="K7" s="125"/>
      <c r="L7" s="125"/>
      <c r="M7" s="125"/>
    </row>
    <row r="8" spans="1:14" s="124" customFormat="1" ht="13.5" customHeight="1" x14ac:dyDescent="0.25">
      <c r="A8" s="123">
        <v>5</v>
      </c>
      <c r="B8" s="416">
        <v>1312300920</v>
      </c>
      <c r="C8" s="416" t="s">
        <v>1063</v>
      </c>
      <c r="D8" s="417">
        <v>10211</v>
      </c>
      <c r="E8" s="417">
        <f>D8*1.02</f>
        <v>10415.219999999999</v>
      </c>
      <c r="F8" s="417">
        <v>5307</v>
      </c>
      <c r="G8" s="418">
        <v>10100</v>
      </c>
      <c r="H8" s="418">
        <v>10100</v>
      </c>
    </row>
    <row r="9" spans="1:14" s="124" customFormat="1" ht="13.5" customHeight="1" x14ac:dyDescent="0.25">
      <c r="A9" s="123">
        <v>6</v>
      </c>
      <c r="B9" s="416">
        <v>1312500920</v>
      </c>
      <c r="C9" s="421" t="s">
        <v>1106</v>
      </c>
      <c r="D9" s="417">
        <v>541</v>
      </c>
      <c r="E9" s="417">
        <v>0</v>
      </c>
      <c r="F9" s="417">
        <v>99</v>
      </c>
      <c r="G9" s="418">
        <v>150</v>
      </c>
      <c r="H9" s="418">
        <v>150</v>
      </c>
    </row>
    <row r="10" spans="1:14" s="124" customFormat="1" ht="13.5" customHeight="1" x14ac:dyDescent="0.25">
      <c r="A10" s="123">
        <v>7</v>
      </c>
      <c r="B10" s="416">
        <v>1312600921</v>
      </c>
      <c r="C10" s="416" t="s">
        <v>887</v>
      </c>
      <c r="D10" s="422">
        <f>37-31</f>
        <v>6</v>
      </c>
      <c r="E10" s="422">
        <v>40</v>
      </c>
      <c r="F10" s="419">
        <f>65+4</f>
        <v>69</v>
      </c>
      <c r="G10" s="422">
        <v>110</v>
      </c>
      <c r="H10" s="521">
        <v>110</v>
      </c>
      <c r="K10" s="125"/>
      <c r="L10" s="125"/>
      <c r="M10" s="125"/>
    </row>
    <row r="11" spans="1:14" s="329" customFormat="1" ht="26.1" customHeight="1" x14ac:dyDescent="0.25">
      <c r="A11" s="123">
        <v>8</v>
      </c>
      <c r="B11" s="423">
        <v>1313200920</v>
      </c>
      <c r="C11" s="424" t="s">
        <v>1064</v>
      </c>
      <c r="D11" s="425">
        <v>1531</v>
      </c>
      <c r="E11" s="425">
        <v>2000</v>
      </c>
      <c r="F11" s="425">
        <v>1536</v>
      </c>
      <c r="G11" s="425">
        <v>2800</v>
      </c>
      <c r="H11" s="425">
        <v>2800</v>
      </c>
      <c r="K11" s="330"/>
      <c r="L11" s="330"/>
      <c r="M11" s="330"/>
    </row>
    <row r="12" spans="1:14" s="124" customFormat="1" ht="13.5" customHeight="1" x14ac:dyDescent="0.25">
      <c r="A12" s="123">
        <v>9</v>
      </c>
      <c r="B12" s="416">
        <v>1313200921</v>
      </c>
      <c r="C12" s="416" t="s">
        <v>36</v>
      </c>
      <c r="D12" s="419">
        <v>4692</v>
      </c>
      <c r="E12" s="422">
        <v>1916</v>
      </c>
      <c r="F12" s="422">
        <v>893</v>
      </c>
      <c r="G12" s="422">
        <v>2700</v>
      </c>
      <c r="H12" s="419">
        <v>430</v>
      </c>
      <c r="K12" s="125"/>
      <c r="L12" s="125"/>
      <c r="M12" s="125"/>
    </row>
    <row r="13" spans="1:14" s="124" customFormat="1" ht="13.5" customHeight="1" x14ac:dyDescent="0.25">
      <c r="A13" s="123">
        <v>10</v>
      </c>
      <c r="B13" s="416">
        <v>1313200922</v>
      </c>
      <c r="C13" s="416" t="s">
        <v>731</v>
      </c>
      <c r="D13" s="422">
        <v>-12</v>
      </c>
      <c r="E13" s="422">
        <v>50</v>
      </c>
      <c r="F13" s="422">
        <v>0</v>
      </c>
      <c r="G13" s="422">
        <v>0</v>
      </c>
      <c r="H13" s="422">
        <v>50</v>
      </c>
      <c r="K13" s="125"/>
      <c r="L13" s="125"/>
      <c r="M13" s="125"/>
    </row>
    <row r="14" spans="1:14" s="124" customFormat="1" ht="13.5" customHeight="1" x14ac:dyDescent="0.25">
      <c r="A14" s="123">
        <v>11</v>
      </c>
      <c r="B14" s="426">
        <v>1313200924</v>
      </c>
      <c r="C14" s="426" t="s">
        <v>888</v>
      </c>
      <c r="D14" s="422">
        <f>614-95</f>
        <v>519</v>
      </c>
      <c r="E14" s="422">
        <v>550</v>
      </c>
      <c r="F14" s="422">
        <v>407</v>
      </c>
      <c r="G14" s="422">
        <v>650</v>
      </c>
      <c r="H14" s="422">
        <v>650</v>
      </c>
      <c r="K14" s="125"/>
      <c r="L14" s="125"/>
      <c r="M14" s="125"/>
    </row>
    <row r="15" spans="1:14" s="124" customFormat="1" ht="13.5" customHeight="1" x14ac:dyDescent="0.25">
      <c r="A15" s="123">
        <v>12</v>
      </c>
      <c r="B15" s="416">
        <v>1313200925</v>
      </c>
      <c r="C15" s="416" t="s">
        <v>1095</v>
      </c>
      <c r="D15" s="422">
        <v>834</v>
      </c>
      <c r="E15" s="422">
        <v>0</v>
      </c>
      <c r="F15" s="422">
        <v>301</v>
      </c>
      <c r="G15" s="422">
        <v>550</v>
      </c>
      <c r="H15" s="422">
        <v>550</v>
      </c>
      <c r="K15" s="125"/>
      <c r="L15" s="125"/>
      <c r="M15" s="125"/>
    </row>
    <row r="16" spans="1:14" s="124" customFormat="1" ht="13.5" customHeight="1" x14ac:dyDescent="0.25">
      <c r="A16" s="123">
        <v>13</v>
      </c>
      <c r="B16" s="416">
        <v>1313200926</v>
      </c>
      <c r="C16" s="416" t="s">
        <v>1096</v>
      </c>
      <c r="D16" s="422">
        <v>3023</v>
      </c>
      <c r="E16" s="422">
        <v>0</v>
      </c>
      <c r="F16" s="422">
        <v>1914</v>
      </c>
      <c r="G16" s="422">
        <v>3400</v>
      </c>
      <c r="H16" s="422">
        <v>3400</v>
      </c>
      <c r="K16" s="125"/>
      <c r="L16" s="125"/>
      <c r="M16" s="125"/>
    </row>
    <row r="17" spans="1:13" s="124" customFormat="1" ht="13.5" customHeight="1" x14ac:dyDescent="0.25">
      <c r="A17" s="123">
        <v>14</v>
      </c>
      <c r="B17" s="416">
        <v>1313200927</v>
      </c>
      <c r="C17" s="416" t="s">
        <v>1097</v>
      </c>
      <c r="D17" s="422">
        <v>2000</v>
      </c>
      <c r="E17" s="422">
        <v>0</v>
      </c>
      <c r="F17" s="422">
        <v>1207</v>
      </c>
      <c r="G17" s="422">
        <v>2100</v>
      </c>
      <c r="H17" s="422">
        <v>2100</v>
      </c>
      <c r="K17" s="125"/>
      <c r="L17" s="125"/>
      <c r="M17" s="125"/>
    </row>
    <row r="18" spans="1:13" s="124" customFormat="1" ht="13.5" customHeight="1" x14ac:dyDescent="0.25">
      <c r="A18" s="123">
        <v>15</v>
      </c>
      <c r="B18" s="416">
        <v>1313210920</v>
      </c>
      <c r="C18" s="416" t="s">
        <v>733</v>
      </c>
      <c r="D18" s="422">
        <v>6</v>
      </c>
      <c r="E18" s="422">
        <v>5</v>
      </c>
      <c r="F18" s="422">
        <v>8</v>
      </c>
      <c r="G18" s="422">
        <v>12</v>
      </c>
      <c r="H18" s="422">
        <v>12</v>
      </c>
      <c r="K18" s="125"/>
      <c r="L18" s="125"/>
      <c r="M18" s="125"/>
    </row>
    <row r="19" spans="1:13" s="124" customFormat="1" ht="13.5" customHeight="1" x14ac:dyDescent="0.25">
      <c r="A19" s="123">
        <v>16</v>
      </c>
      <c r="B19" s="416">
        <v>1313214920</v>
      </c>
      <c r="C19" s="416" t="s">
        <v>38</v>
      </c>
      <c r="D19" s="422">
        <v>405</v>
      </c>
      <c r="E19" s="427">
        <v>400</v>
      </c>
      <c r="F19" s="427">
        <v>250</v>
      </c>
      <c r="G19" s="427">
        <v>400</v>
      </c>
      <c r="H19" s="427">
        <v>400</v>
      </c>
      <c r="K19" s="125"/>
      <c r="L19" s="125"/>
      <c r="M19" s="125"/>
    </row>
    <row r="20" spans="1:13" s="124" customFormat="1" ht="13.5" customHeight="1" x14ac:dyDescent="0.25">
      <c r="A20" s="123">
        <v>17</v>
      </c>
      <c r="B20" s="416">
        <v>1313215920</v>
      </c>
      <c r="C20" s="416" t="s">
        <v>39</v>
      </c>
      <c r="D20" s="422">
        <v>73</v>
      </c>
      <c r="E20" s="427">
        <v>300</v>
      </c>
      <c r="F20" s="427">
        <v>0</v>
      </c>
      <c r="G20" s="427">
        <v>100</v>
      </c>
      <c r="H20" s="427">
        <v>150</v>
      </c>
      <c r="K20" s="125"/>
      <c r="L20" s="125"/>
      <c r="M20" s="125"/>
    </row>
    <row r="21" spans="1:13" s="124" customFormat="1" ht="13.5" customHeight="1" x14ac:dyDescent="0.25">
      <c r="A21" s="123">
        <v>18</v>
      </c>
      <c r="B21" s="416">
        <v>1313220920</v>
      </c>
      <c r="C21" s="416" t="s">
        <v>734</v>
      </c>
      <c r="D21" s="422">
        <v>2021</v>
      </c>
      <c r="E21" s="427">
        <v>2127</v>
      </c>
      <c r="F21" s="427">
        <v>1144</v>
      </c>
      <c r="G21" s="419">
        <v>2127</v>
      </c>
      <c r="H21" s="419">
        <v>2130</v>
      </c>
      <c r="K21" s="125"/>
      <c r="L21" s="125"/>
      <c r="M21" s="125"/>
    </row>
    <row r="22" spans="1:13" s="124" customFormat="1" ht="13.5" customHeight="1" x14ac:dyDescent="0.25">
      <c r="A22" s="123">
        <v>19</v>
      </c>
      <c r="B22" s="416">
        <v>1313220922</v>
      </c>
      <c r="C22" s="428" t="s">
        <v>1107</v>
      </c>
      <c r="D22" s="422">
        <v>0</v>
      </c>
      <c r="E22" s="427">
        <v>0</v>
      </c>
      <c r="F22" s="427">
        <v>115</v>
      </c>
      <c r="G22" s="427">
        <v>120</v>
      </c>
      <c r="H22" s="427">
        <v>120</v>
      </c>
      <c r="K22" s="125"/>
      <c r="L22" s="125"/>
      <c r="M22" s="125"/>
    </row>
    <row r="23" spans="1:13" s="124" customFormat="1" ht="13.5" customHeight="1" x14ac:dyDescent="0.25">
      <c r="A23" s="123">
        <v>20</v>
      </c>
      <c r="B23" s="416">
        <v>1313230920</v>
      </c>
      <c r="C23" s="416" t="s">
        <v>40</v>
      </c>
      <c r="D23" s="422">
        <v>-16</v>
      </c>
      <c r="E23" s="427">
        <v>80</v>
      </c>
      <c r="F23" s="427">
        <v>43</v>
      </c>
      <c r="G23" s="427">
        <v>60</v>
      </c>
      <c r="H23" s="427">
        <v>60</v>
      </c>
      <c r="L23" s="125"/>
    </row>
    <row r="24" spans="1:13" s="124" customFormat="1" ht="13.5" customHeight="1" x14ac:dyDescent="0.25">
      <c r="A24" s="123">
        <v>21</v>
      </c>
      <c r="B24" s="416">
        <v>1313230922</v>
      </c>
      <c r="C24" s="416" t="s">
        <v>1090</v>
      </c>
      <c r="D24" s="422">
        <v>188</v>
      </c>
      <c r="E24" s="427">
        <v>0</v>
      </c>
      <c r="F24" s="427">
        <v>315</v>
      </c>
      <c r="G24" s="427">
        <v>460</v>
      </c>
      <c r="H24" s="427">
        <v>0</v>
      </c>
      <c r="L24" s="125"/>
    </row>
    <row r="25" spans="1:13" s="124" customFormat="1" ht="13.5" customHeight="1" x14ac:dyDescent="0.25">
      <c r="A25" s="123">
        <v>22</v>
      </c>
      <c r="B25" s="426">
        <v>1313240920</v>
      </c>
      <c r="C25" s="416" t="s">
        <v>1198</v>
      </c>
      <c r="D25" s="429">
        <v>489</v>
      </c>
      <c r="E25" s="429">
        <f>D25*1.02</f>
        <v>498.78000000000003</v>
      </c>
      <c r="F25" s="429">
        <v>174</v>
      </c>
      <c r="G25" s="418">
        <v>290</v>
      </c>
      <c r="H25" s="418">
        <v>290</v>
      </c>
      <c r="M25" s="125"/>
    </row>
    <row r="26" spans="1:13" s="124" customFormat="1" ht="13.5" customHeight="1" x14ac:dyDescent="0.25">
      <c r="A26" s="123">
        <v>23</v>
      </c>
      <c r="B26" s="416">
        <v>1313250920</v>
      </c>
      <c r="C26" s="416" t="s">
        <v>41</v>
      </c>
      <c r="D26" s="429">
        <f>3301+46+64+289</f>
        <v>3700</v>
      </c>
      <c r="E26" s="427">
        <v>3500</v>
      </c>
      <c r="F26" s="427">
        <v>1578</v>
      </c>
      <c r="G26" s="430">
        <v>580</v>
      </c>
      <c r="H26" s="430">
        <v>0</v>
      </c>
      <c r="K26" s="125"/>
      <c r="L26" s="125"/>
      <c r="M26" s="125"/>
    </row>
    <row r="27" spans="1:13" s="124" customFormat="1" ht="13.5" customHeight="1" x14ac:dyDescent="0.25">
      <c r="A27" s="123">
        <v>24</v>
      </c>
      <c r="B27" s="416">
        <v>1313260920</v>
      </c>
      <c r="C27" s="416" t="s">
        <v>42</v>
      </c>
      <c r="D27" s="422">
        <v>160</v>
      </c>
      <c r="E27" s="427">
        <v>100</v>
      </c>
      <c r="F27" s="427">
        <v>111</v>
      </c>
      <c r="G27" s="430">
        <v>140</v>
      </c>
      <c r="H27" s="430">
        <v>40</v>
      </c>
      <c r="K27" s="125"/>
      <c r="L27" s="125"/>
      <c r="M27" s="125"/>
    </row>
    <row r="28" spans="1:13" s="124" customFormat="1" ht="13.5" customHeight="1" x14ac:dyDescent="0.25">
      <c r="A28" s="123">
        <v>25</v>
      </c>
      <c r="B28" s="416">
        <v>1313270920</v>
      </c>
      <c r="C28" s="416" t="s">
        <v>43</v>
      </c>
      <c r="D28" s="422">
        <v>278</v>
      </c>
      <c r="E28" s="427">
        <v>300</v>
      </c>
      <c r="F28" s="427">
        <v>136</v>
      </c>
      <c r="G28" s="430">
        <v>280</v>
      </c>
      <c r="H28" s="430">
        <v>280</v>
      </c>
      <c r="K28" s="125"/>
      <c r="L28" s="125"/>
      <c r="M28" s="125"/>
    </row>
    <row r="29" spans="1:13" s="124" customFormat="1" ht="13.5" customHeight="1" x14ac:dyDescent="0.25">
      <c r="A29" s="123">
        <v>26</v>
      </c>
      <c r="B29" s="323">
        <v>1313291920</v>
      </c>
      <c r="C29" s="428" t="s">
        <v>1108</v>
      </c>
      <c r="D29" s="422">
        <v>0</v>
      </c>
      <c r="E29" s="427">
        <v>0</v>
      </c>
      <c r="F29" s="427">
        <v>833</v>
      </c>
      <c r="G29" s="430">
        <v>1620</v>
      </c>
      <c r="H29" s="430">
        <v>1620</v>
      </c>
      <c r="K29" s="125"/>
      <c r="L29" s="125"/>
      <c r="M29" s="125"/>
    </row>
    <row r="30" spans="1:13" s="124" customFormat="1" ht="13.5" customHeight="1" x14ac:dyDescent="0.25">
      <c r="A30" s="123">
        <v>27</v>
      </c>
      <c r="B30" s="416">
        <v>1313300920</v>
      </c>
      <c r="C30" s="416" t="s">
        <v>736</v>
      </c>
      <c r="D30" s="422">
        <v>60</v>
      </c>
      <c r="E30" s="427">
        <f t="shared" ref="E30:E40" si="0">D30*1.02</f>
        <v>61.2</v>
      </c>
      <c r="F30" s="427">
        <v>31</v>
      </c>
      <c r="G30" s="430">
        <v>61</v>
      </c>
      <c r="H30" s="430">
        <v>61</v>
      </c>
      <c r="K30" s="125"/>
      <c r="L30" s="125"/>
      <c r="M30" s="125"/>
    </row>
    <row r="31" spans="1:13" s="124" customFormat="1" ht="13.5" customHeight="1" x14ac:dyDescent="0.25">
      <c r="A31" s="123">
        <v>28</v>
      </c>
      <c r="B31" s="416">
        <v>1313300921</v>
      </c>
      <c r="C31" s="416" t="s">
        <v>737</v>
      </c>
      <c r="D31" s="422">
        <v>121</v>
      </c>
      <c r="E31" s="427">
        <f t="shared" si="0"/>
        <v>123.42</v>
      </c>
      <c r="F31" s="427">
        <v>62</v>
      </c>
      <c r="G31" s="430">
        <v>123</v>
      </c>
      <c r="H31" s="430">
        <v>123</v>
      </c>
      <c r="K31" s="125"/>
      <c r="L31" s="125"/>
      <c r="M31" s="125"/>
    </row>
    <row r="32" spans="1:13" s="124" customFormat="1" ht="13.5" customHeight="1" x14ac:dyDescent="0.25">
      <c r="A32" s="123">
        <v>29</v>
      </c>
      <c r="B32" s="416">
        <v>1313310920</v>
      </c>
      <c r="C32" s="416" t="s">
        <v>739</v>
      </c>
      <c r="D32" s="422">
        <v>190</v>
      </c>
      <c r="E32" s="427">
        <f t="shared" si="0"/>
        <v>193.8</v>
      </c>
      <c r="F32" s="427">
        <v>64</v>
      </c>
      <c r="G32" s="430">
        <v>109</v>
      </c>
      <c r="H32" s="430">
        <v>110</v>
      </c>
      <c r="K32" s="125"/>
      <c r="L32" s="125"/>
      <c r="M32" s="125"/>
    </row>
    <row r="33" spans="1:13" s="124" customFormat="1" ht="13.5" customHeight="1" x14ac:dyDescent="0.25">
      <c r="A33" s="123">
        <v>30</v>
      </c>
      <c r="B33" s="416">
        <v>1313320920</v>
      </c>
      <c r="C33" s="416" t="s">
        <v>738</v>
      </c>
      <c r="D33" s="422">
        <v>132</v>
      </c>
      <c r="E33" s="427">
        <f t="shared" si="0"/>
        <v>134.64000000000001</v>
      </c>
      <c r="F33" s="427">
        <v>129</v>
      </c>
      <c r="G33" s="430">
        <v>185</v>
      </c>
      <c r="H33" s="430">
        <v>185</v>
      </c>
      <c r="K33" s="125"/>
      <c r="L33" s="125"/>
      <c r="M33" s="125"/>
    </row>
    <row r="34" spans="1:13" s="124" customFormat="1" ht="13.5" customHeight="1" x14ac:dyDescent="0.25">
      <c r="A34" s="123">
        <v>31</v>
      </c>
      <c r="B34" s="323">
        <v>1313340920</v>
      </c>
      <c r="C34" s="416" t="s">
        <v>1092</v>
      </c>
      <c r="D34" s="422">
        <v>131</v>
      </c>
      <c r="E34" s="427">
        <f t="shared" si="0"/>
        <v>133.62</v>
      </c>
      <c r="F34" s="427">
        <v>21</v>
      </c>
      <c r="G34" s="430">
        <v>150</v>
      </c>
      <c r="H34" s="430">
        <v>150</v>
      </c>
      <c r="K34" s="125"/>
      <c r="L34" s="125"/>
      <c r="M34" s="125"/>
    </row>
    <row r="35" spans="1:13" s="124" customFormat="1" ht="13.5" customHeight="1" x14ac:dyDescent="0.25">
      <c r="A35" s="123">
        <v>32</v>
      </c>
      <c r="B35" s="323">
        <v>1313350920</v>
      </c>
      <c r="C35" s="416" t="s">
        <v>1093</v>
      </c>
      <c r="D35" s="422">
        <v>173</v>
      </c>
      <c r="E35" s="427">
        <f t="shared" si="0"/>
        <v>176.46</v>
      </c>
      <c r="F35" s="427">
        <v>0</v>
      </c>
      <c r="G35" s="430">
        <v>200</v>
      </c>
      <c r="H35" s="430">
        <v>200</v>
      </c>
      <c r="K35" s="125"/>
      <c r="L35" s="125"/>
      <c r="M35" s="125"/>
    </row>
    <row r="36" spans="1:13" s="124" customFormat="1" ht="13.5" customHeight="1" x14ac:dyDescent="0.25">
      <c r="A36" s="123">
        <v>33</v>
      </c>
      <c r="B36" s="416">
        <v>1313600920</v>
      </c>
      <c r="C36" s="416" t="s">
        <v>740</v>
      </c>
      <c r="D36" s="422">
        <v>332</v>
      </c>
      <c r="E36" s="427">
        <f t="shared" si="0"/>
        <v>338.64</v>
      </c>
      <c r="F36" s="427">
        <v>172</v>
      </c>
      <c r="G36" s="430">
        <v>330</v>
      </c>
      <c r="H36" s="430">
        <v>330</v>
      </c>
      <c r="K36" s="125"/>
      <c r="L36" s="125"/>
      <c r="M36" s="125"/>
    </row>
    <row r="37" spans="1:13" s="124" customFormat="1" ht="13.5" customHeight="1" x14ac:dyDescent="0.25">
      <c r="A37" s="123">
        <v>34</v>
      </c>
      <c r="B37" s="416">
        <v>1313600921</v>
      </c>
      <c r="C37" s="416" t="s">
        <v>741</v>
      </c>
      <c r="D37" s="422">
        <v>116</v>
      </c>
      <c r="E37" s="427">
        <f t="shared" si="0"/>
        <v>118.32000000000001</v>
      </c>
      <c r="F37" s="427">
        <v>60</v>
      </c>
      <c r="G37" s="430">
        <v>118</v>
      </c>
      <c r="H37" s="430">
        <v>118</v>
      </c>
      <c r="K37" s="125"/>
      <c r="L37" s="125"/>
      <c r="M37" s="125"/>
    </row>
    <row r="38" spans="1:13" s="124" customFormat="1" ht="13.5" customHeight="1" x14ac:dyDescent="0.25">
      <c r="A38" s="123">
        <v>35</v>
      </c>
      <c r="B38" s="416">
        <v>1313700920</v>
      </c>
      <c r="C38" s="416" t="s">
        <v>742</v>
      </c>
      <c r="D38" s="422">
        <v>270</v>
      </c>
      <c r="E38" s="427">
        <f t="shared" si="0"/>
        <v>275.39999999999998</v>
      </c>
      <c r="F38" s="427">
        <v>147</v>
      </c>
      <c r="G38" s="430">
        <v>280</v>
      </c>
      <c r="H38" s="430">
        <v>280</v>
      </c>
      <c r="K38" s="125"/>
      <c r="L38" s="125"/>
      <c r="M38" s="125"/>
    </row>
    <row r="39" spans="1:13" s="124" customFormat="1" ht="13.5" customHeight="1" x14ac:dyDescent="0.25">
      <c r="A39" s="123">
        <v>36</v>
      </c>
      <c r="B39" s="416">
        <v>1313700921</v>
      </c>
      <c r="C39" s="416" t="s">
        <v>743</v>
      </c>
      <c r="D39" s="422">
        <v>86</v>
      </c>
      <c r="E39" s="427">
        <f t="shared" si="0"/>
        <v>87.72</v>
      </c>
      <c r="F39" s="427">
        <v>47</v>
      </c>
      <c r="G39" s="430">
        <v>90</v>
      </c>
      <c r="H39" s="430">
        <v>90</v>
      </c>
      <c r="K39" s="125"/>
      <c r="L39" s="125"/>
      <c r="M39" s="125"/>
    </row>
    <row r="40" spans="1:13" s="124" customFormat="1" ht="13.5" customHeight="1" x14ac:dyDescent="0.25">
      <c r="A40" s="123">
        <v>37</v>
      </c>
      <c r="B40" s="426">
        <v>1317100920</v>
      </c>
      <c r="C40" s="416" t="s">
        <v>1065</v>
      </c>
      <c r="D40" s="422">
        <v>145</v>
      </c>
      <c r="E40" s="427">
        <f t="shared" si="0"/>
        <v>147.9</v>
      </c>
      <c r="F40" s="427">
        <v>74</v>
      </c>
      <c r="G40" s="430">
        <v>148</v>
      </c>
      <c r="H40" s="430">
        <v>148</v>
      </c>
      <c r="K40" s="125"/>
      <c r="L40" s="125"/>
      <c r="M40" s="125"/>
    </row>
    <row r="41" spans="1:13" s="124" customFormat="1" ht="13.5" customHeight="1" x14ac:dyDescent="0.25">
      <c r="A41" s="123">
        <v>38</v>
      </c>
      <c r="B41" s="426">
        <v>1317100990</v>
      </c>
      <c r="C41" s="416" t="s">
        <v>1066</v>
      </c>
      <c r="D41" s="422">
        <v>1900</v>
      </c>
      <c r="E41" s="427">
        <v>2100</v>
      </c>
      <c r="F41" s="427">
        <v>696</v>
      </c>
      <c r="G41" s="430">
        <v>2000</v>
      </c>
      <c r="H41" s="430">
        <v>2100</v>
      </c>
      <c r="L41" s="125"/>
      <c r="M41" s="125"/>
    </row>
    <row r="42" spans="1:13" s="124" customFormat="1" ht="13.5" customHeight="1" x14ac:dyDescent="0.25">
      <c r="A42" s="123">
        <v>39</v>
      </c>
      <c r="B42" s="416">
        <v>1317300920</v>
      </c>
      <c r="C42" s="416" t="s">
        <v>47</v>
      </c>
      <c r="D42" s="422">
        <v>1900</v>
      </c>
      <c r="E42" s="427">
        <f>D42*1.02</f>
        <v>1938</v>
      </c>
      <c r="F42" s="427">
        <v>1055</v>
      </c>
      <c r="G42" s="430">
        <v>2100</v>
      </c>
      <c r="H42" s="430">
        <v>2000</v>
      </c>
      <c r="K42" s="125"/>
      <c r="L42" s="125"/>
      <c r="M42" s="125"/>
    </row>
    <row r="43" spans="1:13" s="124" customFormat="1" ht="13.5" customHeight="1" x14ac:dyDescent="0.25">
      <c r="A43" s="123">
        <v>40</v>
      </c>
      <c r="B43" s="416">
        <v>1317700920</v>
      </c>
      <c r="C43" s="416" t="s">
        <v>48</v>
      </c>
      <c r="D43" s="422">
        <v>417</v>
      </c>
      <c r="E43" s="431">
        <f>D43*1.02</f>
        <v>425.34000000000003</v>
      </c>
      <c r="F43" s="431">
        <v>197</v>
      </c>
      <c r="G43" s="432">
        <v>390</v>
      </c>
      <c r="H43" s="432">
        <v>390</v>
      </c>
      <c r="L43" s="125"/>
      <c r="M43" s="125"/>
    </row>
    <row r="44" spans="1:13" s="124" customFormat="1" ht="13.5" customHeight="1" x14ac:dyDescent="0.25">
      <c r="A44" s="123">
        <v>41</v>
      </c>
      <c r="B44" s="416">
        <v>1317800920</v>
      </c>
      <c r="C44" s="416" t="s">
        <v>49</v>
      </c>
      <c r="D44" s="433">
        <v>2776</v>
      </c>
      <c r="E44" s="427">
        <v>3550</v>
      </c>
      <c r="F44" s="434">
        <v>1591</v>
      </c>
      <c r="G44" s="435">
        <v>3700</v>
      </c>
      <c r="H44" s="435">
        <v>3800</v>
      </c>
      <c r="K44" s="125"/>
      <c r="L44" s="125"/>
      <c r="M44" s="125"/>
    </row>
    <row r="45" spans="1:13" s="124" customFormat="1" ht="13.5" customHeight="1" x14ac:dyDescent="0.25">
      <c r="A45" s="123">
        <v>42</v>
      </c>
      <c r="B45" s="416">
        <v>1317810920</v>
      </c>
      <c r="C45" s="416" t="s">
        <v>744</v>
      </c>
      <c r="D45" s="433">
        <v>2000</v>
      </c>
      <c r="E45" s="427">
        <v>2000</v>
      </c>
      <c r="F45" s="427">
        <v>1069</v>
      </c>
      <c r="G45" s="436">
        <v>2000</v>
      </c>
      <c r="H45" s="436">
        <v>2000</v>
      </c>
      <c r="K45" s="125"/>
      <c r="L45" s="125"/>
      <c r="M45" s="125"/>
    </row>
    <row r="46" spans="1:13" s="124" customFormat="1" ht="13.5" customHeight="1" x14ac:dyDescent="0.25">
      <c r="A46" s="123">
        <v>43</v>
      </c>
      <c r="B46" s="416">
        <v>1328110920</v>
      </c>
      <c r="C46" s="416" t="s">
        <v>1172</v>
      </c>
      <c r="D46" s="437">
        <v>0</v>
      </c>
      <c r="E46" s="438">
        <v>100</v>
      </c>
      <c r="F46" s="438">
        <v>0</v>
      </c>
      <c r="G46" s="439">
        <v>98</v>
      </c>
      <c r="H46" s="440">
        <v>30</v>
      </c>
      <c r="K46" s="125"/>
      <c r="L46" s="125"/>
      <c r="M46" s="125"/>
    </row>
    <row r="47" spans="1:13" s="124" customFormat="1" ht="13.5" customHeight="1" x14ac:dyDescent="0.25">
      <c r="A47" s="123">
        <v>44</v>
      </c>
      <c r="B47" s="7">
        <v>1313295920</v>
      </c>
      <c r="C47" s="416" t="s">
        <v>1190</v>
      </c>
      <c r="D47" s="437">
        <v>0</v>
      </c>
      <c r="E47" s="438">
        <v>0</v>
      </c>
      <c r="F47" s="438">
        <v>0</v>
      </c>
      <c r="G47" s="439">
        <v>360</v>
      </c>
      <c r="H47" s="440">
        <v>1104</v>
      </c>
      <c r="K47" s="125"/>
      <c r="L47" s="125"/>
      <c r="M47" s="125"/>
    </row>
    <row r="48" spans="1:13" s="124" customFormat="1" ht="13.5" customHeight="1" x14ac:dyDescent="0.25">
      <c r="A48" s="123">
        <v>45</v>
      </c>
      <c r="B48" s="426"/>
      <c r="C48" s="416" t="s">
        <v>1239</v>
      </c>
      <c r="D48" s="437">
        <v>0</v>
      </c>
      <c r="E48" s="438">
        <v>0</v>
      </c>
      <c r="F48" s="438">
        <v>0</v>
      </c>
      <c r="G48" s="441">
        <v>0</v>
      </c>
      <c r="H48" s="442">
        <v>0</v>
      </c>
      <c r="K48" s="125"/>
      <c r="L48" s="125"/>
      <c r="M48" s="125"/>
    </row>
    <row r="49" spans="1:19" x14ac:dyDescent="0.25">
      <c r="A49" s="101"/>
      <c r="B49" s="548" t="s">
        <v>433</v>
      </c>
      <c r="C49" s="548"/>
      <c r="D49" s="102">
        <f>SUM(D4:D48)</f>
        <v>48287</v>
      </c>
      <c r="E49" s="102">
        <f>SUM(E4:E48)</f>
        <v>40439.06</v>
      </c>
      <c r="F49" s="102">
        <f>SUM(F4:F48)</f>
        <v>27096</v>
      </c>
      <c r="G49" s="102">
        <f>SUM(G4:G48)</f>
        <v>48151</v>
      </c>
      <c r="H49" s="102">
        <f>SUM(H4:H48)</f>
        <v>45621</v>
      </c>
      <c r="K49" s="1"/>
    </row>
    <row r="50" spans="1:19" ht="15.6" customHeight="1" x14ac:dyDescent="0.25">
      <c r="Q50" s="1"/>
      <c r="R50" s="1"/>
      <c r="S50" s="1"/>
    </row>
    <row r="51" spans="1:19" s="177" customFormat="1" ht="47.1" customHeight="1" x14ac:dyDescent="0.25">
      <c r="A51" s="176" t="s">
        <v>623</v>
      </c>
      <c r="B51" s="176" t="s">
        <v>0</v>
      </c>
      <c r="C51" s="176" t="s">
        <v>1</v>
      </c>
      <c r="D51" s="165" t="s">
        <v>1250</v>
      </c>
      <c r="E51" s="165" t="s">
        <v>1061</v>
      </c>
      <c r="F51" s="165" t="s">
        <v>1059</v>
      </c>
      <c r="G51" s="165" t="s">
        <v>1060</v>
      </c>
      <c r="H51" s="165" t="s">
        <v>1058</v>
      </c>
      <c r="K51" s="198"/>
      <c r="L51" s="198"/>
      <c r="M51" s="198"/>
    </row>
    <row r="52" spans="1:19" s="128" customFormat="1" x14ac:dyDescent="0.25">
      <c r="A52" s="129">
        <v>1</v>
      </c>
      <c r="B52" s="280">
        <v>1312310920</v>
      </c>
      <c r="C52" s="129" t="s">
        <v>34</v>
      </c>
      <c r="D52" s="394">
        <v>4979</v>
      </c>
      <c r="E52" s="394">
        <v>7400</v>
      </c>
      <c r="F52" s="394">
        <v>0</v>
      </c>
      <c r="G52" s="394">
        <v>7400</v>
      </c>
      <c r="H52" s="394">
        <v>7400</v>
      </c>
      <c r="K52" s="130"/>
      <c r="L52" s="130"/>
      <c r="M52" s="130"/>
    </row>
    <row r="53" spans="1:19" s="128" customFormat="1" x14ac:dyDescent="0.25">
      <c r="A53" s="101"/>
      <c r="B53" s="548" t="str">
        <f>B49</f>
        <v>סה"כ</v>
      </c>
      <c r="C53" s="548"/>
      <c r="D53" s="395">
        <f t="shared" ref="D53:H53" si="1">SUM(D52)</f>
        <v>4979</v>
      </c>
      <c r="E53" s="395">
        <f t="shared" si="1"/>
        <v>7400</v>
      </c>
      <c r="F53" s="395">
        <f t="shared" si="1"/>
        <v>0</v>
      </c>
      <c r="G53" s="395">
        <f t="shared" si="1"/>
        <v>7400</v>
      </c>
      <c r="H53" s="395">
        <f t="shared" si="1"/>
        <v>7400</v>
      </c>
      <c r="K53" s="130"/>
      <c r="L53" s="130"/>
      <c r="M53" s="130"/>
    </row>
    <row r="54" spans="1:19" ht="15.6" customHeight="1" x14ac:dyDescent="0.25">
      <c r="Q54" s="26"/>
    </row>
    <row r="55" spans="1:19" ht="22.8" x14ac:dyDescent="0.4">
      <c r="A55" s="549" t="s">
        <v>435</v>
      </c>
      <c r="B55" s="549"/>
      <c r="C55" s="549"/>
      <c r="D55" s="549"/>
      <c r="E55" s="549"/>
      <c r="F55" s="549"/>
      <c r="G55" s="549"/>
      <c r="H55" s="549"/>
      <c r="I55" s="520"/>
      <c r="J55" s="520"/>
      <c r="K55" s="520"/>
      <c r="L55" s="520"/>
      <c r="M55" s="520"/>
      <c r="N55" s="520"/>
    </row>
    <row r="56" spans="1:19" ht="10.95" customHeight="1" x14ac:dyDescent="0.25">
      <c r="F56" s="7"/>
    </row>
    <row r="57" spans="1:19" s="177" customFormat="1" ht="47.1" customHeight="1" x14ac:dyDescent="0.25">
      <c r="A57" s="176" t="s">
        <v>623</v>
      </c>
      <c r="B57" s="176" t="s">
        <v>0</v>
      </c>
      <c r="C57" s="176" t="s">
        <v>1</v>
      </c>
      <c r="D57" s="165" t="s">
        <v>1250</v>
      </c>
      <c r="E57" s="165" t="s">
        <v>1061</v>
      </c>
      <c r="F57" s="165" t="s">
        <v>1059</v>
      </c>
      <c r="G57" s="165" t="s">
        <v>1060</v>
      </c>
      <c r="H57" s="165" t="s">
        <v>1058</v>
      </c>
    </row>
    <row r="58" spans="1:19" s="128" customFormat="1" ht="13.5" customHeight="1" x14ac:dyDescent="0.25">
      <c r="A58" s="129">
        <v>1</v>
      </c>
      <c r="B58" s="237">
        <v>1312200420</v>
      </c>
      <c r="C58" s="129" t="s">
        <v>33</v>
      </c>
      <c r="D58" s="129">
        <v>230</v>
      </c>
      <c r="E58" s="129">
        <v>500</v>
      </c>
      <c r="F58" s="129">
        <v>290</v>
      </c>
      <c r="G58" s="280">
        <v>500</v>
      </c>
      <c r="H58" s="280">
        <v>500</v>
      </c>
    </row>
    <row r="59" spans="1:19" s="128" customFormat="1" ht="13.5" customHeight="1" x14ac:dyDescent="0.25">
      <c r="A59" s="129">
        <v>2</v>
      </c>
      <c r="B59" s="237">
        <v>1312300410</v>
      </c>
      <c r="C59" s="129" t="s">
        <v>1067</v>
      </c>
      <c r="D59" s="129">
        <v>440</v>
      </c>
      <c r="E59" s="129">
        <v>0</v>
      </c>
      <c r="F59" s="129">
        <v>34</v>
      </c>
      <c r="G59" s="280">
        <v>34</v>
      </c>
      <c r="H59" s="280">
        <v>5</v>
      </c>
    </row>
    <row r="60" spans="1:19" s="128" customFormat="1" ht="13.5" customHeight="1" x14ac:dyDescent="0.25">
      <c r="A60" s="129">
        <v>3</v>
      </c>
      <c r="B60" s="237">
        <v>1312310410</v>
      </c>
      <c r="C60" s="129" t="s">
        <v>1068</v>
      </c>
      <c r="D60" s="129">
        <v>99</v>
      </c>
      <c r="E60" s="129">
        <v>100</v>
      </c>
      <c r="F60" s="129">
        <v>66</v>
      </c>
      <c r="G60" s="129">
        <v>100</v>
      </c>
      <c r="H60" s="129">
        <v>120</v>
      </c>
    </row>
    <row r="61" spans="1:19" s="128" customFormat="1" ht="13.5" customHeight="1" x14ac:dyDescent="0.25">
      <c r="A61" s="129">
        <v>4</v>
      </c>
      <c r="B61" s="237">
        <v>1312800220</v>
      </c>
      <c r="C61" s="129" t="s">
        <v>35</v>
      </c>
      <c r="D61" s="129">
        <f>44-106</f>
        <v>-62</v>
      </c>
      <c r="E61" s="129">
        <v>500</v>
      </c>
      <c r="F61" s="129">
        <v>368</v>
      </c>
      <c r="G61" s="129">
        <v>350</v>
      </c>
      <c r="H61" s="129">
        <v>350</v>
      </c>
    </row>
    <row r="62" spans="1:19" s="128" customFormat="1" ht="13.5" customHeight="1" x14ac:dyDescent="0.25">
      <c r="A62" s="129">
        <v>5</v>
      </c>
      <c r="B62" s="237">
        <v>1313700420</v>
      </c>
      <c r="C62" s="129" t="s">
        <v>44</v>
      </c>
      <c r="D62" s="129">
        <v>7</v>
      </c>
      <c r="E62" s="129">
        <v>30</v>
      </c>
      <c r="F62" s="129">
        <v>20</v>
      </c>
      <c r="G62" s="129">
        <v>59</v>
      </c>
      <c r="H62" s="129">
        <v>70</v>
      </c>
    </row>
    <row r="63" spans="1:19" s="128" customFormat="1" ht="13.5" customHeight="1" x14ac:dyDescent="0.25">
      <c r="A63" s="129">
        <v>6</v>
      </c>
      <c r="B63" s="237">
        <v>1315000430</v>
      </c>
      <c r="C63" s="129" t="s">
        <v>46</v>
      </c>
      <c r="D63" s="129">
        <v>243</v>
      </c>
      <c r="E63" s="129">
        <v>300</v>
      </c>
      <c r="F63" s="129">
        <v>33</v>
      </c>
      <c r="G63" s="280">
        <v>300</v>
      </c>
      <c r="H63" s="280">
        <v>300</v>
      </c>
    </row>
    <row r="64" spans="1:19" s="128" customFormat="1" ht="13.5" customHeight="1" x14ac:dyDescent="0.25">
      <c r="A64" s="129">
        <v>7</v>
      </c>
      <c r="B64" s="237">
        <v>1317900220</v>
      </c>
      <c r="C64" s="135" t="s">
        <v>892</v>
      </c>
      <c r="D64" s="129">
        <f>255+1</f>
        <v>256</v>
      </c>
      <c r="E64" s="129">
        <v>120</v>
      </c>
      <c r="F64" s="129">
        <v>54</v>
      </c>
      <c r="G64" s="399">
        <f>4093*69/1000</f>
        <v>282.41699999999997</v>
      </c>
      <c r="H64" s="280">
        <v>282</v>
      </c>
      <c r="K64" s="130"/>
      <c r="L64" s="130"/>
      <c r="M64" s="130"/>
    </row>
    <row r="65" spans="1:13" s="128" customFormat="1" ht="13.5" customHeight="1" x14ac:dyDescent="0.25">
      <c r="A65" s="129">
        <v>8</v>
      </c>
      <c r="B65" s="237">
        <v>1317930220</v>
      </c>
      <c r="C65" s="129" t="s">
        <v>891</v>
      </c>
      <c r="D65" s="129">
        <v>1199</v>
      </c>
      <c r="E65" s="129">
        <f>1030-300</f>
        <v>730</v>
      </c>
      <c r="F65" s="129">
        <v>105</v>
      </c>
      <c r="G65" s="129">
        <v>520</v>
      </c>
      <c r="H65" s="129">
        <v>500</v>
      </c>
      <c r="K65" s="130"/>
      <c r="L65" s="130"/>
      <c r="M65" s="130"/>
    </row>
    <row r="66" spans="1:13" x14ac:dyDescent="0.25">
      <c r="A66" s="101"/>
      <c r="B66" s="548" t="s">
        <v>433</v>
      </c>
      <c r="C66" s="548"/>
      <c r="D66" s="53">
        <f>SUM(D58:D65)</f>
        <v>2412</v>
      </c>
      <c r="E66" s="53">
        <f>SUM(E58:E65)</f>
        <v>2280</v>
      </c>
      <c r="F66" s="53">
        <f>SUM(F58:F65)</f>
        <v>970</v>
      </c>
      <c r="G66" s="53">
        <f>SUM(G58:G65)</f>
        <v>2145.4169999999999</v>
      </c>
      <c r="H66" s="53">
        <f>SUM(H58:H65)</f>
        <v>2127</v>
      </c>
      <c r="K66" s="1"/>
    </row>
  </sheetData>
  <sheetProtection algorithmName="SHA-512" hashValue="yMnf9/om8lkui9zVhiTT+HgGTz6PRS/ph4lh21d+p9M3AldihNEfazHLW/4LkU+WwC6HzxZN2O5FZ5kjsBz3Kw==" saltValue="PsfhyU4GkkYV63XZoXRKaw==" spinCount="100000" sheet="1" objects="1" scenarios="1"/>
  <mergeCells count="5">
    <mergeCell ref="B49:C49"/>
    <mergeCell ref="B66:C66"/>
    <mergeCell ref="B53:C53"/>
    <mergeCell ref="A1:H1"/>
    <mergeCell ref="A55:H55"/>
  </mergeCells>
  <phoneticPr fontId="31" type="noConversion"/>
  <pageMargins left="0.70866141732283472" right="0.70866141732283472" top="0.74803149606299213" bottom="0.74803149606299213" header="0.31496062992125984" footer="0.31496062992125984"/>
  <pageSetup paperSize="9" scale="40" firstPageNumber="3" orientation="landscape" useFirstPageNumber="1" r:id="rId1"/>
  <headerFooter>
    <oddFooter>עמוד &amp;P</oddFooter>
  </headerFooter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P78"/>
  <sheetViews>
    <sheetView rightToLeft="1" topLeftCell="A13" zoomScaleNormal="100" workbookViewId="0">
      <selection activeCell="F16" sqref="F16"/>
    </sheetView>
  </sheetViews>
  <sheetFormatPr defaultRowHeight="13.8" x14ac:dyDescent="0.25"/>
  <cols>
    <col min="1" max="1" width="5.3984375" customWidth="1"/>
    <col min="2" max="2" width="12" bestFit="1" customWidth="1"/>
    <col min="3" max="3" width="35.5" customWidth="1"/>
    <col min="4" max="4" width="12" customWidth="1"/>
    <col min="5" max="5" width="12.5" customWidth="1"/>
    <col min="6" max="6" width="13.296875" customWidth="1"/>
    <col min="7" max="7" width="12.69921875" customWidth="1"/>
    <col min="8" max="8" width="14.59765625" customWidth="1"/>
    <col min="9" max="9" width="13.19921875" customWidth="1"/>
    <col min="11" max="11" width="20.3984375" customWidth="1"/>
    <col min="12" max="12" width="10.59765625" bestFit="1" customWidth="1"/>
    <col min="13" max="13" width="24.09765625" bestFit="1" customWidth="1"/>
    <col min="14" max="16" width="11.09765625" bestFit="1" customWidth="1"/>
  </cols>
  <sheetData>
    <row r="2" spans="1:16" ht="22.8" x14ac:dyDescent="0.4">
      <c r="A2" s="549" t="s">
        <v>436</v>
      </c>
      <c r="B2" s="549"/>
      <c r="C2" s="549"/>
      <c r="D2" s="549"/>
      <c r="E2" s="549"/>
      <c r="F2" s="549"/>
      <c r="G2" s="549"/>
      <c r="H2" s="549"/>
      <c r="I2" s="520"/>
      <c r="J2" s="520"/>
      <c r="K2" s="520"/>
    </row>
    <row r="4" spans="1:16" s="177" customFormat="1" ht="45.6" customHeight="1" x14ac:dyDescent="0.25">
      <c r="A4" s="187" t="s">
        <v>623</v>
      </c>
      <c r="B4" s="194" t="s">
        <v>0</v>
      </c>
      <c r="C4" s="194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6" x14ac:dyDescent="0.25">
      <c r="A5" s="4">
        <v>1</v>
      </c>
      <c r="B5" s="4">
        <v>1322000920</v>
      </c>
      <c r="C5" s="233" t="s">
        <v>51</v>
      </c>
      <c r="D5" s="29">
        <v>488</v>
      </c>
      <c r="E5" s="29">
        <v>300</v>
      </c>
      <c r="F5" s="29">
        <v>189</v>
      </c>
      <c r="G5" s="29">
        <v>340</v>
      </c>
      <c r="H5" s="29">
        <v>350</v>
      </c>
      <c r="K5" s="1"/>
      <c r="L5" s="1"/>
      <c r="M5" s="1"/>
    </row>
    <row r="6" spans="1:16" x14ac:dyDescent="0.25">
      <c r="A6" s="4">
        <v>2</v>
      </c>
      <c r="B6" s="233">
        <v>1322000990</v>
      </c>
      <c r="C6" s="233" t="s">
        <v>500</v>
      </c>
      <c r="D6" s="29">
        <v>243</v>
      </c>
      <c r="E6" s="29">
        <v>590</v>
      </c>
      <c r="F6" s="29">
        <v>23</v>
      </c>
      <c r="G6" s="29">
        <f>225+90+150+130+75</f>
        <v>670</v>
      </c>
      <c r="H6" s="29">
        <v>700</v>
      </c>
      <c r="K6" s="1"/>
      <c r="L6" s="1"/>
      <c r="M6" s="1"/>
    </row>
    <row r="7" spans="1:16" x14ac:dyDescent="0.25">
      <c r="A7" s="4">
        <v>3</v>
      </c>
      <c r="B7" s="4">
        <v>1322100920</v>
      </c>
      <c r="C7" s="4" t="s">
        <v>1169</v>
      </c>
      <c r="D7" s="29">
        <v>0</v>
      </c>
      <c r="E7" s="29">
        <v>400</v>
      </c>
      <c r="F7" s="29">
        <v>0</v>
      </c>
      <c r="G7" s="29">
        <v>100</v>
      </c>
      <c r="H7" s="29">
        <v>200</v>
      </c>
      <c r="L7" s="1"/>
      <c r="M7" s="1"/>
    </row>
    <row r="8" spans="1:16" x14ac:dyDescent="0.25">
      <c r="A8" s="4">
        <v>4</v>
      </c>
      <c r="B8" s="233">
        <v>1325100920</v>
      </c>
      <c r="C8" s="4" t="s">
        <v>58</v>
      </c>
      <c r="D8" s="29">
        <v>358</v>
      </c>
      <c r="E8" s="29">
        <v>400</v>
      </c>
      <c r="F8" s="29">
        <v>0</v>
      </c>
      <c r="G8" s="29">
        <v>400</v>
      </c>
      <c r="H8" s="29">
        <v>400</v>
      </c>
      <c r="K8" s="1"/>
      <c r="L8" s="1"/>
      <c r="M8" s="1"/>
    </row>
    <row r="9" spans="1:16" s="14" customFormat="1" ht="15.6" x14ac:dyDescent="0.3">
      <c r="A9" s="100"/>
      <c r="B9" s="550" t="s">
        <v>433</v>
      </c>
      <c r="C9" s="550"/>
      <c r="D9" s="147">
        <f t="shared" ref="D9:H9" si="0">SUM(D5:D8)</f>
        <v>1089</v>
      </c>
      <c r="E9" s="147">
        <f t="shared" si="0"/>
        <v>1690</v>
      </c>
      <c r="F9" s="147">
        <f t="shared" si="0"/>
        <v>212</v>
      </c>
      <c r="G9" s="147">
        <f t="shared" si="0"/>
        <v>1510</v>
      </c>
      <c r="H9" s="147">
        <f t="shared" si="0"/>
        <v>1650</v>
      </c>
      <c r="K9" s="26"/>
    </row>
    <row r="11" spans="1:16" ht="22.8" x14ac:dyDescent="0.4">
      <c r="A11" s="549" t="s">
        <v>437</v>
      </c>
      <c r="B11" s="549"/>
      <c r="C11" s="549"/>
      <c r="D11" s="549"/>
      <c r="E11" s="549"/>
      <c r="F11" s="549"/>
      <c r="G11" s="549"/>
      <c r="H11" s="549"/>
      <c r="I11" s="520"/>
      <c r="J11" s="520"/>
      <c r="K11" s="520"/>
    </row>
    <row r="12" spans="1:16" x14ac:dyDescent="0.25">
      <c r="N12" s="1"/>
      <c r="O12" s="1"/>
      <c r="P12" s="1"/>
    </row>
    <row r="13" spans="1:16" s="195" customFormat="1" ht="46.8" x14ac:dyDescent="0.25">
      <c r="A13" s="194" t="s">
        <v>623</v>
      </c>
      <c r="B13" s="194" t="s">
        <v>0</v>
      </c>
      <c r="C13" s="194" t="s">
        <v>1</v>
      </c>
      <c r="D13" s="165" t="s">
        <v>1250</v>
      </c>
      <c r="E13" s="165" t="s">
        <v>1061</v>
      </c>
      <c r="F13" s="165" t="s">
        <v>1059</v>
      </c>
      <c r="G13" s="165" t="s">
        <v>1060</v>
      </c>
      <c r="H13" s="165" t="s">
        <v>1058</v>
      </c>
      <c r="K13" s="200"/>
      <c r="L13" s="200"/>
      <c r="M13" s="200"/>
    </row>
    <row r="14" spans="1:16" x14ac:dyDescent="0.25">
      <c r="A14" s="4">
        <v>1</v>
      </c>
      <c r="B14" s="4">
        <v>1322000420</v>
      </c>
      <c r="C14" s="4" t="s">
        <v>50</v>
      </c>
      <c r="D14" s="29">
        <v>0</v>
      </c>
      <c r="E14" s="29">
        <v>50</v>
      </c>
      <c r="F14" s="29">
        <v>0</v>
      </c>
      <c r="G14" s="29">
        <v>20</v>
      </c>
      <c r="H14" s="29">
        <v>50</v>
      </c>
      <c r="K14" s="1"/>
      <c r="L14" s="1"/>
      <c r="M14" s="1"/>
    </row>
    <row r="15" spans="1:16" x14ac:dyDescent="0.25">
      <c r="A15" s="4">
        <v>2</v>
      </c>
      <c r="B15" s="4">
        <v>1322100420</v>
      </c>
      <c r="C15" s="4" t="s">
        <v>52</v>
      </c>
      <c r="D15" s="29">
        <v>271</v>
      </c>
      <c r="E15" s="29">
        <v>300</v>
      </c>
      <c r="F15" s="29">
        <v>91</v>
      </c>
      <c r="G15" s="29">
        <v>200</v>
      </c>
      <c r="H15" s="29">
        <v>200</v>
      </c>
      <c r="K15" s="1"/>
      <c r="L15" s="1"/>
      <c r="M15" s="1"/>
    </row>
    <row r="16" spans="1:16" x14ac:dyDescent="0.25">
      <c r="A16" s="4">
        <v>3</v>
      </c>
      <c r="B16" s="4">
        <v>1322300420</v>
      </c>
      <c r="C16" s="4" t="s">
        <v>499</v>
      </c>
      <c r="D16" s="29">
        <v>582</v>
      </c>
      <c r="E16" s="29">
        <v>500</v>
      </c>
      <c r="F16" s="29">
        <v>196</v>
      </c>
      <c r="G16" s="29">
        <v>750</v>
      </c>
      <c r="H16" s="29">
        <v>100</v>
      </c>
      <c r="K16" s="1"/>
      <c r="L16" s="1"/>
      <c r="M16" s="1"/>
    </row>
    <row r="17" spans="1:13" x14ac:dyDescent="0.25">
      <c r="A17" s="4">
        <v>5</v>
      </c>
      <c r="B17" s="4">
        <v>1323000420</v>
      </c>
      <c r="C17" s="4" t="s">
        <v>55</v>
      </c>
      <c r="D17" s="29">
        <v>5</v>
      </c>
      <c r="E17" s="29">
        <v>30</v>
      </c>
      <c r="F17" s="29">
        <v>1</v>
      </c>
      <c r="G17" s="29">
        <v>10</v>
      </c>
      <c r="H17" s="29">
        <v>30</v>
      </c>
      <c r="K17" s="1"/>
      <c r="L17" s="1"/>
      <c r="M17" s="1"/>
    </row>
    <row r="18" spans="1:13" x14ac:dyDescent="0.25">
      <c r="A18" s="4">
        <v>6</v>
      </c>
      <c r="B18" s="233">
        <v>1324000420</v>
      </c>
      <c r="C18" s="4" t="s">
        <v>56</v>
      </c>
      <c r="D18" s="29">
        <v>0</v>
      </c>
      <c r="E18" s="29">
        <v>200</v>
      </c>
      <c r="F18" s="29">
        <v>0</v>
      </c>
      <c r="G18" s="29">
        <v>200</v>
      </c>
      <c r="H18" s="29">
        <v>200</v>
      </c>
      <c r="K18" s="1"/>
      <c r="L18" s="1"/>
      <c r="M18" s="1"/>
    </row>
    <row r="19" spans="1:13" x14ac:dyDescent="0.25">
      <c r="A19" s="4">
        <v>7</v>
      </c>
      <c r="B19" s="4">
        <v>1325100220</v>
      </c>
      <c r="C19" s="233" t="s">
        <v>57</v>
      </c>
      <c r="D19" s="29">
        <v>1658</v>
      </c>
      <c r="E19" s="29">
        <v>1900</v>
      </c>
      <c r="F19" s="29">
        <v>1120</v>
      </c>
      <c r="G19" s="29">
        <v>1700</v>
      </c>
      <c r="H19" s="29">
        <v>1800</v>
      </c>
      <c r="K19" s="26"/>
    </row>
    <row r="20" spans="1:13" x14ac:dyDescent="0.25">
      <c r="A20" s="4">
        <v>8</v>
      </c>
      <c r="B20" s="4">
        <v>1325110220</v>
      </c>
      <c r="C20" s="233" t="s">
        <v>1168</v>
      </c>
      <c r="D20" s="29">
        <f>42+2</f>
        <v>44</v>
      </c>
      <c r="E20" s="29">
        <v>288</v>
      </c>
      <c r="F20" s="29">
        <v>0</v>
      </c>
      <c r="G20" s="29">
        <v>50</v>
      </c>
      <c r="H20" s="29">
        <v>50</v>
      </c>
    </row>
    <row r="21" spans="1:13" ht="15.6" x14ac:dyDescent="0.3">
      <c r="A21" s="101"/>
      <c r="B21" s="550" t="s">
        <v>433</v>
      </c>
      <c r="C21" s="550"/>
      <c r="D21" s="139">
        <f t="shared" ref="D21:E21" si="1">SUM(D14:D20)</f>
        <v>2560</v>
      </c>
      <c r="E21" s="139">
        <f t="shared" si="1"/>
        <v>3268</v>
      </c>
      <c r="F21" s="139">
        <f>SUM(F14:F20)</f>
        <v>1408</v>
      </c>
      <c r="G21" s="139">
        <f>SUM(G14:G20)</f>
        <v>2930</v>
      </c>
      <c r="H21" s="139">
        <f>SUM(H14:H20)</f>
        <v>2430</v>
      </c>
    </row>
    <row r="23" spans="1:13" ht="22.8" x14ac:dyDescent="0.4">
      <c r="A23" s="549" t="s">
        <v>438</v>
      </c>
      <c r="B23" s="549"/>
      <c r="C23" s="549"/>
      <c r="D23" s="549"/>
      <c r="E23" s="549"/>
      <c r="F23" s="549"/>
      <c r="G23" s="549"/>
      <c r="H23" s="549"/>
      <c r="I23" s="520"/>
      <c r="J23" s="520"/>
      <c r="K23" s="520"/>
    </row>
    <row r="25" spans="1:13" s="195" customFormat="1" ht="46.8" x14ac:dyDescent="0.25">
      <c r="A25" s="194" t="s">
        <v>623</v>
      </c>
      <c r="B25" s="194" t="s">
        <v>0</v>
      </c>
      <c r="C25" s="194" t="s">
        <v>1</v>
      </c>
      <c r="D25" s="165" t="s">
        <v>1250</v>
      </c>
      <c r="E25" s="165" t="s">
        <v>1061</v>
      </c>
      <c r="F25" s="165" t="s">
        <v>1059</v>
      </c>
      <c r="G25" s="165" t="s">
        <v>1060</v>
      </c>
      <c r="H25" s="165" t="s">
        <v>1058</v>
      </c>
    </row>
    <row r="26" spans="1:13" x14ac:dyDescent="0.25">
      <c r="A26" s="4">
        <v>1</v>
      </c>
      <c r="B26" s="233">
        <v>1322500420</v>
      </c>
      <c r="C26" s="4" t="s">
        <v>53</v>
      </c>
      <c r="D26" s="29">
        <v>518</v>
      </c>
      <c r="E26" s="29">
        <v>0</v>
      </c>
      <c r="F26" s="29">
        <v>0</v>
      </c>
      <c r="G26" s="282">
        <v>0</v>
      </c>
      <c r="H26" s="282">
        <v>0</v>
      </c>
      <c r="L26" s="1"/>
    </row>
    <row r="27" spans="1:13" x14ac:dyDescent="0.25">
      <c r="A27" s="4">
        <v>2</v>
      </c>
      <c r="B27" s="233">
        <v>1322600420</v>
      </c>
      <c r="C27" s="4" t="s">
        <v>54</v>
      </c>
      <c r="D27" s="29">
        <v>0</v>
      </c>
      <c r="E27" s="29">
        <v>50</v>
      </c>
      <c r="F27" s="29">
        <v>0</v>
      </c>
      <c r="G27" s="282">
        <v>0</v>
      </c>
      <c r="H27" s="282">
        <v>0</v>
      </c>
      <c r="L27" s="1"/>
    </row>
    <row r="28" spans="1:13" x14ac:dyDescent="0.25">
      <c r="A28" s="4">
        <v>3</v>
      </c>
      <c r="B28" s="233">
        <v>1322800990</v>
      </c>
      <c r="C28" s="4" t="s">
        <v>501</v>
      </c>
      <c r="D28" s="29">
        <v>0</v>
      </c>
      <c r="E28" s="29">
        <v>1700</v>
      </c>
      <c r="F28" s="29">
        <v>0</v>
      </c>
      <c r="G28" s="282">
        <v>220</v>
      </c>
      <c r="H28" s="282">
        <v>220</v>
      </c>
      <c r="L28" s="1"/>
    </row>
    <row r="29" spans="1:13" ht="15.6" x14ac:dyDescent="0.3">
      <c r="A29" s="101"/>
      <c r="B29" s="550" t="s">
        <v>433</v>
      </c>
      <c r="C29" s="550"/>
      <c r="D29" s="140">
        <f>SUM(D26:D28)</f>
        <v>518</v>
      </c>
      <c r="E29" s="140">
        <f>SUM(E26:E28)</f>
        <v>1750</v>
      </c>
      <c r="F29" s="139">
        <v>0</v>
      </c>
      <c r="G29" s="139">
        <f>SUM(G26:G28)</f>
        <v>220</v>
      </c>
      <c r="H29" s="139">
        <f>SUM(H26:H28)</f>
        <v>220</v>
      </c>
      <c r="K29" s="14"/>
    </row>
    <row r="52" spans="5:6" ht="17.399999999999999" x14ac:dyDescent="0.3">
      <c r="E52" s="6" t="s">
        <v>625</v>
      </c>
      <c r="F52" s="6"/>
    </row>
    <row r="76" spans="2:4" ht="17.399999999999999" x14ac:dyDescent="0.3">
      <c r="C76" s="6" t="s">
        <v>437</v>
      </c>
    </row>
    <row r="78" spans="2:4" ht="46.8" x14ac:dyDescent="0.3">
      <c r="B78" s="2" t="s">
        <v>0</v>
      </c>
      <c r="C78" s="2" t="s">
        <v>1</v>
      </c>
      <c r="D78" s="3" t="s">
        <v>387</v>
      </c>
    </row>
  </sheetData>
  <sheetProtection algorithmName="SHA-512" hashValue="T40QzgcodkNPX+vRcJe+2d+phLlNxgSJpy2PEbA1Vl9t9Sqs/+VRFWfZMPnXQy6SU3vkosEYVh4/8SoPIKG73g==" saltValue="eykP7eu/eGfjp2Q6T2WFjw==" spinCount="100000" sheet="1" objects="1" scenarios="1"/>
  <mergeCells count="6">
    <mergeCell ref="B9:C9"/>
    <mergeCell ref="B21:C21"/>
    <mergeCell ref="B29:C29"/>
    <mergeCell ref="A2:H2"/>
    <mergeCell ref="A11:H11"/>
    <mergeCell ref="A23:H23"/>
  </mergeCells>
  <pageMargins left="0.70866141732283472" right="0.70866141732283472" top="0.74803149606299213" bottom="0.74803149606299213" header="0.31496062992125984" footer="0.31496062992125984"/>
  <pageSetup paperSize="9" firstPageNumber="4" fitToHeight="0" orientation="portrait" useFirstPageNumber="1" r:id="rId1"/>
  <headerFooter>
    <oddFooter>עמוד &amp;P</oddFooter>
  </headerFooter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2"/>
  <sheetViews>
    <sheetView rightToLeft="1" zoomScaleNormal="100" workbookViewId="0">
      <pane ySplit="3" topLeftCell="A4" activePane="bottomLeft" state="frozen"/>
      <selection pane="bottomLeft" activeCell="A4" sqref="A4:XFD4"/>
    </sheetView>
  </sheetViews>
  <sheetFormatPr defaultRowHeight="13.8" x14ac:dyDescent="0.25"/>
  <cols>
    <col min="1" max="1" width="3.8984375" bestFit="1" customWidth="1"/>
    <col min="2" max="2" width="10.8984375" bestFit="1" customWidth="1"/>
    <col min="3" max="3" width="23.19921875" bestFit="1" customWidth="1"/>
    <col min="4" max="4" width="16.19921875" bestFit="1" customWidth="1"/>
    <col min="5" max="5" width="13.19921875" customWidth="1"/>
    <col min="6" max="6" width="13.796875" bestFit="1" customWidth="1"/>
    <col min="7" max="7" width="12.59765625" style="40" bestFit="1" customWidth="1"/>
    <col min="8" max="8" width="10.09765625" customWidth="1"/>
  </cols>
  <sheetData>
    <row r="1" spans="1:8" ht="25.95" customHeight="1" x14ac:dyDescent="0.4">
      <c r="A1" s="551" t="s">
        <v>439</v>
      </c>
      <c r="B1" s="551"/>
      <c r="C1" s="551"/>
      <c r="D1" s="551"/>
      <c r="E1" s="551"/>
      <c r="F1" s="551"/>
      <c r="G1" s="551"/>
      <c r="H1" s="551"/>
    </row>
    <row r="2" spans="1:8" x14ac:dyDescent="0.25">
      <c r="E2" s="8"/>
    </row>
    <row r="3" spans="1:8" s="195" customFormat="1" ht="31.2" x14ac:dyDescent="0.25">
      <c r="A3" s="194" t="s">
        <v>623</v>
      </c>
      <c r="B3" s="194" t="s">
        <v>0</v>
      </c>
      <c r="C3" s="194" t="s">
        <v>1</v>
      </c>
      <c r="D3" s="165" t="s">
        <v>1250</v>
      </c>
      <c r="E3" s="165" t="s">
        <v>1061</v>
      </c>
      <c r="F3" s="165" t="s">
        <v>1059</v>
      </c>
      <c r="G3" s="165" t="s">
        <v>1060</v>
      </c>
      <c r="H3" s="180" t="s">
        <v>1058</v>
      </c>
    </row>
    <row r="4" spans="1:8" x14ac:dyDescent="0.25">
      <c r="A4" s="4">
        <v>1</v>
      </c>
      <c r="B4" s="4">
        <v>1341000930</v>
      </c>
      <c r="C4" s="4" t="s">
        <v>1098</v>
      </c>
      <c r="D4" s="142">
        <v>45</v>
      </c>
      <c r="E4" s="160">
        <v>0</v>
      </c>
      <c r="F4" s="4">
        <v>20</v>
      </c>
      <c r="G4" s="233">
        <v>20</v>
      </c>
      <c r="H4" s="4">
        <v>20</v>
      </c>
    </row>
    <row r="5" spans="1:8" x14ac:dyDescent="0.25">
      <c r="A5" s="4">
        <v>2</v>
      </c>
      <c r="B5" s="4">
        <v>1341010930</v>
      </c>
      <c r="C5" s="4" t="s">
        <v>59</v>
      </c>
      <c r="D5" s="142">
        <v>5015</v>
      </c>
      <c r="E5" s="89">
        <f>D5*1.12</f>
        <v>5616.8</v>
      </c>
      <c r="F5" s="4">
        <v>3283</v>
      </c>
      <c r="G5" s="279">
        <v>11245</v>
      </c>
      <c r="H5" s="163">
        <v>11245</v>
      </c>
    </row>
    <row r="6" spans="1:8" x14ac:dyDescent="0.25">
      <c r="A6" s="4">
        <v>3</v>
      </c>
      <c r="B6" s="38">
        <v>1341020930</v>
      </c>
      <c r="C6" s="38" t="s">
        <v>60</v>
      </c>
      <c r="D6" s="142">
        <v>121</v>
      </c>
      <c r="E6" s="89">
        <f t="shared" ref="E6:E12" si="0">D6*1.02</f>
        <v>123.42</v>
      </c>
      <c r="F6" s="4">
        <v>67</v>
      </c>
      <c r="G6" s="233">
        <v>123</v>
      </c>
      <c r="H6" s="4">
        <v>123</v>
      </c>
    </row>
    <row r="7" spans="1:8" x14ac:dyDescent="0.25">
      <c r="A7" s="4">
        <v>4</v>
      </c>
      <c r="B7" s="38">
        <v>1341200930</v>
      </c>
      <c r="C7" s="38" t="s">
        <v>61</v>
      </c>
      <c r="D7" s="142">
        <v>358</v>
      </c>
      <c r="E7" s="89">
        <f t="shared" si="0"/>
        <v>365.16</v>
      </c>
      <c r="F7" s="4">
        <v>191</v>
      </c>
      <c r="G7" s="233">
        <v>365</v>
      </c>
      <c r="H7" s="4">
        <v>365</v>
      </c>
    </row>
    <row r="8" spans="1:8" x14ac:dyDescent="0.25">
      <c r="A8" s="4">
        <v>5</v>
      </c>
      <c r="B8" s="38">
        <v>1341300930</v>
      </c>
      <c r="C8" s="38" t="s">
        <v>1124</v>
      </c>
      <c r="D8" s="142">
        <v>1</v>
      </c>
      <c r="E8" s="89">
        <f t="shared" si="0"/>
        <v>1.02</v>
      </c>
      <c r="F8" s="233">
        <v>0</v>
      </c>
      <c r="G8" s="233">
        <v>31</v>
      </c>
      <c r="H8" s="4">
        <v>31</v>
      </c>
    </row>
    <row r="9" spans="1:8" s="30" customFormat="1" x14ac:dyDescent="0.25">
      <c r="A9" s="4">
        <v>6</v>
      </c>
      <c r="B9" s="38">
        <v>1341030930</v>
      </c>
      <c r="C9" s="38" t="s">
        <v>893</v>
      </c>
      <c r="D9" s="142">
        <v>64</v>
      </c>
      <c r="E9" s="89">
        <f t="shared" si="0"/>
        <v>65.28</v>
      </c>
      <c r="F9" s="163">
        <v>71</v>
      </c>
      <c r="G9" s="279">
        <v>164</v>
      </c>
      <c r="H9" s="163">
        <v>164</v>
      </c>
    </row>
    <row r="10" spans="1:8" x14ac:dyDescent="0.25">
      <c r="A10" s="4">
        <v>7</v>
      </c>
      <c r="B10" s="38">
        <v>1342210930</v>
      </c>
      <c r="C10" s="38" t="s">
        <v>62</v>
      </c>
      <c r="D10" s="142">
        <v>425</v>
      </c>
      <c r="E10" s="89">
        <f t="shared" si="0"/>
        <v>433.5</v>
      </c>
      <c r="F10" s="4">
        <v>7</v>
      </c>
      <c r="G10" s="233">
        <v>350</v>
      </c>
      <c r="H10" s="4">
        <v>350</v>
      </c>
    </row>
    <row r="11" spans="1:8" x14ac:dyDescent="0.25">
      <c r="A11" s="4">
        <v>8</v>
      </c>
      <c r="B11" s="238">
        <v>1342221930</v>
      </c>
      <c r="C11" s="238" t="s">
        <v>594</v>
      </c>
      <c r="D11" s="142">
        <v>446</v>
      </c>
      <c r="E11" s="160">
        <f t="shared" si="0"/>
        <v>454.92</v>
      </c>
      <c r="F11" s="4">
        <v>33</v>
      </c>
      <c r="G11" s="233">
        <v>67</v>
      </c>
      <c r="H11" s="4">
        <v>67</v>
      </c>
    </row>
    <row r="12" spans="1:8" s="30" customFormat="1" x14ac:dyDescent="0.25">
      <c r="A12" s="4">
        <v>9</v>
      </c>
      <c r="B12" s="238">
        <v>1342222930</v>
      </c>
      <c r="C12" s="238" t="s">
        <v>894</v>
      </c>
      <c r="D12" s="142">
        <v>189</v>
      </c>
      <c r="E12" s="160">
        <f t="shared" si="0"/>
        <v>192.78</v>
      </c>
      <c r="F12" s="163">
        <v>43</v>
      </c>
      <c r="G12" s="279">
        <v>86</v>
      </c>
      <c r="H12" s="163">
        <v>86</v>
      </c>
    </row>
    <row r="13" spans="1:8" x14ac:dyDescent="0.25">
      <c r="A13" s="4">
        <v>10</v>
      </c>
      <c r="B13" s="38">
        <v>1342240930</v>
      </c>
      <c r="C13" s="38" t="s">
        <v>64</v>
      </c>
      <c r="D13" s="142">
        <f>172+2</f>
        <v>174</v>
      </c>
      <c r="E13" s="89">
        <f>177+2</f>
        <v>179</v>
      </c>
      <c r="F13" s="4">
        <v>72</v>
      </c>
      <c r="G13" s="233">
        <v>153</v>
      </c>
      <c r="H13" s="4">
        <v>153</v>
      </c>
    </row>
    <row r="14" spans="1:8" x14ac:dyDescent="0.25">
      <c r="A14" s="4">
        <v>11</v>
      </c>
      <c r="B14" s="38">
        <v>1342290930</v>
      </c>
      <c r="C14" s="38" t="s">
        <v>65</v>
      </c>
      <c r="D14" s="142">
        <v>51</v>
      </c>
      <c r="E14" s="89">
        <f t="shared" ref="E14:E19" si="1">D14*1.02</f>
        <v>52.02</v>
      </c>
      <c r="F14" s="4">
        <v>29</v>
      </c>
      <c r="G14" s="233">
        <v>52</v>
      </c>
      <c r="H14" s="4">
        <v>52</v>
      </c>
    </row>
    <row r="15" spans="1:8" x14ac:dyDescent="0.25">
      <c r="A15" s="4">
        <v>12</v>
      </c>
      <c r="B15" s="38">
        <v>1342410930</v>
      </c>
      <c r="C15" s="38" t="s">
        <v>66</v>
      </c>
      <c r="D15" s="142">
        <v>89</v>
      </c>
      <c r="E15" s="89">
        <f t="shared" si="1"/>
        <v>90.78</v>
      </c>
      <c r="F15" s="233">
        <v>0</v>
      </c>
      <c r="G15" s="233">
        <v>91</v>
      </c>
      <c r="H15" s="4">
        <v>91</v>
      </c>
    </row>
    <row r="16" spans="1:8" x14ac:dyDescent="0.25">
      <c r="A16" s="4">
        <v>13</v>
      </c>
      <c r="B16" s="38">
        <v>1342411930</v>
      </c>
      <c r="C16" s="38" t="s">
        <v>67</v>
      </c>
      <c r="D16" s="142">
        <v>87</v>
      </c>
      <c r="E16" s="89">
        <f t="shared" si="1"/>
        <v>88.74</v>
      </c>
      <c r="F16" s="233">
        <v>0</v>
      </c>
      <c r="G16" s="233">
        <v>89</v>
      </c>
      <c r="H16" s="4">
        <v>89</v>
      </c>
    </row>
    <row r="17" spans="1:8" x14ac:dyDescent="0.25">
      <c r="A17" s="4">
        <v>14</v>
      </c>
      <c r="B17" s="38">
        <v>1342420930</v>
      </c>
      <c r="C17" s="38" t="s">
        <v>68</v>
      </c>
      <c r="D17" s="142">
        <v>60</v>
      </c>
      <c r="E17" s="89">
        <f t="shared" si="1"/>
        <v>61.2</v>
      </c>
      <c r="F17" s="4">
        <v>26</v>
      </c>
      <c r="G17" s="233">
        <v>107</v>
      </c>
      <c r="H17" s="4">
        <v>107</v>
      </c>
    </row>
    <row r="18" spans="1:8" x14ac:dyDescent="0.25">
      <c r="A18" s="4">
        <v>15</v>
      </c>
      <c r="B18" s="38">
        <v>1342430930</v>
      </c>
      <c r="C18" s="38" t="s">
        <v>69</v>
      </c>
      <c r="D18" s="142">
        <v>352</v>
      </c>
      <c r="E18" s="89">
        <f t="shared" si="1"/>
        <v>359.04</v>
      </c>
      <c r="F18" s="4">
        <v>213</v>
      </c>
      <c r="G18" s="233">
        <v>359</v>
      </c>
      <c r="H18" s="4">
        <v>359</v>
      </c>
    </row>
    <row r="19" spans="1:8" x14ac:dyDescent="0.25">
      <c r="A19" s="4">
        <v>16</v>
      </c>
      <c r="B19" s="38">
        <v>1342431930</v>
      </c>
      <c r="C19" s="38" t="s">
        <v>70</v>
      </c>
      <c r="D19" s="142">
        <v>46</v>
      </c>
      <c r="E19" s="89">
        <f t="shared" si="1"/>
        <v>46.92</v>
      </c>
      <c r="F19" s="4">
        <v>1</v>
      </c>
      <c r="G19" s="233">
        <v>47</v>
      </c>
      <c r="H19" s="4">
        <v>47</v>
      </c>
    </row>
    <row r="20" spans="1:8" x14ac:dyDescent="0.25">
      <c r="A20" s="4">
        <v>17</v>
      </c>
      <c r="B20" s="38">
        <v>1342432930</v>
      </c>
      <c r="C20" s="38" t="s">
        <v>1161</v>
      </c>
      <c r="D20" s="142">
        <v>0</v>
      </c>
      <c r="E20" s="160">
        <v>0</v>
      </c>
      <c r="F20" s="233">
        <v>0</v>
      </c>
      <c r="G20" s="233">
        <v>114</v>
      </c>
      <c r="H20" s="4">
        <v>114</v>
      </c>
    </row>
    <row r="21" spans="1:8" x14ac:dyDescent="0.25">
      <c r="A21" s="4">
        <v>18</v>
      </c>
      <c r="B21" s="38">
        <v>1342433930</v>
      </c>
      <c r="C21" s="38" t="s">
        <v>71</v>
      </c>
      <c r="D21" s="142">
        <v>252</v>
      </c>
      <c r="E21" s="160">
        <f t="shared" ref="E21:E26" si="2">D21*1.02</f>
        <v>257.04000000000002</v>
      </c>
      <c r="F21" s="233">
        <v>55</v>
      </c>
      <c r="G21" s="233">
        <v>13</v>
      </c>
      <c r="H21" s="4">
        <v>13</v>
      </c>
    </row>
    <row r="22" spans="1:8" x14ac:dyDescent="0.25">
      <c r="A22" s="4">
        <v>19</v>
      </c>
      <c r="B22" s="38">
        <v>1342436930</v>
      </c>
      <c r="C22" s="38" t="s">
        <v>72</v>
      </c>
      <c r="D22" s="142">
        <v>0</v>
      </c>
      <c r="E22" s="160">
        <f t="shared" si="2"/>
        <v>0</v>
      </c>
      <c r="F22" s="233">
        <v>0</v>
      </c>
      <c r="G22" s="233">
        <v>162</v>
      </c>
      <c r="H22" s="4">
        <v>162</v>
      </c>
    </row>
    <row r="23" spans="1:8" x14ac:dyDescent="0.25">
      <c r="A23" s="4">
        <v>20</v>
      </c>
      <c r="B23" s="38">
        <v>1342437930</v>
      </c>
      <c r="C23" s="38" t="s">
        <v>749</v>
      </c>
      <c r="D23" s="142">
        <v>25</v>
      </c>
      <c r="E23" s="160">
        <f t="shared" si="2"/>
        <v>25.5</v>
      </c>
      <c r="F23" s="233">
        <v>0</v>
      </c>
      <c r="G23" s="233">
        <v>26</v>
      </c>
      <c r="H23" s="233">
        <v>0</v>
      </c>
    </row>
    <row r="24" spans="1:8" x14ac:dyDescent="0.25">
      <c r="A24" s="4">
        <v>21</v>
      </c>
      <c r="B24" s="38">
        <v>1342440930</v>
      </c>
      <c r="C24" t="s">
        <v>895</v>
      </c>
      <c r="D24" s="142">
        <v>8</v>
      </c>
      <c r="E24" s="160">
        <f t="shared" si="2"/>
        <v>8.16</v>
      </c>
      <c r="F24" s="233">
        <v>0</v>
      </c>
      <c r="G24" s="233">
        <v>8</v>
      </c>
      <c r="H24" s="233">
        <v>8</v>
      </c>
    </row>
    <row r="25" spans="1:8" x14ac:dyDescent="0.25">
      <c r="A25" s="4">
        <v>22</v>
      </c>
      <c r="B25" s="38">
        <v>1342441930</v>
      </c>
      <c r="C25" s="38" t="s">
        <v>73</v>
      </c>
      <c r="D25" s="142">
        <v>204</v>
      </c>
      <c r="E25" s="160">
        <f t="shared" si="2"/>
        <v>208.08</v>
      </c>
      <c r="F25" s="233">
        <v>0</v>
      </c>
      <c r="G25" s="233">
        <v>192</v>
      </c>
      <c r="H25" s="233">
        <v>192</v>
      </c>
    </row>
    <row r="26" spans="1:8" x14ac:dyDescent="0.25">
      <c r="A26" s="4">
        <v>23</v>
      </c>
      <c r="B26" s="38">
        <v>1342450930</v>
      </c>
      <c r="C26" s="38" t="s">
        <v>74</v>
      </c>
      <c r="D26" s="142">
        <v>60</v>
      </c>
      <c r="E26" s="160">
        <f t="shared" si="2"/>
        <v>61.2</v>
      </c>
      <c r="F26" s="233">
        <v>0</v>
      </c>
      <c r="G26" s="233">
        <v>61</v>
      </c>
      <c r="H26" s="233">
        <v>61</v>
      </c>
    </row>
    <row r="27" spans="1:8" x14ac:dyDescent="0.25">
      <c r="A27" s="4">
        <v>24</v>
      </c>
      <c r="B27" s="38">
        <v>1342451930</v>
      </c>
      <c r="C27" s="40" t="s">
        <v>1109</v>
      </c>
      <c r="D27" s="142">
        <v>0</v>
      </c>
      <c r="E27" s="160">
        <v>0</v>
      </c>
      <c r="F27" s="233">
        <v>-4</v>
      </c>
      <c r="G27" s="233">
        <v>279</v>
      </c>
      <c r="H27" s="233">
        <v>279</v>
      </c>
    </row>
    <row r="28" spans="1:8" x14ac:dyDescent="0.25">
      <c r="A28" s="4">
        <v>25</v>
      </c>
      <c r="B28" s="38">
        <v>1342453930</v>
      </c>
      <c r="C28" s="238" t="s">
        <v>1148</v>
      </c>
      <c r="D28" s="142">
        <v>0</v>
      </c>
      <c r="E28" s="160">
        <v>0</v>
      </c>
      <c r="F28" s="233">
        <v>0</v>
      </c>
      <c r="G28" s="233">
        <v>72</v>
      </c>
      <c r="H28" s="233">
        <v>20</v>
      </c>
    </row>
    <row r="29" spans="1:8" x14ac:dyDescent="0.25">
      <c r="A29" s="4">
        <v>26</v>
      </c>
      <c r="B29" s="38">
        <v>1343501930</v>
      </c>
      <c r="C29" s="38" t="s">
        <v>614</v>
      </c>
      <c r="D29" s="142">
        <v>9</v>
      </c>
      <c r="E29" s="89">
        <v>7</v>
      </c>
      <c r="F29" s="4">
        <v>3</v>
      </c>
      <c r="G29" s="233">
        <v>18</v>
      </c>
      <c r="H29" s="4">
        <v>18</v>
      </c>
    </row>
    <row r="30" spans="1:8" x14ac:dyDescent="0.25">
      <c r="A30" s="4">
        <v>27</v>
      </c>
      <c r="B30" s="38">
        <v>1343510930</v>
      </c>
      <c r="C30" s="38" t="s">
        <v>78</v>
      </c>
      <c r="D30" s="142">
        <v>247</v>
      </c>
      <c r="E30" s="89">
        <f t="shared" ref="E30:E42" si="3">D30*1.02</f>
        <v>251.94</v>
      </c>
      <c r="F30" s="4">
        <v>146</v>
      </c>
      <c r="G30" s="233">
        <v>290</v>
      </c>
      <c r="H30" s="4">
        <v>290</v>
      </c>
    </row>
    <row r="31" spans="1:8" x14ac:dyDescent="0.25">
      <c r="A31" s="4">
        <v>28</v>
      </c>
      <c r="B31" s="38">
        <v>1343530930</v>
      </c>
      <c r="C31" s="38" t="s">
        <v>80</v>
      </c>
      <c r="D31" s="142">
        <f>560+59+91</f>
        <v>710</v>
      </c>
      <c r="E31" s="89">
        <f t="shared" si="3"/>
        <v>724.2</v>
      </c>
      <c r="F31" s="4">
        <v>234</v>
      </c>
      <c r="G31" s="233">
        <v>467</v>
      </c>
      <c r="H31" s="4">
        <v>467</v>
      </c>
    </row>
    <row r="32" spans="1:8" x14ac:dyDescent="0.25">
      <c r="A32" s="4">
        <v>29</v>
      </c>
      <c r="B32" s="38">
        <v>1343540930</v>
      </c>
      <c r="C32" s="38" t="s">
        <v>81</v>
      </c>
      <c r="D32" s="142">
        <v>374</v>
      </c>
      <c r="E32" s="89">
        <f t="shared" si="3"/>
        <v>381.48</v>
      </c>
      <c r="F32" s="4">
        <v>185</v>
      </c>
      <c r="G32" s="233">
        <v>173</v>
      </c>
      <c r="H32" s="4">
        <v>173</v>
      </c>
    </row>
    <row r="33" spans="1:8" x14ac:dyDescent="0.25">
      <c r="A33" s="4">
        <v>30</v>
      </c>
      <c r="B33" s="38">
        <v>1343550930</v>
      </c>
      <c r="C33" s="38" t="s">
        <v>82</v>
      </c>
      <c r="D33" s="142">
        <v>184</v>
      </c>
      <c r="E33" s="89">
        <f t="shared" si="3"/>
        <v>187.68</v>
      </c>
      <c r="F33" s="4">
        <v>111</v>
      </c>
      <c r="G33" s="233">
        <v>453</v>
      </c>
      <c r="H33" s="4">
        <v>453</v>
      </c>
    </row>
    <row r="34" spans="1:8" x14ac:dyDescent="0.25">
      <c r="A34" s="4">
        <v>31</v>
      </c>
      <c r="B34" s="38">
        <v>1343551930</v>
      </c>
      <c r="C34" s="38" t="s">
        <v>83</v>
      </c>
      <c r="D34" s="142">
        <v>265</v>
      </c>
      <c r="E34" s="89">
        <f t="shared" si="3"/>
        <v>270.3</v>
      </c>
      <c r="F34" s="4">
        <v>190</v>
      </c>
      <c r="G34" s="233">
        <v>328</v>
      </c>
      <c r="H34" s="4">
        <v>328</v>
      </c>
    </row>
    <row r="35" spans="1:8" x14ac:dyDescent="0.25">
      <c r="A35" s="4">
        <v>32</v>
      </c>
      <c r="B35" s="38">
        <v>1343552930</v>
      </c>
      <c r="C35" s="38" t="s">
        <v>898</v>
      </c>
      <c r="D35" s="142">
        <v>0</v>
      </c>
      <c r="E35" s="160">
        <f t="shared" si="3"/>
        <v>0</v>
      </c>
      <c r="F35" s="4">
        <v>2</v>
      </c>
      <c r="G35" s="233">
        <v>130</v>
      </c>
      <c r="H35" s="4">
        <v>130</v>
      </c>
    </row>
    <row r="36" spans="1:8" x14ac:dyDescent="0.25">
      <c r="A36" s="4">
        <v>33</v>
      </c>
      <c r="B36" s="38">
        <v>1343581930</v>
      </c>
      <c r="C36" t="s">
        <v>1099</v>
      </c>
      <c r="D36" s="142">
        <v>0</v>
      </c>
      <c r="E36" s="160">
        <f t="shared" si="3"/>
        <v>0</v>
      </c>
      <c r="F36" s="233">
        <v>0</v>
      </c>
      <c r="G36" s="233">
        <v>1</v>
      </c>
      <c r="H36" s="4">
        <v>1</v>
      </c>
    </row>
    <row r="37" spans="1:8" x14ac:dyDescent="0.25">
      <c r="A37" s="4">
        <v>34</v>
      </c>
      <c r="B37" s="38">
        <v>1343810930</v>
      </c>
      <c r="C37" s="38" t="s">
        <v>84</v>
      </c>
      <c r="D37" s="142">
        <v>2957</v>
      </c>
      <c r="E37" s="89">
        <f t="shared" si="3"/>
        <v>3016.14</v>
      </c>
      <c r="F37" s="4">
        <v>1645</v>
      </c>
      <c r="G37" s="233">
        <v>3244</v>
      </c>
      <c r="H37" s="4">
        <v>3244</v>
      </c>
    </row>
    <row r="38" spans="1:8" x14ac:dyDescent="0.25">
      <c r="A38" s="4">
        <v>35</v>
      </c>
      <c r="B38" s="38">
        <v>1343820930</v>
      </c>
      <c r="C38" s="38" t="s">
        <v>85</v>
      </c>
      <c r="D38" s="142">
        <v>86</v>
      </c>
      <c r="E38" s="89">
        <f t="shared" si="3"/>
        <v>87.72</v>
      </c>
      <c r="F38" s="4">
        <v>22</v>
      </c>
      <c r="G38" s="233">
        <v>88</v>
      </c>
      <c r="H38" s="4">
        <v>88</v>
      </c>
    </row>
    <row r="39" spans="1:8" x14ac:dyDescent="0.25">
      <c r="A39" s="4">
        <v>36</v>
      </c>
      <c r="B39" s="38">
        <v>1343910930</v>
      </c>
      <c r="C39" s="38" t="s">
        <v>86</v>
      </c>
      <c r="D39" s="142">
        <v>782</v>
      </c>
      <c r="E39" s="89">
        <f t="shared" si="3"/>
        <v>797.64</v>
      </c>
      <c r="F39" s="4">
        <v>365</v>
      </c>
      <c r="G39" s="233">
        <v>798</v>
      </c>
      <c r="H39" s="4">
        <v>798</v>
      </c>
    </row>
    <row r="40" spans="1:8" x14ac:dyDescent="0.25">
      <c r="A40" s="4">
        <v>37</v>
      </c>
      <c r="B40" s="38">
        <v>1344310930</v>
      </c>
      <c r="C40" s="38" t="s">
        <v>87</v>
      </c>
      <c r="D40" s="142">
        <v>2812</v>
      </c>
      <c r="E40" s="89">
        <f t="shared" si="3"/>
        <v>2868.2400000000002</v>
      </c>
      <c r="F40" s="4">
        <v>1237</v>
      </c>
      <c r="G40" s="233">
        <v>2868</v>
      </c>
      <c r="H40" s="4">
        <v>2868</v>
      </c>
    </row>
    <row r="41" spans="1:8" x14ac:dyDescent="0.25">
      <c r="A41" s="4">
        <v>38</v>
      </c>
      <c r="B41" s="239">
        <v>1344414930</v>
      </c>
      <c r="C41" s="239" t="s">
        <v>88</v>
      </c>
      <c r="D41" s="240">
        <v>0</v>
      </c>
      <c r="E41" s="383">
        <f t="shared" si="3"/>
        <v>0</v>
      </c>
      <c r="F41" s="167">
        <v>25</v>
      </c>
      <c r="G41" s="233">
        <v>49</v>
      </c>
      <c r="H41" s="4">
        <v>49</v>
      </c>
    </row>
    <row r="42" spans="1:8" x14ac:dyDescent="0.25">
      <c r="A42" s="4">
        <v>39</v>
      </c>
      <c r="B42" s="38">
        <v>1344415930</v>
      </c>
      <c r="C42" s="4" t="s">
        <v>1100</v>
      </c>
      <c r="D42" s="142">
        <v>2</v>
      </c>
      <c r="E42" s="160">
        <f t="shared" si="3"/>
        <v>2.04</v>
      </c>
      <c r="F42" s="233">
        <v>0</v>
      </c>
      <c r="G42" s="233">
        <v>2</v>
      </c>
      <c r="H42" s="4">
        <v>2</v>
      </c>
    </row>
    <row r="43" spans="1:8" x14ac:dyDescent="0.25">
      <c r="A43" s="4">
        <v>40</v>
      </c>
      <c r="B43" s="4">
        <v>1344416930</v>
      </c>
      <c r="C43" s="4" t="s">
        <v>1110</v>
      </c>
      <c r="D43" s="233">
        <v>0</v>
      </c>
      <c r="E43" s="4">
        <v>1133</v>
      </c>
      <c r="F43" s="4">
        <v>312</v>
      </c>
      <c r="G43" s="233">
        <v>1133</v>
      </c>
      <c r="H43" s="4">
        <v>1133</v>
      </c>
    </row>
    <row r="44" spans="1:8" x14ac:dyDescent="0.25">
      <c r="A44" s="4">
        <v>41</v>
      </c>
      <c r="B44" s="38">
        <v>1344420930</v>
      </c>
      <c r="C44" s="38" t="s">
        <v>89</v>
      </c>
      <c r="D44" s="142">
        <v>30</v>
      </c>
      <c r="E44" s="89">
        <f t="shared" ref="E44:E56" si="4">D44*1.02</f>
        <v>30.6</v>
      </c>
      <c r="F44" s="4">
        <v>15</v>
      </c>
      <c r="G44" s="233">
        <v>31</v>
      </c>
      <c r="H44" s="4">
        <v>31</v>
      </c>
    </row>
    <row r="45" spans="1:8" x14ac:dyDescent="0.25">
      <c r="A45" s="4">
        <v>42</v>
      </c>
      <c r="B45" s="38">
        <v>1344440930</v>
      </c>
      <c r="C45" s="38" t="s">
        <v>90</v>
      </c>
      <c r="D45" s="142">
        <v>82</v>
      </c>
      <c r="E45" s="89">
        <f t="shared" si="4"/>
        <v>83.64</v>
      </c>
      <c r="F45" s="4">
        <v>9</v>
      </c>
      <c r="G45" s="233">
        <v>36</v>
      </c>
      <c r="H45" s="4">
        <v>36</v>
      </c>
    </row>
    <row r="46" spans="1:8" x14ac:dyDescent="0.25">
      <c r="A46" s="4">
        <v>43</v>
      </c>
      <c r="B46" s="38">
        <v>1344450930</v>
      </c>
      <c r="C46" s="38" t="s">
        <v>91</v>
      </c>
      <c r="D46" s="142">
        <v>61</v>
      </c>
      <c r="E46" s="89">
        <f t="shared" si="4"/>
        <v>62.22</v>
      </c>
      <c r="F46" s="233">
        <v>0</v>
      </c>
      <c r="G46" s="233">
        <v>62</v>
      </c>
      <c r="H46" s="4">
        <v>62</v>
      </c>
    </row>
    <row r="47" spans="1:8" x14ac:dyDescent="0.25">
      <c r="A47" s="4">
        <v>44</v>
      </c>
      <c r="B47" s="38">
        <v>1344470930</v>
      </c>
      <c r="C47" s="38" t="s">
        <v>92</v>
      </c>
      <c r="D47" s="142">
        <v>691</v>
      </c>
      <c r="E47" s="89">
        <f t="shared" si="4"/>
        <v>704.82</v>
      </c>
      <c r="F47" s="4">
        <v>328</v>
      </c>
      <c r="G47" s="233">
        <v>656</v>
      </c>
      <c r="H47" s="4">
        <v>656</v>
      </c>
    </row>
    <row r="48" spans="1:8" x14ac:dyDescent="0.25">
      <c r="A48" s="4">
        <v>45</v>
      </c>
      <c r="B48" s="38">
        <v>1344480930</v>
      </c>
      <c r="C48" s="38" t="s">
        <v>93</v>
      </c>
      <c r="D48" s="142">
        <v>80</v>
      </c>
      <c r="E48" s="160">
        <f t="shared" si="4"/>
        <v>81.599999999999994</v>
      </c>
      <c r="F48" s="233">
        <v>0</v>
      </c>
      <c r="G48" s="233">
        <v>82</v>
      </c>
      <c r="H48" s="4">
        <v>82</v>
      </c>
    </row>
    <row r="49" spans="1:8" x14ac:dyDescent="0.25">
      <c r="A49" s="4">
        <v>46</v>
      </c>
      <c r="B49" s="38">
        <v>1344481930</v>
      </c>
      <c r="C49" s="38" t="s">
        <v>94</v>
      </c>
      <c r="D49" s="142">
        <v>38</v>
      </c>
      <c r="E49" s="160">
        <f t="shared" si="4"/>
        <v>38.76</v>
      </c>
      <c r="F49" s="233">
        <v>0</v>
      </c>
      <c r="G49" s="233">
        <v>39</v>
      </c>
      <c r="H49" s="4">
        <v>39</v>
      </c>
    </row>
    <row r="50" spans="1:8" x14ac:dyDescent="0.25">
      <c r="A50" s="4">
        <v>47</v>
      </c>
      <c r="B50" s="38">
        <v>1344490930</v>
      </c>
      <c r="C50" t="s">
        <v>1101</v>
      </c>
      <c r="D50" s="142">
        <v>10</v>
      </c>
      <c r="E50" s="160">
        <f t="shared" si="4"/>
        <v>10.199999999999999</v>
      </c>
      <c r="F50" s="233">
        <v>0</v>
      </c>
      <c r="G50" s="233">
        <v>10</v>
      </c>
      <c r="H50" s="4">
        <v>10</v>
      </c>
    </row>
    <row r="51" spans="1:8" s="30" customFormat="1" x14ac:dyDescent="0.25">
      <c r="A51" s="4">
        <v>48</v>
      </c>
      <c r="B51" s="38">
        <v>1344491930</v>
      </c>
      <c r="C51" s="38" t="s">
        <v>1102</v>
      </c>
      <c r="D51" s="142">
        <v>3</v>
      </c>
      <c r="E51" s="160">
        <f t="shared" si="4"/>
        <v>3.06</v>
      </c>
      <c r="F51" s="233">
        <v>0</v>
      </c>
      <c r="G51" s="279">
        <v>3</v>
      </c>
      <c r="H51" s="163">
        <v>3</v>
      </c>
    </row>
    <row r="52" spans="1:8" x14ac:dyDescent="0.25">
      <c r="A52" s="4">
        <v>49</v>
      </c>
      <c r="B52" s="38">
        <v>1344492930</v>
      </c>
      <c r="C52" s="38" t="s">
        <v>95</v>
      </c>
      <c r="D52" s="142">
        <v>68</v>
      </c>
      <c r="E52" s="160">
        <f t="shared" si="4"/>
        <v>69.36</v>
      </c>
      <c r="F52" s="233">
        <v>0</v>
      </c>
      <c r="G52" s="233">
        <v>69</v>
      </c>
      <c r="H52" s="163">
        <v>69</v>
      </c>
    </row>
    <row r="53" spans="1:8" x14ac:dyDescent="0.25">
      <c r="A53" s="4">
        <v>50</v>
      </c>
      <c r="B53" s="38">
        <v>1344493930</v>
      </c>
      <c r="C53" s="38" t="s">
        <v>96</v>
      </c>
      <c r="D53" s="142">
        <v>113</v>
      </c>
      <c r="E53" s="160">
        <f t="shared" si="4"/>
        <v>115.26</v>
      </c>
      <c r="F53" s="233">
        <v>0</v>
      </c>
      <c r="G53" s="233">
        <v>115</v>
      </c>
      <c r="H53" s="163">
        <v>115</v>
      </c>
    </row>
    <row r="54" spans="1:8" x14ac:dyDescent="0.25">
      <c r="A54" s="4">
        <v>51</v>
      </c>
      <c r="B54" s="38">
        <v>1344510930</v>
      </c>
      <c r="C54" s="38" t="s">
        <v>97</v>
      </c>
      <c r="D54" s="142">
        <v>182</v>
      </c>
      <c r="E54" s="160">
        <f t="shared" si="4"/>
        <v>185.64000000000001</v>
      </c>
      <c r="F54" s="233">
        <v>0</v>
      </c>
      <c r="G54" s="233">
        <v>186</v>
      </c>
      <c r="H54" s="4">
        <v>186</v>
      </c>
    </row>
    <row r="55" spans="1:8" x14ac:dyDescent="0.25">
      <c r="A55" s="4">
        <v>52</v>
      </c>
      <c r="B55" s="38">
        <v>1344511930</v>
      </c>
      <c r="C55" s="38" t="s">
        <v>98</v>
      </c>
      <c r="D55" s="142">
        <v>297</v>
      </c>
      <c r="E55" s="160">
        <f t="shared" si="4"/>
        <v>302.94</v>
      </c>
      <c r="F55" s="233">
        <v>0</v>
      </c>
      <c r="G55" s="233">
        <v>303</v>
      </c>
      <c r="H55" s="4">
        <v>303</v>
      </c>
    </row>
    <row r="56" spans="1:8" x14ac:dyDescent="0.25">
      <c r="A56" s="4">
        <v>53</v>
      </c>
      <c r="B56" s="38">
        <v>1345100930</v>
      </c>
      <c r="C56" s="238" t="s">
        <v>100</v>
      </c>
      <c r="D56" s="142">
        <v>6</v>
      </c>
      <c r="E56" s="160">
        <f t="shared" si="4"/>
        <v>6.12</v>
      </c>
      <c r="F56" s="233">
        <v>-1</v>
      </c>
      <c r="G56" s="233">
        <v>6</v>
      </c>
      <c r="H56" s="4">
        <v>6</v>
      </c>
    </row>
    <row r="57" spans="1:8" x14ac:dyDescent="0.25">
      <c r="A57" s="4">
        <v>54</v>
      </c>
      <c r="B57" s="38">
        <v>1345101930</v>
      </c>
      <c r="C57" s="38" t="s">
        <v>1111</v>
      </c>
      <c r="D57" s="142">
        <v>0</v>
      </c>
      <c r="E57" s="160">
        <v>0</v>
      </c>
      <c r="F57" s="233">
        <v>214</v>
      </c>
      <c r="G57" s="233">
        <v>490</v>
      </c>
      <c r="H57" s="233">
        <v>490</v>
      </c>
    </row>
    <row r="58" spans="1:8" x14ac:dyDescent="0.25">
      <c r="A58" s="4">
        <v>55</v>
      </c>
      <c r="B58" s="38">
        <v>1345110930</v>
      </c>
      <c r="C58" s="38" t="s">
        <v>101</v>
      </c>
      <c r="D58" s="142">
        <v>1234</v>
      </c>
      <c r="E58" s="89">
        <f t="shared" ref="E58:E74" si="5">D58*1.02</f>
        <v>1258.68</v>
      </c>
      <c r="F58" s="4">
        <v>813</v>
      </c>
      <c r="G58" s="233">
        <v>1259</v>
      </c>
      <c r="H58" s="4">
        <v>1259</v>
      </c>
    </row>
    <row r="59" spans="1:8" x14ac:dyDescent="0.25">
      <c r="A59" s="4">
        <v>56</v>
      </c>
      <c r="B59" s="38">
        <v>1345111930</v>
      </c>
      <c r="C59" s="38" t="s">
        <v>102</v>
      </c>
      <c r="D59" s="142">
        <v>139</v>
      </c>
      <c r="E59" s="89">
        <f t="shared" si="5"/>
        <v>141.78</v>
      </c>
      <c r="F59" s="4">
        <v>67</v>
      </c>
      <c r="G59" s="233">
        <v>133</v>
      </c>
      <c r="H59" s="4">
        <v>133</v>
      </c>
    </row>
    <row r="60" spans="1:8" x14ac:dyDescent="0.25">
      <c r="A60" s="4">
        <v>57</v>
      </c>
      <c r="B60" s="38">
        <v>1345112930</v>
      </c>
      <c r="C60" s="38" t="s">
        <v>103</v>
      </c>
      <c r="D60" s="142">
        <v>102</v>
      </c>
      <c r="E60" s="89">
        <f t="shared" si="5"/>
        <v>104.04</v>
      </c>
      <c r="F60" s="4">
        <v>48</v>
      </c>
      <c r="G60" s="233">
        <v>104</v>
      </c>
      <c r="H60" s="4">
        <v>104</v>
      </c>
    </row>
    <row r="61" spans="1:8" x14ac:dyDescent="0.25">
      <c r="A61" s="4">
        <v>58</v>
      </c>
      <c r="B61" s="38">
        <v>1345120930</v>
      </c>
      <c r="C61" s="38" t="s">
        <v>104</v>
      </c>
      <c r="D61" s="142">
        <v>18</v>
      </c>
      <c r="E61" s="89">
        <f t="shared" si="5"/>
        <v>18.36</v>
      </c>
      <c r="F61" s="4">
        <v>7</v>
      </c>
      <c r="G61" s="233">
        <v>16</v>
      </c>
      <c r="H61" s="4">
        <v>16</v>
      </c>
    </row>
    <row r="62" spans="1:8" x14ac:dyDescent="0.25">
      <c r="A62" s="4">
        <v>59</v>
      </c>
      <c r="B62" s="38">
        <v>1345121930</v>
      </c>
      <c r="C62" s="38" t="s">
        <v>105</v>
      </c>
      <c r="D62" s="142">
        <v>60</v>
      </c>
      <c r="E62" s="89">
        <f t="shared" si="5"/>
        <v>61.2</v>
      </c>
      <c r="F62" s="4">
        <v>17</v>
      </c>
      <c r="G62" s="233">
        <v>42</v>
      </c>
      <c r="H62" s="4">
        <v>42</v>
      </c>
    </row>
    <row r="63" spans="1:8" x14ac:dyDescent="0.25">
      <c r="A63" s="4">
        <v>60</v>
      </c>
      <c r="B63" s="38">
        <v>1345130930</v>
      </c>
      <c r="C63" s="38" t="s">
        <v>106</v>
      </c>
      <c r="D63" s="142">
        <v>5171</v>
      </c>
      <c r="E63" s="89">
        <f t="shared" si="5"/>
        <v>5274.42</v>
      </c>
      <c r="F63" s="4">
        <v>2691</v>
      </c>
      <c r="G63" s="233">
        <v>5274</v>
      </c>
      <c r="H63" s="4">
        <v>5274</v>
      </c>
    </row>
    <row r="64" spans="1:8" x14ac:dyDescent="0.25">
      <c r="A64" s="4">
        <v>61</v>
      </c>
      <c r="B64" s="38">
        <v>1345150930</v>
      </c>
      <c r="C64" s="38" t="s">
        <v>107</v>
      </c>
      <c r="D64" s="142">
        <v>3922</v>
      </c>
      <c r="E64" s="89">
        <f t="shared" si="5"/>
        <v>4000.44</v>
      </c>
      <c r="F64" s="4">
        <v>2203</v>
      </c>
      <c r="G64" s="233">
        <v>4000</v>
      </c>
      <c r="H64" s="4">
        <v>4000</v>
      </c>
    </row>
    <row r="65" spans="1:8" x14ac:dyDescent="0.25">
      <c r="A65" s="4">
        <v>62</v>
      </c>
      <c r="B65" s="38">
        <v>1345160930</v>
      </c>
      <c r="C65" s="38" t="s">
        <v>108</v>
      </c>
      <c r="D65" s="142">
        <v>151</v>
      </c>
      <c r="E65" s="89">
        <f t="shared" si="5"/>
        <v>154.02000000000001</v>
      </c>
      <c r="F65" s="4">
        <v>73</v>
      </c>
      <c r="G65" s="233">
        <v>145</v>
      </c>
      <c r="H65" s="4">
        <v>145</v>
      </c>
    </row>
    <row r="66" spans="1:8" x14ac:dyDescent="0.25">
      <c r="A66" s="4">
        <v>63</v>
      </c>
      <c r="B66" s="38">
        <v>1345170930</v>
      </c>
      <c r="C66" s="38" t="s">
        <v>109</v>
      </c>
      <c r="D66" s="142">
        <v>173</v>
      </c>
      <c r="E66" s="89">
        <f t="shared" si="5"/>
        <v>176.46</v>
      </c>
      <c r="F66" s="4">
        <v>77</v>
      </c>
      <c r="G66" s="233">
        <v>154</v>
      </c>
      <c r="H66" s="4">
        <v>154</v>
      </c>
    </row>
    <row r="67" spans="1:8" x14ac:dyDescent="0.25">
      <c r="A67" s="4">
        <v>64</v>
      </c>
      <c r="B67" s="38">
        <v>1345180930</v>
      </c>
      <c r="C67" s="38" t="s">
        <v>110</v>
      </c>
      <c r="D67" s="142">
        <v>446</v>
      </c>
      <c r="E67" s="89">
        <f t="shared" si="5"/>
        <v>454.92</v>
      </c>
      <c r="F67" s="233">
        <v>0</v>
      </c>
      <c r="G67" s="233">
        <v>490</v>
      </c>
      <c r="H67" s="4">
        <v>490</v>
      </c>
    </row>
    <row r="68" spans="1:8" x14ac:dyDescent="0.25">
      <c r="A68" s="4">
        <v>65</v>
      </c>
      <c r="B68" s="38">
        <v>1345190930</v>
      </c>
      <c r="C68" s="38" t="s">
        <v>111</v>
      </c>
      <c r="D68" s="142">
        <v>52</v>
      </c>
      <c r="E68" s="89">
        <f t="shared" si="5"/>
        <v>53.04</v>
      </c>
      <c r="F68" s="4">
        <v>25</v>
      </c>
      <c r="G68" s="233">
        <v>50</v>
      </c>
      <c r="H68" s="4">
        <v>50</v>
      </c>
    </row>
    <row r="69" spans="1:8" x14ac:dyDescent="0.25">
      <c r="A69" s="4">
        <v>66</v>
      </c>
      <c r="B69" s="38">
        <v>1345200930</v>
      </c>
      <c r="C69" s="38" t="s">
        <v>113</v>
      </c>
      <c r="D69" s="142">
        <v>913</v>
      </c>
      <c r="E69" s="89">
        <f t="shared" si="5"/>
        <v>931.26</v>
      </c>
      <c r="F69" s="4">
        <v>413</v>
      </c>
      <c r="G69" s="233">
        <v>931</v>
      </c>
      <c r="H69" s="4">
        <v>931</v>
      </c>
    </row>
    <row r="70" spans="1:8" x14ac:dyDescent="0.25">
      <c r="A70" s="4">
        <v>67</v>
      </c>
      <c r="B70" s="38">
        <v>1345210930</v>
      </c>
      <c r="C70" s="38" t="s">
        <v>114</v>
      </c>
      <c r="D70" s="142">
        <v>2</v>
      </c>
      <c r="E70" s="89">
        <f t="shared" si="5"/>
        <v>2.04</v>
      </c>
      <c r="F70" s="4">
        <v>2</v>
      </c>
      <c r="G70" s="233">
        <v>4</v>
      </c>
      <c r="H70" s="4">
        <v>4</v>
      </c>
    </row>
    <row r="71" spans="1:8" x14ac:dyDescent="0.25">
      <c r="A71" s="4">
        <v>68</v>
      </c>
      <c r="B71" s="38">
        <v>1345220930</v>
      </c>
      <c r="C71" s="38" t="s">
        <v>115</v>
      </c>
      <c r="D71" s="142">
        <v>855</v>
      </c>
      <c r="E71" s="160">
        <f t="shared" si="5"/>
        <v>872.1</v>
      </c>
      <c r="F71" s="4">
        <v>506</v>
      </c>
      <c r="G71" s="233">
        <v>816</v>
      </c>
      <c r="H71" s="4">
        <v>816</v>
      </c>
    </row>
    <row r="72" spans="1:8" x14ac:dyDescent="0.25">
      <c r="A72" s="4">
        <v>69</v>
      </c>
      <c r="B72" s="38">
        <v>1345230930</v>
      </c>
      <c r="C72" s="38" t="s">
        <v>116</v>
      </c>
      <c r="D72" s="142">
        <v>0</v>
      </c>
      <c r="E72" s="160">
        <f t="shared" si="5"/>
        <v>0</v>
      </c>
      <c r="F72" s="4">
        <v>131</v>
      </c>
      <c r="G72" s="233">
        <v>247</v>
      </c>
      <c r="H72" s="4">
        <v>247</v>
      </c>
    </row>
    <row r="73" spans="1:8" x14ac:dyDescent="0.25">
      <c r="A73" s="4">
        <v>70</v>
      </c>
      <c r="B73" s="38">
        <v>1345320930</v>
      </c>
      <c r="C73" s="38" t="s">
        <v>117</v>
      </c>
      <c r="D73" s="142">
        <v>205</v>
      </c>
      <c r="E73" s="89">
        <f t="shared" si="5"/>
        <v>209.1</v>
      </c>
      <c r="F73" s="4">
        <v>82</v>
      </c>
      <c r="G73" s="233">
        <v>163</v>
      </c>
      <c r="H73" s="4">
        <v>163</v>
      </c>
    </row>
    <row r="74" spans="1:8" x14ac:dyDescent="0.25">
      <c r="A74" s="4">
        <v>71</v>
      </c>
      <c r="B74" s="38">
        <v>1345340930</v>
      </c>
      <c r="C74" s="38" t="s">
        <v>118</v>
      </c>
      <c r="D74" s="142">
        <v>46</v>
      </c>
      <c r="E74" s="89">
        <f t="shared" si="5"/>
        <v>46.92</v>
      </c>
      <c r="F74" s="4">
        <v>21</v>
      </c>
      <c r="G74" s="233">
        <v>41</v>
      </c>
      <c r="H74" s="4">
        <v>41</v>
      </c>
    </row>
    <row r="75" spans="1:8" x14ac:dyDescent="0.25">
      <c r="A75" s="4">
        <v>72</v>
      </c>
      <c r="B75" s="38">
        <v>1345351930</v>
      </c>
      <c r="C75" s="38" t="s">
        <v>1146</v>
      </c>
      <c r="D75" s="142">
        <v>0</v>
      </c>
      <c r="E75" s="160">
        <v>0</v>
      </c>
      <c r="F75" s="233">
        <v>0</v>
      </c>
      <c r="G75" s="233">
        <v>2</v>
      </c>
      <c r="H75" s="4">
        <v>2</v>
      </c>
    </row>
    <row r="76" spans="1:8" x14ac:dyDescent="0.25">
      <c r="A76" s="4">
        <v>73</v>
      </c>
      <c r="B76" s="38">
        <v>1346300930</v>
      </c>
      <c r="C76" s="38" t="s">
        <v>119</v>
      </c>
      <c r="D76" s="142">
        <v>148</v>
      </c>
      <c r="E76" s="89">
        <f t="shared" ref="E76:E89" si="6">D76*1.02</f>
        <v>150.96</v>
      </c>
      <c r="F76" s="4">
        <v>80</v>
      </c>
      <c r="G76" s="233">
        <v>151</v>
      </c>
      <c r="H76" s="4">
        <v>151</v>
      </c>
    </row>
    <row r="77" spans="1:8" x14ac:dyDescent="0.25">
      <c r="A77" s="4">
        <v>74</v>
      </c>
      <c r="B77" s="38">
        <v>1346500930</v>
      </c>
      <c r="C77" s="38" t="s">
        <v>120</v>
      </c>
      <c r="D77" s="142">
        <v>4860</v>
      </c>
      <c r="E77" s="89">
        <f t="shared" si="6"/>
        <v>4957.2</v>
      </c>
      <c r="F77" s="4">
        <v>2778</v>
      </c>
      <c r="G77" s="233">
        <v>4651</v>
      </c>
      <c r="H77" s="4">
        <v>4651</v>
      </c>
    </row>
    <row r="78" spans="1:8" x14ac:dyDescent="0.25">
      <c r="A78" s="4">
        <v>75</v>
      </c>
      <c r="B78" s="38">
        <v>1346510930</v>
      </c>
      <c r="C78" s="38" t="s">
        <v>121</v>
      </c>
      <c r="D78" s="142">
        <v>608</v>
      </c>
      <c r="E78" s="89">
        <f t="shared" si="6"/>
        <v>620.16</v>
      </c>
      <c r="F78" s="4">
        <v>340</v>
      </c>
      <c r="G78" s="233">
        <v>210</v>
      </c>
      <c r="H78" s="4">
        <v>210</v>
      </c>
    </row>
    <row r="79" spans="1:8" x14ac:dyDescent="0.25">
      <c r="A79" s="4">
        <v>76</v>
      </c>
      <c r="B79" s="38">
        <v>1346610930</v>
      </c>
      <c r="C79" s="38" t="s">
        <v>122</v>
      </c>
      <c r="D79" s="142">
        <v>479</v>
      </c>
      <c r="E79" s="89">
        <f t="shared" si="6"/>
        <v>488.58</v>
      </c>
      <c r="F79" s="4">
        <v>193</v>
      </c>
      <c r="G79" s="233">
        <v>385</v>
      </c>
      <c r="H79" s="4">
        <v>385</v>
      </c>
    </row>
    <row r="80" spans="1:8" x14ac:dyDescent="0.25">
      <c r="A80" s="4">
        <v>77</v>
      </c>
      <c r="B80" s="38">
        <v>1346620930</v>
      </c>
      <c r="C80" s="38" t="s">
        <v>123</v>
      </c>
      <c r="D80" s="142">
        <v>295</v>
      </c>
      <c r="E80" s="89">
        <f t="shared" si="6"/>
        <v>300.89999999999998</v>
      </c>
      <c r="F80" s="4">
        <v>233</v>
      </c>
      <c r="G80" s="233">
        <v>358</v>
      </c>
      <c r="H80" s="4">
        <v>358</v>
      </c>
    </row>
    <row r="81" spans="1:8" x14ac:dyDescent="0.25">
      <c r="A81" s="4">
        <v>78</v>
      </c>
      <c r="B81" s="38">
        <v>1346631930</v>
      </c>
      <c r="C81" s="38" t="s">
        <v>897</v>
      </c>
      <c r="D81" s="142">
        <v>54</v>
      </c>
      <c r="E81" s="89">
        <f t="shared" si="6"/>
        <v>55.08</v>
      </c>
      <c r="F81" s="4">
        <v>71</v>
      </c>
      <c r="G81" s="233">
        <v>200</v>
      </c>
      <c r="H81" s="4">
        <v>200</v>
      </c>
    </row>
    <row r="82" spans="1:8" x14ac:dyDescent="0.25">
      <c r="A82" s="4">
        <v>79</v>
      </c>
      <c r="B82" s="38">
        <v>1346710930</v>
      </c>
      <c r="C82" s="38" t="s">
        <v>124</v>
      </c>
      <c r="D82" s="142">
        <v>2</v>
      </c>
      <c r="E82" s="160">
        <f t="shared" si="6"/>
        <v>2.04</v>
      </c>
      <c r="F82" s="233">
        <v>0</v>
      </c>
      <c r="G82" s="233">
        <v>2</v>
      </c>
      <c r="H82" s="4">
        <v>2</v>
      </c>
    </row>
    <row r="83" spans="1:8" x14ac:dyDescent="0.25">
      <c r="A83" s="4">
        <v>80</v>
      </c>
      <c r="B83" s="38">
        <v>1346711930</v>
      </c>
      <c r="C83" s="38" t="s">
        <v>125</v>
      </c>
      <c r="D83" s="142">
        <v>0</v>
      </c>
      <c r="E83" s="160">
        <f t="shared" si="6"/>
        <v>0</v>
      </c>
      <c r="F83" s="233">
        <v>3</v>
      </c>
      <c r="G83" s="233">
        <v>90</v>
      </c>
      <c r="H83" s="4">
        <v>90</v>
      </c>
    </row>
    <row r="84" spans="1:8" x14ac:dyDescent="0.25">
      <c r="A84" s="4">
        <v>81</v>
      </c>
      <c r="B84" s="38">
        <v>1346712930</v>
      </c>
      <c r="C84" s="38" t="s">
        <v>126</v>
      </c>
      <c r="D84" s="142">
        <v>0</v>
      </c>
      <c r="E84" s="160">
        <f t="shared" si="6"/>
        <v>0</v>
      </c>
      <c r="F84" s="233">
        <v>21</v>
      </c>
      <c r="G84" s="233">
        <v>43</v>
      </c>
      <c r="H84" s="4">
        <v>43</v>
      </c>
    </row>
    <row r="85" spans="1:8" x14ac:dyDescent="0.25">
      <c r="A85" s="4">
        <v>82</v>
      </c>
      <c r="B85" s="38">
        <v>1346730930</v>
      </c>
      <c r="C85" s="38" t="s">
        <v>127</v>
      </c>
      <c r="D85" s="142">
        <v>154</v>
      </c>
      <c r="E85" s="89">
        <f t="shared" si="6"/>
        <v>157.08000000000001</v>
      </c>
      <c r="F85" s="4">
        <v>49</v>
      </c>
      <c r="G85" s="233">
        <v>96</v>
      </c>
      <c r="H85" s="4">
        <v>96</v>
      </c>
    </row>
    <row r="86" spans="1:8" x14ac:dyDescent="0.25">
      <c r="A86" s="4">
        <v>83</v>
      </c>
      <c r="B86" s="38">
        <v>1346750930</v>
      </c>
      <c r="C86" s="38" t="s">
        <v>128</v>
      </c>
      <c r="D86" s="142">
        <v>153</v>
      </c>
      <c r="E86" s="89">
        <f t="shared" si="6"/>
        <v>156.06</v>
      </c>
      <c r="F86" s="4">
        <v>48</v>
      </c>
      <c r="G86" s="233">
        <v>95</v>
      </c>
      <c r="H86" s="4">
        <v>95</v>
      </c>
    </row>
    <row r="87" spans="1:8" x14ac:dyDescent="0.25">
      <c r="A87" s="4">
        <v>84</v>
      </c>
      <c r="B87" s="38">
        <v>1346760930</v>
      </c>
      <c r="C87" s="38" t="s">
        <v>129</v>
      </c>
      <c r="D87" s="142">
        <v>162</v>
      </c>
      <c r="E87" s="89">
        <f t="shared" si="6"/>
        <v>165.24</v>
      </c>
      <c r="F87" s="233">
        <v>0</v>
      </c>
      <c r="G87" s="233">
        <v>165</v>
      </c>
      <c r="H87" s="4">
        <v>165</v>
      </c>
    </row>
    <row r="88" spans="1:8" x14ac:dyDescent="0.25">
      <c r="A88" s="4">
        <v>85</v>
      </c>
      <c r="B88" s="38">
        <v>1346761930</v>
      </c>
      <c r="C88" s="38" t="s">
        <v>130</v>
      </c>
      <c r="D88" s="142">
        <v>202</v>
      </c>
      <c r="E88" s="89">
        <f t="shared" si="6"/>
        <v>206.04</v>
      </c>
      <c r="F88" s="4">
        <v>145</v>
      </c>
      <c r="G88" s="233">
        <v>206</v>
      </c>
      <c r="H88" s="4">
        <v>206</v>
      </c>
    </row>
    <row r="89" spans="1:8" x14ac:dyDescent="0.25">
      <c r="A89" s="4">
        <v>86</v>
      </c>
      <c r="B89" s="38">
        <v>1346790930</v>
      </c>
      <c r="C89" s="38" t="s">
        <v>131</v>
      </c>
      <c r="D89" s="142">
        <v>215</v>
      </c>
      <c r="E89" s="89">
        <f t="shared" si="6"/>
        <v>219.3</v>
      </c>
      <c r="F89" s="4">
        <v>12</v>
      </c>
      <c r="G89" s="233">
        <v>120</v>
      </c>
      <c r="H89" s="4">
        <v>120</v>
      </c>
    </row>
    <row r="90" spans="1:8" x14ac:dyDescent="0.25">
      <c r="A90" s="4">
        <v>87</v>
      </c>
      <c r="B90" s="38">
        <v>1346820930</v>
      </c>
      <c r="C90" s="38" t="s">
        <v>132</v>
      </c>
      <c r="D90" s="142">
        <v>501</v>
      </c>
      <c r="E90" s="89">
        <v>8</v>
      </c>
      <c r="F90" s="4">
        <v>6</v>
      </c>
      <c r="G90" s="233">
        <v>12</v>
      </c>
      <c r="H90" s="4">
        <v>12</v>
      </c>
    </row>
    <row r="91" spans="1:8" x14ac:dyDescent="0.25">
      <c r="A91" s="4">
        <v>88</v>
      </c>
      <c r="B91" s="38">
        <v>1346840930</v>
      </c>
      <c r="C91" s="38" t="s">
        <v>751</v>
      </c>
      <c r="D91" s="142">
        <v>0</v>
      </c>
      <c r="E91" s="160">
        <f>D91*1.02</f>
        <v>0</v>
      </c>
      <c r="F91" s="4">
        <v>218</v>
      </c>
      <c r="G91" s="233">
        <v>435</v>
      </c>
      <c r="H91" s="4">
        <v>435</v>
      </c>
    </row>
    <row r="92" spans="1:8" x14ac:dyDescent="0.25">
      <c r="A92" s="4">
        <v>89</v>
      </c>
      <c r="B92" s="38">
        <v>1347100930</v>
      </c>
      <c r="C92" s="38" t="s">
        <v>134</v>
      </c>
      <c r="D92" s="142">
        <v>209</v>
      </c>
      <c r="E92" s="89">
        <f>D92*1.02</f>
        <v>213.18</v>
      </c>
      <c r="F92" s="233">
        <v>72</v>
      </c>
      <c r="G92" s="233">
        <v>213</v>
      </c>
      <c r="H92" s="4">
        <v>213</v>
      </c>
    </row>
    <row r="93" spans="1:8" x14ac:dyDescent="0.25">
      <c r="A93" s="4">
        <v>90</v>
      </c>
      <c r="B93" s="38">
        <v>1347130930</v>
      </c>
      <c r="C93" s="38" t="s">
        <v>136</v>
      </c>
      <c r="D93" s="142">
        <v>41</v>
      </c>
      <c r="E93" s="89">
        <f>D93*1.02</f>
        <v>41.82</v>
      </c>
      <c r="F93" s="233">
        <v>0</v>
      </c>
      <c r="G93" s="233">
        <v>11</v>
      </c>
      <c r="H93" s="4">
        <v>11</v>
      </c>
    </row>
    <row r="94" spans="1:8" x14ac:dyDescent="0.25">
      <c r="A94" s="4">
        <v>91</v>
      </c>
      <c r="B94" s="38">
        <v>1347140930</v>
      </c>
      <c r="C94" s="38" t="s">
        <v>137</v>
      </c>
      <c r="D94" s="142">
        <v>339</v>
      </c>
      <c r="E94" s="89">
        <f>D94*1.02</f>
        <v>345.78000000000003</v>
      </c>
      <c r="F94" s="233">
        <v>0</v>
      </c>
      <c r="G94" s="233">
        <v>346</v>
      </c>
      <c r="H94" s="4">
        <v>346</v>
      </c>
    </row>
    <row r="95" spans="1:8" x14ac:dyDescent="0.25">
      <c r="A95" s="4">
        <v>92</v>
      </c>
      <c r="B95">
        <v>1347160930</v>
      </c>
      <c r="C95" t="s">
        <v>1112</v>
      </c>
      <c r="D95" s="142">
        <v>0</v>
      </c>
      <c r="E95" s="160">
        <v>0</v>
      </c>
      <c r="F95" s="4">
        <v>5</v>
      </c>
      <c r="G95" s="233">
        <v>13</v>
      </c>
      <c r="H95" s="4">
        <v>13</v>
      </c>
    </row>
    <row r="96" spans="1:8" x14ac:dyDescent="0.25">
      <c r="A96" s="4">
        <v>93</v>
      </c>
      <c r="B96" s="38">
        <v>1347180930</v>
      </c>
      <c r="C96" s="38" t="s">
        <v>745</v>
      </c>
      <c r="D96" s="142">
        <v>97</v>
      </c>
      <c r="E96" s="160">
        <f>D96*1.02</f>
        <v>98.94</v>
      </c>
      <c r="F96" s="4">
        <v>29</v>
      </c>
      <c r="G96" s="233">
        <v>58</v>
      </c>
      <c r="H96" s="4">
        <v>58</v>
      </c>
    </row>
    <row r="97" spans="1:8" s="30" customFormat="1" x14ac:dyDescent="0.25">
      <c r="A97" s="4">
        <v>94</v>
      </c>
      <c r="B97" s="38">
        <v>1347200930</v>
      </c>
      <c r="C97" s="38" t="s">
        <v>872</v>
      </c>
      <c r="D97" s="142">
        <v>212</v>
      </c>
      <c r="E97" s="160">
        <f>D97*1.02</f>
        <v>216.24</v>
      </c>
      <c r="F97" s="163">
        <v>156</v>
      </c>
      <c r="G97" s="279">
        <v>216</v>
      </c>
      <c r="H97" s="163">
        <v>216</v>
      </c>
    </row>
    <row r="98" spans="1:8" s="30" customFormat="1" x14ac:dyDescent="0.25">
      <c r="A98" s="4">
        <v>95</v>
      </c>
      <c r="B98" s="38">
        <v>1347210930</v>
      </c>
      <c r="C98" s="38" t="s">
        <v>1145</v>
      </c>
      <c r="D98" s="142">
        <v>0</v>
      </c>
      <c r="E98" s="160">
        <v>0</v>
      </c>
      <c r="F98" s="279">
        <v>0</v>
      </c>
      <c r="G98" s="279">
        <v>97</v>
      </c>
      <c r="H98" s="163">
        <v>97</v>
      </c>
    </row>
    <row r="99" spans="1:8" x14ac:dyDescent="0.25">
      <c r="A99" s="4">
        <v>96</v>
      </c>
      <c r="B99" s="38">
        <v>1347310930</v>
      </c>
      <c r="C99" s="38" t="s">
        <v>138</v>
      </c>
      <c r="D99" s="142">
        <v>9</v>
      </c>
      <c r="E99" s="160">
        <f>D99*1.02</f>
        <v>9.18</v>
      </c>
      <c r="F99" s="233">
        <v>0</v>
      </c>
      <c r="G99" s="233">
        <v>9</v>
      </c>
      <c r="H99" s="163">
        <v>9</v>
      </c>
    </row>
    <row r="100" spans="1:8" x14ac:dyDescent="0.25">
      <c r="A100" s="4">
        <v>97</v>
      </c>
      <c r="B100" s="38">
        <v>1347312930</v>
      </c>
      <c r="C100" s="38" t="s">
        <v>899</v>
      </c>
      <c r="D100" s="142">
        <v>0</v>
      </c>
      <c r="E100" s="160">
        <f>D100*1.02</f>
        <v>0</v>
      </c>
      <c r="F100" s="233">
        <v>0</v>
      </c>
      <c r="G100" s="233">
        <v>36</v>
      </c>
      <c r="H100" s="163">
        <v>36</v>
      </c>
    </row>
    <row r="101" spans="1:8" s="30" customFormat="1" x14ac:dyDescent="0.25">
      <c r="A101" s="4">
        <v>98</v>
      </c>
      <c r="B101" s="38">
        <v>1347323930</v>
      </c>
      <c r="C101" s="38" t="s">
        <v>900</v>
      </c>
      <c r="D101" s="142">
        <v>0</v>
      </c>
      <c r="E101" s="160">
        <v>10</v>
      </c>
      <c r="F101" s="279">
        <v>0</v>
      </c>
      <c r="G101" s="279">
        <v>27</v>
      </c>
      <c r="H101" s="163">
        <v>27</v>
      </c>
    </row>
    <row r="102" spans="1:8" x14ac:dyDescent="0.25">
      <c r="A102" s="4">
        <v>99</v>
      </c>
      <c r="B102" s="38">
        <v>1347340930</v>
      </c>
      <c r="C102" s="38" t="s">
        <v>139</v>
      </c>
      <c r="D102" s="142">
        <v>267</v>
      </c>
      <c r="E102" s="89">
        <f t="shared" ref="E102:E116" si="7">D102*1.02</f>
        <v>272.34000000000003</v>
      </c>
      <c r="F102" s="4">
        <v>24</v>
      </c>
      <c r="G102" s="233">
        <v>272</v>
      </c>
      <c r="H102" s="4">
        <v>272</v>
      </c>
    </row>
    <row r="103" spans="1:8" x14ac:dyDescent="0.25">
      <c r="A103" s="4">
        <v>100</v>
      </c>
      <c r="B103" s="38">
        <v>1348210930</v>
      </c>
      <c r="C103" s="38" t="s">
        <v>613</v>
      </c>
      <c r="D103" s="142">
        <v>208</v>
      </c>
      <c r="E103" s="89">
        <f t="shared" si="7"/>
        <v>212.16</v>
      </c>
      <c r="F103" s="4">
        <v>111</v>
      </c>
      <c r="G103" s="233">
        <v>224</v>
      </c>
      <c r="H103" s="4">
        <v>224</v>
      </c>
    </row>
    <row r="104" spans="1:8" x14ac:dyDescent="0.25">
      <c r="A104" s="4">
        <v>101</v>
      </c>
      <c r="B104" s="38">
        <v>1348211930</v>
      </c>
      <c r="C104" s="38" t="s">
        <v>140</v>
      </c>
      <c r="D104" s="142">
        <v>3</v>
      </c>
      <c r="E104" s="89">
        <f t="shared" si="7"/>
        <v>3.06</v>
      </c>
      <c r="F104" s="233">
        <v>0</v>
      </c>
      <c r="G104" s="233">
        <v>3</v>
      </c>
      <c r="H104" s="4">
        <v>3</v>
      </c>
    </row>
    <row r="105" spans="1:8" x14ac:dyDescent="0.25">
      <c r="A105" s="4">
        <v>102</v>
      </c>
      <c r="B105" s="38">
        <v>1348300930</v>
      </c>
      <c r="C105" s="38" t="s">
        <v>141</v>
      </c>
      <c r="D105" s="142">
        <v>5</v>
      </c>
      <c r="E105" s="89">
        <f t="shared" si="7"/>
        <v>5.0999999999999996</v>
      </c>
      <c r="F105" s="4">
        <v>8</v>
      </c>
      <c r="G105" s="233">
        <v>21</v>
      </c>
      <c r="H105" s="4">
        <v>21</v>
      </c>
    </row>
    <row r="106" spans="1:8" x14ac:dyDescent="0.25">
      <c r="A106" s="4">
        <v>103</v>
      </c>
      <c r="B106" s="38">
        <v>1348312930</v>
      </c>
      <c r="C106" s="38" t="s">
        <v>142</v>
      </c>
      <c r="D106" s="142">
        <v>1</v>
      </c>
      <c r="E106" s="89">
        <f t="shared" si="7"/>
        <v>1.02</v>
      </c>
      <c r="F106" s="233">
        <v>0</v>
      </c>
      <c r="G106" s="233">
        <v>1</v>
      </c>
      <c r="H106" s="4">
        <v>1</v>
      </c>
    </row>
    <row r="107" spans="1:8" x14ac:dyDescent="0.25">
      <c r="A107" s="4">
        <v>104</v>
      </c>
      <c r="B107" s="38">
        <v>1349020930</v>
      </c>
      <c r="C107" s="38" t="s">
        <v>1103</v>
      </c>
      <c r="D107" s="142">
        <v>5</v>
      </c>
      <c r="E107" s="160">
        <f t="shared" si="7"/>
        <v>5.0999999999999996</v>
      </c>
      <c r="F107" s="233">
        <v>0</v>
      </c>
      <c r="G107" s="233">
        <v>5</v>
      </c>
      <c r="H107" s="4">
        <v>5</v>
      </c>
    </row>
    <row r="108" spans="1:8" x14ac:dyDescent="0.25">
      <c r="A108" s="4">
        <v>105</v>
      </c>
      <c r="B108" s="38">
        <v>1349030930</v>
      </c>
      <c r="C108" s="38" t="s">
        <v>143</v>
      </c>
      <c r="D108" s="142">
        <v>46</v>
      </c>
      <c r="E108" s="160">
        <f t="shared" si="7"/>
        <v>46.92</v>
      </c>
      <c r="F108" s="233">
        <v>0</v>
      </c>
      <c r="G108" s="233">
        <v>47</v>
      </c>
      <c r="H108" s="4">
        <v>47</v>
      </c>
    </row>
    <row r="109" spans="1:8" x14ac:dyDescent="0.25">
      <c r="A109" s="4">
        <v>106</v>
      </c>
      <c r="B109" s="38">
        <v>1349040930</v>
      </c>
      <c r="C109" t="s">
        <v>1104</v>
      </c>
      <c r="D109" s="142">
        <v>19</v>
      </c>
      <c r="E109" s="160">
        <f t="shared" si="7"/>
        <v>19.38</v>
      </c>
      <c r="F109" s="233">
        <v>0</v>
      </c>
      <c r="G109" s="233">
        <v>19</v>
      </c>
      <c r="H109" s="4">
        <v>19</v>
      </c>
    </row>
    <row r="110" spans="1:8" x14ac:dyDescent="0.25">
      <c r="A110" s="4">
        <v>107</v>
      </c>
      <c r="B110" s="38">
        <v>1349050930</v>
      </c>
      <c r="C110" s="38" t="s">
        <v>144</v>
      </c>
      <c r="D110" s="142">
        <v>36</v>
      </c>
      <c r="E110" s="160">
        <f t="shared" si="7"/>
        <v>36.72</v>
      </c>
      <c r="F110" s="233">
        <v>9</v>
      </c>
      <c r="G110" s="233">
        <v>21</v>
      </c>
      <c r="H110" s="4">
        <v>21</v>
      </c>
    </row>
    <row r="111" spans="1:8" x14ac:dyDescent="0.25">
      <c r="A111" s="4">
        <v>108</v>
      </c>
      <c r="B111" s="38">
        <v>1349051930</v>
      </c>
      <c r="C111" s="38" t="s">
        <v>145</v>
      </c>
      <c r="D111" s="142">
        <v>39</v>
      </c>
      <c r="E111" s="160">
        <f t="shared" si="7"/>
        <v>39.78</v>
      </c>
      <c r="F111" s="233">
        <v>12</v>
      </c>
      <c r="G111" s="233">
        <v>40</v>
      </c>
      <c r="H111" s="4">
        <v>40</v>
      </c>
    </row>
    <row r="112" spans="1:8" x14ac:dyDescent="0.25">
      <c r="A112" s="4">
        <v>109</v>
      </c>
      <c r="B112" s="38">
        <v>1349060930</v>
      </c>
      <c r="C112" s="99" t="s">
        <v>146</v>
      </c>
      <c r="D112" s="142">
        <v>32</v>
      </c>
      <c r="E112" s="160">
        <f t="shared" si="7"/>
        <v>32.64</v>
      </c>
      <c r="F112" s="233">
        <v>17</v>
      </c>
      <c r="G112" s="233">
        <v>34</v>
      </c>
      <c r="H112" s="4">
        <v>33</v>
      </c>
    </row>
    <row r="113" spans="1:11" x14ac:dyDescent="0.25">
      <c r="A113" s="4">
        <v>110</v>
      </c>
      <c r="B113" s="38">
        <v>1349080930</v>
      </c>
      <c r="C113" s="38" t="s">
        <v>147</v>
      </c>
      <c r="D113" s="142">
        <v>11</v>
      </c>
      <c r="E113" s="160">
        <f t="shared" si="7"/>
        <v>11.22</v>
      </c>
      <c r="F113" s="233">
        <v>0</v>
      </c>
      <c r="G113" s="233">
        <v>11</v>
      </c>
      <c r="H113" s="4">
        <v>11</v>
      </c>
    </row>
    <row r="114" spans="1:11" x14ac:dyDescent="0.25">
      <c r="A114" s="4">
        <v>111</v>
      </c>
      <c r="B114" s="38">
        <v>1349090930</v>
      </c>
      <c r="C114" s="38" t="s">
        <v>148</v>
      </c>
      <c r="D114" s="142">
        <v>124</v>
      </c>
      <c r="E114" s="160">
        <f t="shared" si="7"/>
        <v>126.48</v>
      </c>
      <c r="F114" s="233">
        <v>0</v>
      </c>
      <c r="G114" s="233">
        <v>126</v>
      </c>
      <c r="H114" s="4">
        <v>126</v>
      </c>
    </row>
    <row r="115" spans="1:11" x14ac:dyDescent="0.25">
      <c r="A115" s="4">
        <v>112</v>
      </c>
      <c r="B115" s="38">
        <v>1349110930</v>
      </c>
      <c r="C115" s="38" t="s">
        <v>149</v>
      </c>
      <c r="D115" s="142">
        <v>2</v>
      </c>
      <c r="E115" s="160">
        <f t="shared" si="7"/>
        <v>2.04</v>
      </c>
      <c r="F115" s="233">
        <v>0</v>
      </c>
      <c r="G115" s="233">
        <v>2</v>
      </c>
      <c r="H115" s="4">
        <v>2</v>
      </c>
    </row>
    <row r="116" spans="1:11" x14ac:dyDescent="0.25">
      <c r="A116" s="4">
        <v>113</v>
      </c>
      <c r="B116" s="38">
        <v>1349130930</v>
      </c>
      <c r="C116" s="38" t="s">
        <v>752</v>
      </c>
      <c r="D116" s="142">
        <v>12</v>
      </c>
      <c r="E116" s="160">
        <f t="shared" si="7"/>
        <v>12.24</v>
      </c>
      <c r="F116" s="233">
        <v>0</v>
      </c>
      <c r="G116" s="233">
        <v>20</v>
      </c>
      <c r="H116" s="4">
        <v>20</v>
      </c>
    </row>
    <row r="117" spans="1:11" x14ac:dyDescent="0.25">
      <c r="A117" s="101"/>
      <c r="B117" s="548" t="s">
        <v>441</v>
      </c>
      <c r="C117" s="548"/>
      <c r="D117" s="143">
        <f>SUM(D4:D116)</f>
        <v>41200</v>
      </c>
      <c r="E117" s="143">
        <f>SUM(E4:E116)</f>
        <v>43118.919999999991</v>
      </c>
      <c r="F117" s="143">
        <f>SUM(F4:F116)</f>
        <v>20965</v>
      </c>
      <c r="G117" s="143">
        <f>SUM(G4:G116)</f>
        <v>49368</v>
      </c>
      <c r="H117" s="143">
        <f>SUM(H4:H116)</f>
        <v>49289</v>
      </c>
    </row>
    <row r="118" spans="1:11" ht="17.399999999999999" customHeight="1" x14ac:dyDescent="0.4">
      <c r="A118" s="188"/>
      <c r="B118" s="25"/>
      <c r="C118" s="25"/>
      <c r="D118" s="551"/>
      <c r="E118" s="551"/>
      <c r="F118" s="551"/>
      <c r="G118" s="551"/>
      <c r="H118" s="551"/>
      <c r="I118" s="551"/>
      <c r="J118" s="551"/>
      <c r="K118" s="551"/>
    </row>
    <row r="119" spans="1:11" ht="24.6" customHeight="1" x14ac:dyDescent="0.4">
      <c r="A119" s="551" t="s">
        <v>440</v>
      </c>
      <c r="B119" s="551"/>
      <c r="C119" s="551"/>
      <c r="D119" s="551"/>
      <c r="E119" s="551"/>
      <c r="F119" s="551"/>
      <c r="G119" s="551"/>
      <c r="H119" s="551"/>
    </row>
    <row r="121" spans="1:11" s="195" customFormat="1" ht="31.2" x14ac:dyDescent="0.25">
      <c r="A121" s="194" t="s">
        <v>623</v>
      </c>
      <c r="B121" s="199" t="s">
        <v>0</v>
      </c>
      <c r="C121" s="194" t="s">
        <v>1</v>
      </c>
      <c r="D121" s="165" t="s">
        <v>1250</v>
      </c>
      <c r="E121" s="165" t="s">
        <v>1061</v>
      </c>
      <c r="F121" s="165" t="s">
        <v>1059</v>
      </c>
      <c r="G121" s="165" t="s">
        <v>1060</v>
      </c>
      <c r="H121" s="165" t="s">
        <v>1058</v>
      </c>
    </row>
    <row r="122" spans="1:11" ht="13.5" customHeight="1" x14ac:dyDescent="0.25">
      <c r="A122" s="4">
        <v>1</v>
      </c>
      <c r="B122" s="23">
        <v>1342200610</v>
      </c>
      <c r="C122" s="4" t="s">
        <v>729</v>
      </c>
      <c r="D122" s="85">
        <v>18</v>
      </c>
      <c r="E122" s="29">
        <v>50</v>
      </c>
      <c r="F122" s="4">
        <v>13</v>
      </c>
      <c r="G122" s="233">
        <v>28</v>
      </c>
      <c r="H122" s="4">
        <v>30</v>
      </c>
    </row>
    <row r="123" spans="1:11" ht="13.5" customHeight="1" x14ac:dyDescent="0.25">
      <c r="A123" s="4">
        <v>2</v>
      </c>
      <c r="B123" s="23">
        <v>1342500420</v>
      </c>
      <c r="C123" s="4" t="s">
        <v>75</v>
      </c>
      <c r="D123" s="85">
        <v>565</v>
      </c>
      <c r="E123" s="29">
        <v>400</v>
      </c>
      <c r="F123" s="4">
        <v>319</v>
      </c>
      <c r="G123" s="233">
        <v>400</v>
      </c>
      <c r="H123" s="4">
        <v>400</v>
      </c>
    </row>
    <row r="124" spans="1:11" x14ac:dyDescent="0.25">
      <c r="A124" s="4">
        <v>3</v>
      </c>
      <c r="B124" s="23">
        <v>1342510420</v>
      </c>
      <c r="C124" s="4" t="s">
        <v>76</v>
      </c>
      <c r="D124" s="85">
        <v>696</v>
      </c>
      <c r="E124" s="29">
        <v>750</v>
      </c>
      <c r="F124" s="4">
        <v>285</v>
      </c>
      <c r="G124" s="233">
        <v>750</v>
      </c>
      <c r="H124" s="4">
        <v>750</v>
      </c>
    </row>
    <row r="125" spans="1:11" hidden="1" x14ac:dyDescent="0.25">
      <c r="A125" s="4">
        <v>4</v>
      </c>
      <c r="B125" s="23">
        <v>1342521420</v>
      </c>
      <c r="C125" s="4" t="s">
        <v>728</v>
      </c>
      <c r="D125" s="85" t="s">
        <v>909</v>
      </c>
      <c r="E125" s="29"/>
      <c r="F125" s="4"/>
      <c r="G125" s="233"/>
      <c r="H125" s="4"/>
    </row>
    <row r="126" spans="1:11" ht="13.2" customHeight="1" x14ac:dyDescent="0.25">
      <c r="A126" s="4">
        <v>4</v>
      </c>
      <c r="B126" s="23">
        <v>1345100420</v>
      </c>
      <c r="C126" s="4" t="s">
        <v>99</v>
      </c>
      <c r="D126" s="85">
        <v>7</v>
      </c>
      <c r="E126" s="29">
        <v>10</v>
      </c>
      <c r="F126" s="4">
        <v>19</v>
      </c>
      <c r="G126" s="233">
        <v>20</v>
      </c>
      <c r="H126" s="4">
        <v>20</v>
      </c>
    </row>
    <row r="127" spans="1:11" x14ac:dyDescent="0.25">
      <c r="A127" s="4">
        <v>5</v>
      </c>
      <c r="B127" s="231">
        <v>1345200420</v>
      </c>
      <c r="C127" s="4" t="s">
        <v>112</v>
      </c>
      <c r="D127" s="85">
        <v>29</v>
      </c>
      <c r="E127" s="29">
        <v>5</v>
      </c>
      <c r="F127" s="4">
        <v>0</v>
      </c>
      <c r="G127" s="233">
        <v>5</v>
      </c>
      <c r="H127" s="4">
        <v>5</v>
      </c>
    </row>
    <row r="128" spans="1:11" hidden="1" x14ac:dyDescent="0.25">
      <c r="A128" s="4">
        <v>7</v>
      </c>
      <c r="B128">
        <v>1342521420</v>
      </c>
      <c r="C128" s="4" t="s">
        <v>77</v>
      </c>
      <c r="D128" s="85" t="s">
        <v>910</v>
      </c>
      <c r="E128" s="29"/>
      <c r="F128" s="4"/>
      <c r="G128" s="233"/>
      <c r="H128" s="4"/>
    </row>
    <row r="129" spans="1:8" x14ac:dyDescent="0.25">
      <c r="A129" s="4">
        <v>6</v>
      </c>
      <c r="B129" s="188">
        <v>1342522420</v>
      </c>
      <c r="C129" s="4" t="s">
        <v>1171</v>
      </c>
      <c r="D129" s="85">
        <v>0</v>
      </c>
      <c r="E129" s="29">
        <v>0</v>
      </c>
      <c r="F129" s="4">
        <v>17</v>
      </c>
      <c r="G129" s="233">
        <v>17</v>
      </c>
      <c r="H129" s="4">
        <v>17</v>
      </c>
    </row>
    <row r="130" spans="1:8" x14ac:dyDescent="0.25">
      <c r="A130" s="101"/>
      <c r="B130" s="548" t="s">
        <v>441</v>
      </c>
      <c r="C130" s="548"/>
      <c r="D130" s="143">
        <f>SUM(D122:D129)</f>
        <v>1315</v>
      </c>
      <c r="E130" s="143">
        <f>SUM(E122:E129)</f>
        <v>1215</v>
      </c>
      <c r="F130" s="143">
        <f>SUM(F122:F129)</f>
        <v>653</v>
      </c>
      <c r="G130" s="143">
        <f>SUM(G122:G129)</f>
        <v>1220</v>
      </c>
      <c r="H130" s="143">
        <f>SUM(H122:H129)</f>
        <v>1222</v>
      </c>
    </row>
    <row r="132" spans="1:8" s="36" customFormat="1" x14ac:dyDescent="0.25">
      <c r="G132" s="188"/>
    </row>
  </sheetData>
  <sheetProtection algorithmName="SHA-512" hashValue="seXgPvTAbHdpNLdARmpcwM1y3aoNd12c6onHy107VUUGCxlpeNDo728pJBLslvP6I2+75L4bVwZc8T7mzz0Dbw==" saltValue="6A/v4FeopnlQi235/ClscA==" spinCount="100000" sheet="1" objects="1" scenarios="1"/>
  <dataConsolidate/>
  <mergeCells count="5">
    <mergeCell ref="B117:C117"/>
    <mergeCell ref="B130:C130"/>
    <mergeCell ref="A1:H1"/>
    <mergeCell ref="A119:H119"/>
    <mergeCell ref="D118:K118"/>
  </mergeCells>
  <pageMargins left="0.70866141732283472" right="0.70866141732283472" top="0.55118110236220474" bottom="0.35433070866141736" header="0.31496062992125984" footer="0.31496062992125984"/>
  <pageSetup paperSize="9" scale="83" firstPageNumber="5" fitToHeight="0" orientation="portrait" useFirstPageNumber="1" r:id="rId1"/>
  <headerFooter>
    <oddFooter>עמוד &amp;P</oddFooter>
  </headerFooter>
  <rowBreaks count="2" manualBreakCount="2">
    <brk id="45" max="8" man="1"/>
    <brk id="13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E1C1-93BA-4B9E-8194-2115289202B0}">
  <sheetPr>
    <pageSetUpPr fitToPage="1"/>
  </sheetPr>
  <dimension ref="A2:L147"/>
  <sheetViews>
    <sheetView rightToLeft="1" zoomScale="106" zoomScaleNormal="106" zoomScaleSheetLayoutView="63" workbookViewId="0">
      <pane ySplit="4" topLeftCell="A125" activePane="bottomLeft" state="frozen"/>
      <selection pane="bottomLeft" activeCell="G137" sqref="G137"/>
    </sheetView>
  </sheetViews>
  <sheetFormatPr defaultRowHeight="13.8" x14ac:dyDescent="0.25"/>
  <cols>
    <col min="1" max="1" width="13.5" customWidth="1"/>
    <col min="2" max="2" width="29.296875" customWidth="1"/>
    <col min="3" max="3" width="10.09765625" style="34" customWidth="1"/>
    <col min="4" max="4" width="16.59765625" style="34" customWidth="1"/>
    <col min="5" max="5" width="11.5" style="34" customWidth="1"/>
    <col min="6" max="6" width="14.5" style="359" customWidth="1"/>
    <col min="7" max="7" width="12.3984375" style="359" customWidth="1"/>
    <col min="8" max="8" width="24.19921875" style="359" bestFit="1" customWidth="1"/>
    <col min="9" max="9" width="12.19921875" style="359" customWidth="1"/>
    <col min="10" max="10" width="11.19921875" style="359" customWidth="1"/>
    <col min="11" max="11" width="10.09765625" style="359" customWidth="1"/>
    <col min="12" max="12" width="19.3984375" bestFit="1" customWidth="1"/>
    <col min="13" max="13" width="3.09765625" customWidth="1"/>
  </cols>
  <sheetData>
    <row r="2" spans="1:12" ht="22.8" x14ac:dyDescent="0.25">
      <c r="A2" s="556" t="s">
        <v>1072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</row>
    <row r="4" spans="1:12" s="177" customFormat="1" ht="31.2" x14ac:dyDescent="0.25">
      <c r="A4" s="189" t="s">
        <v>633</v>
      </c>
      <c r="B4" s="189" t="s">
        <v>398</v>
      </c>
      <c r="C4" s="351" t="s">
        <v>1250</v>
      </c>
      <c r="D4" s="352" t="s">
        <v>1061</v>
      </c>
      <c r="E4" s="352" t="s">
        <v>1059</v>
      </c>
      <c r="F4" s="352" t="s">
        <v>1060</v>
      </c>
      <c r="G4" s="352" t="s">
        <v>1058</v>
      </c>
      <c r="H4" s="189" t="s">
        <v>1069</v>
      </c>
    </row>
    <row r="5" spans="1:12" x14ac:dyDescent="0.25">
      <c r="A5" s="4">
        <v>1611000110</v>
      </c>
      <c r="B5" s="4" t="s">
        <v>634</v>
      </c>
      <c r="C5" s="353">
        <f>'[1]שכר 2021'!C14/1000</f>
        <v>1899.3090400000001</v>
      </c>
      <c r="D5" s="353">
        <v>2255</v>
      </c>
      <c r="E5" s="353">
        <v>1092</v>
      </c>
      <c r="F5" s="353">
        <v>2026.4055800000001</v>
      </c>
      <c r="G5" s="353">
        <f>F5*1.015</f>
        <v>2056.8016637000001</v>
      </c>
      <c r="H5" s="138"/>
      <c r="I5" s="144"/>
      <c r="J5"/>
      <c r="K5"/>
    </row>
    <row r="6" spans="1:12" x14ac:dyDescent="0.25">
      <c r="A6" s="557" t="s">
        <v>635</v>
      </c>
      <c r="B6" s="555"/>
      <c r="C6" s="354">
        <f t="shared" ref="C6" si="0">SUM(C5)</f>
        <v>1899.3090400000001</v>
      </c>
      <c r="D6" s="354">
        <f>SUM(D5)</f>
        <v>2255</v>
      </c>
      <c r="E6" s="354">
        <f>SUM(E5)</f>
        <v>1092</v>
      </c>
      <c r="F6" s="354">
        <f>SUM(F5)</f>
        <v>2026.4055800000001</v>
      </c>
      <c r="G6" s="354">
        <f>SUM(G5)</f>
        <v>2056.8016637000001</v>
      </c>
      <c r="H6" s="146"/>
      <c r="I6" s="144"/>
      <c r="J6"/>
      <c r="K6"/>
    </row>
    <row r="7" spans="1:12" x14ac:dyDescent="0.25">
      <c r="A7" s="4">
        <v>1611200110</v>
      </c>
      <c r="B7" s="4" t="s">
        <v>636</v>
      </c>
      <c r="C7" s="353">
        <v>1671</v>
      </c>
      <c r="D7" s="353">
        <v>1897</v>
      </c>
      <c r="E7" s="353">
        <v>1077</v>
      </c>
      <c r="F7" s="353">
        <v>2235</v>
      </c>
      <c r="G7" s="353">
        <f t="shared" ref="G7:G12" si="1">F7*1.015</f>
        <v>2268.5249999999996</v>
      </c>
      <c r="H7" s="138"/>
      <c r="I7" s="144"/>
      <c r="J7"/>
      <c r="K7"/>
    </row>
    <row r="8" spans="1:12" x14ac:dyDescent="0.25">
      <c r="A8" s="4">
        <v>1612000110</v>
      </c>
      <c r="B8" s="4" t="s">
        <v>637</v>
      </c>
      <c r="C8" s="353">
        <v>610</v>
      </c>
      <c r="D8" s="353">
        <v>683</v>
      </c>
      <c r="E8" s="353">
        <v>334</v>
      </c>
      <c r="F8" s="353">
        <v>660</v>
      </c>
      <c r="G8" s="353">
        <f t="shared" si="1"/>
        <v>669.9</v>
      </c>
      <c r="H8" s="138"/>
      <c r="I8" s="144"/>
      <c r="J8"/>
      <c r="K8"/>
    </row>
    <row r="9" spans="1:12" x14ac:dyDescent="0.25">
      <c r="A9" s="4">
        <v>1613000110</v>
      </c>
      <c r="B9" s="4" t="s">
        <v>638</v>
      </c>
      <c r="C9" s="353">
        <v>2845</v>
      </c>
      <c r="D9" s="353">
        <v>3316</v>
      </c>
      <c r="E9" s="353">
        <v>1540</v>
      </c>
      <c r="F9" s="353">
        <v>3254</v>
      </c>
      <c r="G9" s="353">
        <f t="shared" si="1"/>
        <v>3302.8099999999995</v>
      </c>
      <c r="H9" s="138"/>
      <c r="I9" s="144"/>
      <c r="J9"/>
      <c r="K9"/>
    </row>
    <row r="10" spans="1:12" x14ac:dyDescent="0.25">
      <c r="A10" s="4">
        <v>1613300110</v>
      </c>
      <c r="B10" s="4" t="s">
        <v>864</v>
      </c>
      <c r="C10" s="353">
        <v>488</v>
      </c>
      <c r="D10" s="353">
        <v>531</v>
      </c>
      <c r="E10" s="353">
        <v>284</v>
      </c>
      <c r="F10" s="353">
        <v>557</v>
      </c>
      <c r="G10" s="353">
        <f t="shared" si="1"/>
        <v>565.3549999999999</v>
      </c>
      <c r="H10" s="138"/>
      <c r="I10" s="144"/>
      <c r="J10"/>
      <c r="K10"/>
    </row>
    <row r="11" spans="1:12" x14ac:dyDescent="0.25">
      <c r="A11" s="4">
        <v>1614000110</v>
      </c>
      <c r="B11" s="4" t="s">
        <v>639</v>
      </c>
      <c r="C11" s="353">
        <v>676</v>
      </c>
      <c r="D11" s="353">
        <v>655</v>
      </c>
      <c r="E11" s="353">
        <v>357</v>
      </c>
      <c r="F11" s="353">
        <v>715</v>
      </c>
      <c r="G11" s="353">
        <f t="shared" si="1"/>
        <v>725.72499999999991</v>
      </c>
      <c r="H11" s="138"/>
      <c r="I11" s="144"/>
      <c r="J11"/>
      <c r="K11"/>
    </row>
    <row r="12" spans="1:12" x14ac:dyDescent="0.25">
      <c r="A12" s="4">
        <v>1615000110</v>
      </c>
      <c r="B12" s="4" t="s">
        <v>640</v>
      </c>
      <c r="C12" s="353">
        <v>1037</v>
      </c>
      <c r="D12" s="353">
        <v>1072</v>
      </c>
      <c r="E12" s="353">
        <v>542</v>
      </c>
      <c r="F12" s="353">
        <v>1048</v>
      </c>
      <c r="G12" s="353">
        <f t="shared" si="1"/>
        <v>1063.7199999999998</v>
      </c>
      <c r="H12" s="138"/>
      <c r="I12" s="144"/>
      <c r="J12"/>
      <c r="K12"/>
    </row>
    <row r="13" spans="1:12" x14ac:dyDescent="0.25">
      <c r="A13" s="4">
        <v>1617000110</v>
      </c>
      <c r="B13" s="4" t="s">
        <v>641</v>
      </c>
      <c r="C13" s="353">
        <v>1154</v>
      </c>
      <c r="D13" s="353">
        <v>642</v>
      </c>
      <c r="E13" s="353">
        <v>385</v>
      </c>
      <c r="F13" s="355">
        <v>941</v>
      </c>
      <c r="G13" s="355">
        <v>1330</v>
      </c>
      <c r="H13" s="138"/>
      <c r="I13" s="144"/>
      <c r="J13"/>
      <c r="K13"/>
    </row>
    <row r="14" spans="1:12" x14ac:dyDescent="0.25">
      <c r="A14" s="554" t="s">
        <v>642</v>
      </c>
      <c r="B14" s="555"/>
      <c r="C14" s="354">
        <f t="shared" ref="C14" si="2">SUM(C7:C13)</f>
        <v>8481</v>
      </c>
      <c r="D14" s="354">
        <f>SUM(D7:D13)</f>
        <v>8796</v>
      </c>
      <c r="E14" s="354">
        <f>SUM(E7:E13)</f>
        <v>4519</v>
      </c>
      <c r="F14" s="354">
        <f>SUM(F7:F13)</f>
        <v>9410</v>
      </c>
      <c r="G14" s="354">
        <f>SUM(G7:G13)</f>
        <v>9926.034999999998</v>
      </c>
      <c r="H14" s="145"/>
      <c r="I14" s="144"/>
      <c r="J14"/>
      <c r="K14"/>
    </row>
    <row r="15" spans="1:12" x14ac:dyDescent="0.25">
      <c r="A15" s="4">
        <v>1621100110</v>
      </c>
      <c r="B15" s="4" t="s">
        <v>643</v>
      </c>
      <c r="C15" s="353">
        <v>2043</v>
      </c>
      <c r="D15" s="353">
        <v>2165</v>
      </c>
      <c r="E15" s="353">
        <v>1157</v>
      </c>
      <c r="F15" s="353">
        <v>2315</v>
      </c>
      <c r="G15" s="353">
        <f>F15*1.015</f>
        <v>2349.7249999999999</v>
      </c>
      <c r="H15" s="138"/>
      <c r="I15" s="144"/>
      <c r="J15"/>
      <c r="K15"/>
    </row>
    <row r="16" spans="1:12" x14ac:dyDescent="0.25">
      <c r="A16" s="4">
        <v>1621300110</v>
      </c>
      <c r="B16" s="4" t="s">
        <v>644</v>
      </c>
      <c r="C16" s="353">
        <v>996</v>
      </c>
      <c r="D16" s="353">
        <v>1200</v>
      </c>
      <c r="E16" s="353">
        <v>538</v>
      </c>
      <c r="F16" s="353">
        <v>1067</v>
      </c>
      <c r="G16" s="353">
        <f t="shared" ref="G16:G19" si="3">F16*1.015</f>
        <v>1083.0049999999999</v>
      </c>
      <c r="H16" s="138"/>
      <c r="I16" s="144"/>
      <c r="J16"/>
      <c r="K16"/>
    </row>
    <row r="17" spans="1:11" x14ac:dyDescent="0.25">
      <c r="A17" s="4">
        <v>1621500110</v>
      </c>
      <c r="B17" s="4" t="s">
        <v>645</v>
      </c>
      <c r="C17" s="353">
        <v>692</v>
      </c>
      <c r="D17" s="353">
        <v>728</v>
      </c>
      <c r="E17" s="353">
        <v>401</v>
      </c>
      <c r="F17" s="353">
        <v>779</v>
      </c>
      <c r="G17" s="353">
        <f t="shared" si="3"/>
        <v>790.68499999999995</v>
      </c>
      <c r="H17" s="138"/>
      <c r="I17" s="144"/>
      <c r="J17"/>
      <c r="K17"/>
    </row>
    <row r="18" spans="1:11" x14ac:dyDescent="0.25">
      <c r="A18" s="4">
        <v>1623100110</v>
      </c>
      <c r="B18" s="4" t="s">
        <v>646</v>
      </c>
      <c r="C18" s="353">
        <v>1854</v>
      </c>
      <c r="D18" s="353">
        <v>1899</v>
      </c>
      <c r="E18" s="353">
        <v>847</v>
      </c>
      <c r="F18" s="353">
        <v>1653</v>
      </c>
      <c r="G18" s="353">
        <f t="shared" si="3"/>
        <v>1677.7949999999998</v>
      </c>
      <c r="H18" s="138"/>
      <c r="I18" s="144"/>
      <c r="J18"/>
      <c r="K18"/>
    </row>
    <row r="19" spans="1:11" x14ac:dyDescent="0.25">
      <c r="A19" s="4">
        <v>1623200110</v>
      </c>
      <c r="B19" s="4" t="s">
        <v>647</v>
      </c>
      <c r="C19" s="353">
        <v>1258</v>
      </c>
      <c r="D19" s="353">
        <v>1236</v>
      </c>
      <c r="E19" s="353">
        <v>715</v>
      </c>
      <c r="F19" s="353">
        <v>1414</v>
      </c>
      <c r="G19" s="353">
        <f t="shared" si="3"/>
        <v>1435.2099999999998</v>
      </c>
      <c r="H19" s="138"/>
      <c r="I19" s="144"/>
      <c r="J19"/>
      <c r="K19"/>
    </row>
    <row r="20" spans="1:11" x14ac:dyDescent="0.25">
      <c r="A20" s="554" t="s">
        <v>648</v>
      </c>
      <c r="B20" s="555"/>
      <c r="C20" s="354">
        <f t="shared" ref="C20" si="4">SUM(C15:C19)</f>
        <v>6843</v>
      </c>
      <c r="D20" s="354">
        <f>SUM(D15:D19)</f>
        <v>7228</v>
      </c>
      <c r="E20" s="354">
        <f>SUM(E15:E19)</f>
        <v>3658</v>
      </c>
      <c r="F20" s="354">
        <f>SUM(F15:F19)</f>
        <v>7228</v>
      </c>
      <c r="G20" s="354">
        <f>SUM(G15:G19)</f>
        <v>7336.4199999999992</v>
      </c>
      <c r="H20" s="146"/>
      <c r="I20" s="144"/>
      <c r="J20"/>
      <c r="K20"/>
    </row>
    <row r="21" spans="1:11" x14ac:dyDescent="0.25">
      <c r="A21" s="4">
        <v>1711000110</v>
      </c>
      <c r="B21" s="4" t="s">
        <v>649</v>
      </c>
      <c r="C21" s="353">
        <v>1677</v>
      </c>
      <c r="D21" s="353">
        <v>1840</v>
      </c>
      <c r="E21" s="353">
        <v>1037</v>
      </c>
      <c r="F21" s="353">
        <v>2102</v>
      </c>
      <c r="G21" s="353">
        <f>F21*1.015</f>
        <v>2133.5299999999997</v>
      </c>
      <c r="H21" s="138"/>
      <c r="I21" s="144"/>
      <c r="J21"/>
      <c r="K21"/>
    </row>
    <row r="22" spans="1:11" x14ac:dyDescent="0.25">
      <c r="A22" s="4">
        <v>1712100110</v>
      </c>
      <c r="B22" s="4" t="s">
        <v>865</v>
      </c>
      <c r="C22" s="353">
        <v>495</v>
      </c>
      <c r="D22" s="353">
        <v>495</v>
      </c>
      <c r="E22" s="353">
        <v>244</v>
      </c>
      <c r="F22" s="353">
        <v>483</v>
      </c>
      <c r="G22" s="353">
        <f t="shared" ref="G22:G28" si="5">F22*1.015</f>
        <v>490.24499999999995</v>
      </c>
      <c r="H22" s="138"/>
      <c r="I22" s="144"/>
      <c r="J22"/>
      <c r="K22"/>
    </row>
    <row r="23" spans="1:11" x14ac:dyDescent="0.25">
      <c r="A23" s="4">
        <v>1712200110</v>
      </c>
      <c r="B23" s="4" t="s">
        <v>650</v>
      </c>
      <c r="C23" s="353">
        <v>5389</v>
      </c>
      <c r="D23" s="353">
        <v>5768</v>
      </c>
      <c r="E23" s="353">
        <v>2850</v>
      </c>
      <c r="F23" s="353">
        <v>5094</v>
      </c>
      <c r="G23" s="353">
        <f t="shared" si="5"/>
        <v>5170.41</v>
      </c>
      <c r="H23" s="138"/>
      <c r="I23" s="144"/>
      <c r="J23"/>
      <c r="K23"/>
    </row>
    <row r="24" spans="1:11" x14ac:dyDescent="0.25">
      <c r="A24" s="233">
        <v>1712300110</v>
      </c>
      <c r="B24" s="4" t="s">
        <v>651</v>
      </c>
      <c r="C24" s="353">
        <v>2585</v>
      </c>
      <c r="D24" s="353">
        <v>2638</v>
      </c>
      <c r="E24" s="353">
        <v>1127</v>
      </c>
      <c r="F24" s="353">
        <v>2214</v>
      </c>
      <c r="G24" s="353">
        <f t="shared" si="5"/>
        <v>2247.2099999999996</v>
      </c>
      <c r="H24" s="138"/>
      <c r="I24" s="144"/>
      <c r="J24"/>
      <c r="K24"/>
    </row>
    <row r="25" spans="1:11" x14ac:dyDescent="0.25">
      <c r="A25" s="233">
        <v>1712320110</v>
      </c>
      <c r="B25" s="4" t="s">
        <v>1180</v>
      </c>
      <c r="C25" s="355">
        <v>0</v>
      </c>
      <c r="D25" s="355">
        <v>0</v>
      </c>
      <c r="E25" s="355">
        <v>455</v>
      </c>
      <c r="F25" s="355">
        <v>1120</v>
      </c>
      <c r="G25" s="353">
        <f t="shared" si="5"/>
        <v>1136.8</v>
      </c>
      <c r="H25" s="233" t="s">
        <v>1222</v>
      </c>
      <c r="I25" s="144"/>
      <c r="J25"/>
      <c r="K25"/>
    </row>
    <row r="26" spans="1:11" x14ac:dyDescent="0.25">
      <c r="A26" s="4">
        <v>1712400110</v>
      </c>
      <c r="B26" s="4" t="s">
        <v>652</v>
      </c>
      <c r="C26" s="355">
        <v>1612</v>
      </c>
      <c r="D26" s="355">
        <v>1779</v>
      </c>
      <c r="E26" s="355">
        <v>622</v>
      </c>
      <c r="F26" s="355">
        <v>1237</v>
      </c>
      <c r="G26" s="353">
        <f t="shared" si="5"/>
        <v>1255.5549999999998</v>
      </c>
      <c r="H26" s="138"/>
      <c r="I26" s="144"/>
      <c r="J26"/>
      <c r="K26"/>
    </row>
    <row r="27" spans="1:11" x14ac:dyDescent="0.25">
      <c r="A27" s="4">
        <v>1714000110</v>
      </c>
      <c r="B27" s="4" t="s">
        <v>653</v>
      </c>
      <c r="C27" s="355">
        <v>919</v>
      </c>
      <c r="D27" s="355">
        <v>650</v>
      </c>
      <c r="E27" s="355">
        <v>348</v>
      </c>
      <c r="F27" s="355">
        <v>674</v>
      </c>
      <c r="G27" s="353">
        <f t="shared" si="5"/>
        <v>684.1099999999999</v>
      </c>
      <c r="H27" s="138"/>
      <c r="I27" s="144"/>
      <c r="J27"/>
      <c r="K27"/>
    </row>
    <row r="28" spans="1:11" x14ac:dyDescent="0.25">
      <c r="A28" s="4">
        <v>1715000110</v>
      </c>
      <c r="B28" s="4" t="s">
        <v>654</v>
      </c>
      <c r="C28" s="353">
        <v>1330</v>
      </c>
      <c r="D28" s="353">
        <v>1486</v>
      </c>
      <c r="E28" s="353">
        <v>766</v>
      </c>
      <c r="F28" s="353">
        <v>1461</v>
      </c>
      <c r="G28" s="353">
        <f t="shared" si="5"/>
        <v>1482.915</v>
      </c>
      <c r="H28" s="138"/>
      <c r="I28" s="144"/>
      <c r="J28"/>
      <c r="K28"/>
    </row>
    <row r="29" spans="1:11" x14ac:dyDescent="0.25">
      <c r="A29" s="554" t="s">
        <v>655</v>
      </c>
      <c r="B29" s="555"/>
      <c r="C29" s="354">
        <f t="shared" ref="C29:G29" si="6">SUM(C21:C28)</f>
        <v>14007</v>
      </c>
      <c r="D29" s="354">
        <f t="shared" si="6"/>
        <v>14656</v>
      </c>
      <c r="E29" s="354">
        <f t="shared" si="6"/>
        <v>7449</v>
      </c>
      <c r="F29" s="354">
        <f t="shared" si="6"/>
        <v>14385</v>
      </c>
      <c r="G29" s="354">
        <f t="shared" si="6"/>
        <v>14600.774999999998</v>
      </c>
      <c r="H29" s="146"/>
      <c r="I29" s="144"/>
      <c r="J29"/>
      <c r="K29"/>
    </row>
    <row r="30" spans="1:11" x14ac:dyDescent="0.25">
      <c r="A30" s="4">
        <v>1721000110</v>
      </c>
      <c r="B30" s="4" t="s">
        <v>656</v>
      </c>
      <c r="C30" s="353">
        <v>1247</v>
      </c>
      <c r="D30" s="353">
        <v>1460</v>
      </c>
      <c r="E30" s="353">
        <v>842</v>
      </c>
      <c r="F30" s="353">
        <v>1659</v>
      </c>
      <c r="G30" s="353">
        <f>F30*1.015</f>
        <v>1683.8849999999998</v>
      </c>
      <c r="H30" s="138"/>
      <c r="I30" s="144"/>
      <c r="J30"/>
      <c r="K30"/>
    </row>
    <row r="31" spans="1:11" x14ac:dyDescent="0.25">
      <c r="A31" s="4">
        <v>1721100110</v>
      </c>
      <c r="B31" s="4" t="s">
        <v>657</v>
      </c>
      <c r="C31" s="355">
        <v>3594</v>
      </c>
      <c r="D31" s="353">
        <v>3726</v>
      </c>
      <c r="E31" s="355">
        <v>1774</v>
      </c>
      <c r="F31" s="353">
        <v>3653</v>
      </c>
      <c r="G31" s="353">
        <f t="shared" ref="G31:G33" si="7">F31*1.015</f>
        <v>3707.7949999999996</v>
      </c>
      <c r="H31" s="138" t="s">
        <v>1083</v>
      </c>
      <c r="I31" s="144"/>
      <c r="J31"/>
      <c r="K31"/>
    </row>
    <row r="32" spans="1:11" x14ac:dyDescent="0.25">
      <c r="A32" s="4">
        <v>1721200110</v>
      </c>
      <c r="B32" s="4" t="s">
        <v>658</v>
      </c>
      <c r="C32" s="355">
        <v>912</v>
      </c>
      <c r="D32" s="353">
        <v>1000</v>
      </c>
      <c r="E32" s="355">
        <v>2092</v>
      </c>
      <c r="F32" s="353">
        <v>668</v>
      </c>
      <c r="G32" s="353">
        <f t="shared" si="7"/>
        <v>678.02</v>
      </c>
      <c r="H32" s="138" t="s">
        <v>1083</v>
      </c>
      <c r="I32" s="144"/>
      <c r="J32"/>
      <c r="K32"/>
    </row>
    <row r="33" spans="1:11" x14ac:dyDescent="0.25">
      <c r="A33" s="231">
        <v>1723000110</v>
      </c>
      <c r="B33" s="4" t="s">
        <v>659</v>
      </c>
      <c r="C33" s="445">
        <v>368</v>
      </c>
      <c r="D33" s="353">
        <v>166</v>
      </c>
      <c r="E33" s="353">
        <v>157</v>
      </c>
      <c r="F33" s="353">
        <v>290</v>
      </c>
      <c r="G33" s="353">
        <f t="shared" si="7"/>
        <v>294.34999999999997</v>
      </c>
      <c r="H33" s="138"/>
      <c r="I33" s="144"/>
      <c r="J33"/>
      <c r="K33"/>
    </row>
    <row r="34" spans="1:11" x14ac:dyDescent="0.25">
      <c r="A34" s="554" t="s">
        <v>660</v>
      </c>
      <c r="B34" s="555"/>
      <c r="C34" s="354">
        <f t="shared" ref="C34:G34" si="8">SUM(C30:C33)</f>
        <v>6121</v>
      </c>
      <c r="D34" s="354">
        <f t="shared" si="8"/>
        <v>6352</v>
      </c>
      <c r="E34" s="354">
        <f t="shared" si="8"/>
        <v>4865</v>
      </c>
      <c r="F34" s="354">
        <f t="shared" si="8"/>
        <v>6270</v>
      </c>
      <c r="G34" s="354">
        <f t="shared" si="8"/>
        <v>6364.0499999999993</v>
      </c>
      <c r="H34" s="146"/>
      <c r="I34" s="144"/>
      <c r="J34"/>
      <c r="K34"/>
    </row>
    <row r="35" spans="1:11" x14ac:dyDescent="0.25">
      <c r="A35" s="4">
        <v>1731000110</v>
      </c>
      <c r="B35" s="4" t="s">
        <v>661</v>
      </c>
      <c r="C35" s="355">
        <v>2506</v>
      </c>
      <c r="D35" s="353">
        <v>2550</v>
      </c>
      <c r="E35" s="353">
        <v>1464</v>
      </c>
      <c r="F35" s="353">
        <v>2825</v>
      </c>
      <c r="G35" s="353">
        <f>F35*1.015</f>
        <v>2867.3749999999995</v>
      </c>
      <c r="H35" s="138"/>
      <c r="I35" s="144"/>
      <c r="J35"/>
      <c r="K35"/>
    </row>
    <row r="36" spans="1:11" x14ac:dyDescent="0.25">
      <c r="A36" s="4">
        <v>1733000110</v>
      </c>
      <c r="B36" s="4" t="s">
        <v>662</v>
      </c>
      <c r="C36" s="355">
        <v>2507</v>
      </c>
      <c r="D36" s="353">
        <v>2614</v>
      </c>
      <c r="E36" s="353">
        <v>1287</v>
      </c>
      <c r="F36" s="353">
        <v>2597</v>
      </c>
      <c r="G36" s="353">
        <f>F36*1.015</f>
        <v>2635.9549999999999</v>
      </c>
      <c r="H36" s="138"/>
      <c r="I36" s="144"/>
      <c r="J36"/>
      <c r="K36"/>
    </row>
    <row r="37" spans="1:11" x14ac:dyDescent="0.25">
      <c r="A37" s="554" t="s">
        <v>663</v>
      </c>
      <c r="B37" s="555"/>
      <c r="C37" s="354">
        <f t="shared" ref="C37" si="9">SUM(C35:C36)</f>
        <v>5013</v>
      </c>
      <c r="D37" s="354">
        <f>SUM(D35:D36)</f>
        <v>5164</v>
      </c>
      <c r="E37" s="354">
        <f>SUM(E35:E36)</f>
        <v>2751</v>
      </c>
      <c r="F37" s="354">
        <f>SUM(F35:F36)</f>
        <v>5422</v>
      </c>
      <c r="G37" s="354">
        <f>SUM(G35:G36)</f>
        <v>5503.33</v>
      </c>
      <c r="H37" s="146"/>
      <c r="I37" s="144"/>
      <c r="J37"/>
      <c r="K37"/>
    </row>
    <row r="38" spans="1:11" x14ac:dyDescent="0.25">
      <c r="A38" s="4">
        <v>1741000110</v>
      </c>
      <c r="B38" s="4" t="s">
        <v>664</v>
      </c>
      <c r="C38" s="353">
        <v>1024</v>
      </c>
      <c r="D38" s="353">
        <v>1000</v>
      </c>
      <c r="E38" s="353">
        <v>527</v>
      </c>
      <c r="F38" s="353">
        <v>1034</v>
      </c>
      <c r="G38" s="353">
        <f>F38*1.015</f>
        <v>1049.51</v>
      </c>
      <c r="H38" s="138"/>
      <c r="I38" s="144"/>
      <c r="J38"/>
      <c r="K38"/>
    </row>
    <row r="39" spans="1:11" x14ac:dyDescent="0.25">
      <c r="A39" s="4">
        <v>1743000110</v>
      </c>
      <c r="B39" s="4" t="s">
        <v>665</v>
      </c>
      <c r="C39" s="353">
        <v>683</v>
      </c>
      <c r="D39" s="353">
        <v>696</v>
      </c>
      <c r="E39" s="353">
        <v>345</v>
      </c>
      <c r="F39" s="353">
        <v>718</v>
      </c>
      <c r="G39" s="353">
        <f t="shared" ref="G39:G40" si="10">F39*1.015</f>
        <v>728.77</v>
      </c>
      <c r="H39" s="138"/>
      <c r="I39" s="144"/>
      <c r="J39"/>
      <c r="K39"/>
    </row>
    <row r="40" spans="1:11" x14ac:dyDescent="0.25">
      <c r="A40" s="4">
        <v>1746000110</v>
      </c>
      <c r="B40" s="4" t="s">
        <v>666</v>
      </c>
      <c r="C40" s="353">
        <v>3392</v>
      </c>
      <c r="D40" s="353">
        <v>3500</v>
      </c>
      <c r="E40" s="353">
        <v>1418</v>
      </c>
      <c r="F40" s="353">
        <v>2799</v>
      </c>
      <c r="G40" s="353">
        <f t="shared" si="10"/>
        <v>2840.9849999999997</v>
      </c>
      <c r="H40" s="138"/>
      <c r="I40" s="144"/>
      <c r="J40"/>
      <c r="K40"/>
    </row>
    <row r="41" spans="1:11" x14ac:dyDescent="0.25">
      <c r="A41" s="4">
        <v>1746100110</v>
      </c>
      <c r="B41" s="4" t="s">
        <v>667</v>
      </c>
      <c r="C41" s="353">
        <v>209</v>
      </c>
      <c r="D41" s="353">
        <v>213</v>
      </c>
      <c r="E41" s="353">
        <v>249</v>
      </c>
      <c r="F41" s="355">
        <v>517</v>
      </c>
      <c r="G41" s="355">
        <v>540</v>
      </c>
      <c r="H41" s="138"/>
      <c r="I41" s="144"/>
      <c r="J41"/>
      <c r="K41"/>
    </row>
    <row r="42" spans="1:11" x14ac:dyDescent="0.25">
      <c r="A42" s="4">
        <v>1746200110</v>
      </c>
      <c r="B42" s="4" t="s">
        <v>668</v>
      </c>
      <c r="C42" s="353">
        <v>707</v>
      </c>
      <c r="D42" s="353">
        <v>738</v>
      </c>
      <c r="E42" s="353">
        <v>377</v>
      </c>
      <c r="F42" s="353">
        <v>764</v>
      </c>
      <c r="G42" s="353">
        <f>F42*1.015</f>
        <v>775.45999999999992</v>
      </c>
      <c r="H42" s="138"/>
      <c r="I42" s="144"/>
      <c r="J42"/>
      <c r="K42"/>
    </row>
    <row r="43" spans="1:11" x14ac:dyDescent="0.25">
      <c r="A43" s="554" t="s">
        <v>669</v>
      </c>
      <c r="B43" s="555"/>
      <c r="C43" s="354">
        <f t="shared" ref="C43" si="11">SUM(C38:C42)</f>
        <v>6015</v>
      </c>
      <c r="D43" s="354">
        <f>SUM(D38:D42)</f>
        <v>6147</v>
      </c>
      <c r="E43" s="354">
        <f>SUM(E38:E42)</f>
        <v>2916</v>
      </c>
      <c r="F43" s="354">
        <f>SUM(F38:F42)</f>
        <v>5832</v>
      </c>
      <c r="G43" s="354">
        <f>SUM(G38:G42)</f>
        <v>5934.7249999999995</v>
      </c>
      <c r="H43" s="146"/>
      <c r="I43" s="144"/>
      <c r="J43"/>
      <c r="K43"/>
    </row>
    <row r="44" spans="1:11" ht="13.95" customHeight="1" x14ac:dyDescent="0.25">
      <c r="A44">
        <v>1752000110</v>
      </c>
      <c r="B44" s="4" t="s">
        <v>670</v>
      </c>
      <c r="C44" s="353">
        <v>93</v>
      </c>
      <c r="D44" s="355">
        <v>118</v>
      </c>
      <c r="E44" s="353">
        <v>3</v>
      </c>
      <c r="F44" s="353">
        <v>167</v>
      </c>
      <c r="G44" s="355">
        <f>F44*1.015</f>
        <v>169.505</v>
      </c>
      <c r="H44" s="99"/>
      <c r="I44" s="144"/>
      <c r="J44"/>
      <c r="K44"/>
    </row>
    <row r="45" spans="1:11" x14ac:dyDescent="0.25">
      <c r="A45" s="554" t="s">
        <v>671</v>
      </c>
      <c r="B45" s="555"/>
      <c r="C45" s="354">
        <f>SUM(C44:C44)</f>
        <v>93</v>
      </c>
      <c r="D45" s="354">
        <f>SUM(D44)</f>
        <v>118</v>
      </c>
      <c r="E45" s="354">
        <f>SUM(E44)</f>
        <v>3</v>
      </c>
      <c r="F45" s="354">
        <f>SUM(F44)</f>
        <v>167</v>
      </c>
      <c r="G45" s="354">
        <f>SUM(G44)</f>
        <v>169.505</v>
      </c>
      <c r="H45" s="146"/>
      <c r="I45" s="144"/>
      <c r="J45"/>
      <c r="K45"/>
    </row>
    <row r="46" spans="1:11" x14ac:dyDescent="0.25">
      <c r="A46" s="4">
        <v>1761000110</v>
      </c>
      <c r="B46" s="4" t="s">
        <v>672</v>
      </c>
      <c r="C46" s="353">
        <v>1619</v>
      </c>
      <c r="D46" s="353">
        <v>1650</v>
      </c>
      <c r="E46" s="353">
        <v>878</v>
      </c>
      <c r="F46" s="353">
        <v>1740</v>
      </c>
      <c r="G46" s="353">
        <f>F46*1.015</f>
        <v>1766.1</v>
      </c>
      <c r="H46" s="138"/>
      <c r="I46" s="144"/>
      <c r="J46"/>
      <c r="K46"/>
    </row>
    <row r="47" spans="1:11" x14ac:dyDescent="0.25">
      <c r="A47" s="4">
        <v>1764000110</v>
      </c>
      <c r="B47" s="4" t="s">
        <v>673</v>
      </c>
      <c r="C47" s="353">
        <v>183</v>
      </c>
      <c r="D47" s="353">
        <v>183</v>
      </c>
      <c r="E47" s="353">
        <v>93</v>
      </c>
      <c r="F47" s="353">
        <v>182</v>
      </c>
      <c r="G47" s="353">
        <f>F47*1.015</f>
        <v>184.73</v>
      </c>
      <c r="H47" s="138"/>
      <c r="I47" s="144"/>
      <c r="J47"/>
      <c r="K47"/>
    </row>
    <row r="48" spans="1:11" x14ac:dyDescent="0.25">
      <c r="A48" s="554" t="s">
        <v>674</v>
      </c>
      <c r="B48" s="555"/>
      <c r="C48" s="354">
        <f t="shared" ref="C48" si="12">SUM(C46:C47)</f>
        <v>1802</v>
      </c>
      <c r="D48" s="354">
        <f>SUM(D46:D47)</f>
        <v>1833</v>
      </c>
      <c r="E48" s="354">
        <f>SUM(E46:E47)</f>
        <v>971</v>
      </c>
      <c r="F48" s="354">
        <f>SUM(F46:F47)</f>
        <v>1922</v>
      </c>
      <c r="G48" s="354">
        <f>SUM(G46:G47)</f>
        <v>1950.83</v>
      </c>
      <c r="H48" s="146"/>
      <c r="I48" s="144"/>
      <c r="J48"/>
      <c r="K48"/>
    </row>
    <row r="49" spans="1:11" x14ac:dyDescent="0.25">
      <c r="A49" s="4">
        <v>1770000110</v>
      </c>
      <c r="B49" s="350" t="s">
        <v>1174</v>
      </c>
      <c r="C49" s="356">
        <v>569</v>
      </c>
      <c r="D49" s="356">
        <v>572</v>
      </c>
      <c r="E49" s="356">
        <v>194</v>
      </c>
      <c r="F49" s="357">
        <v>288</v>
      </c>
      <c r="G49" s="357">
        <v>190</v>
      </c>
      <c r="H49" s="88"/>
      <c r="I49" s="144"/>
      <c r="J49"/>
      <c r="K49"/>
    </row>
    <row r="50" spans="1:11" x14ac:dyDescent="0.25">
      <c r="A50" s="4">
        <v>1772000110</v>
      </c>
      <c r="B50" s="84" t="s">
        <v>866</v>
      </c>
      <c r="C50" s="356">
        <v>625</v>
      </c>
      <c r="D50" s="356">
        <v>395</v>
      </c>
      <c r="E50" s="356">
        <v>361</v>
      </c>
      <c r="F50" s="357">
        <v>585</v>
      </c>
      <c r="G50" s="357">
        <v>650</v>
      </c>
      <c r="H50" s="88"/>
      <c r="I50" s="174"/>
      <c r="J50"/>
      <c r="K50"/>
    </row>
    <row r="51" spans="1:11" x14ac:dyDescent="0.25">
      <c r="A51" s="554" t="s">
        <v>861</v>
      </c>
      <c r="B51" s="555"/>
      <c r="C51" s="145">
        <f t="shared" ref="C51" si="13">SUM(C49:C50)</f>
        <v>1194</v>
      </c>
      <c r="D51" s="145">
        <f>SUM(D49:D50)</f>
        <v>967</v>
      </c>
      <c r="E51" s="145">
        <f>SUM(E49:E50)</f>
        <v>555</v>
      </c>
      <c r="F51" s="145">
        <f>SUM(F49:F50)</f>
        <v>873</v>
      </c>
      <c r="G51" s="145">
        <f>SUM(G49:G50)</f>
        <v>840</v>
      </c>
      <c r="H51" s="145"/>
      <c r="I51" s="190"/>
      <c r="J51"/>
      <c r="K51"/>
    </row>
    <row r="52" spans="1:11" ht="13.5" customHeight="1" x14ac:dyDescent="0.25">
      <c r="A52" s="4">
        <v>1781000110</v>
      </c>
      <c r="B52" s="4" t="s">
        <v>675</v>
      </c>
      <c r="C52" s="353">
        <v>2253</v>
      </c>
      <c r="D52" s="356">
        <v>2401</v>
      </c>
      <c r="E52" s="356">
        <v>1153</v>
      </c>
      <c r="F52" s="356">
        <v>2224</v>
      </c>
      <c r="G52" s="356">
        <f>F52*1.015</f>
        <v>2257.3599999999997</v>
      </c>
      <c r="H52" s="88"/>
      <c r="I52" s="144"/>
      <c r="J52"/>
      <c r="K52"/>
    </row>
    <row r="53" spans="1:11" x14ac:dyDescent="0.25">
      <c r="A53" s="4">
        <v>1781100110</v>
      </c>
      <c r="B53" s="4" t="s">
        <v>676</v>
      </c>
      <c r="C53" s="353">
        <v>651</v>
      </c>
      <c r="D53" s="357">
        <v>643</v>
      </c>
      <c r="E53" s="357">
        <v>331</v>
      </c>
      <c r="F53" s="357">
        <v>616</v>
      </c>
      <c r="G53" s="356">
        <f>F53*1.015</f>
        <v>625.2399999999999</v>
      </c>
      <c r="H53" s="88"/>
      <c r="I53" s="144"/>
      <c r="J53"/>
      <c r="K53"/>
    </row>
    <row r="54" spans="1:11" x14ac:dyDescent="0.25">
      <c r="A54" s="554" t="s">
        <v>677</v>
      </c>
      <c r="B54" s="555"/>
      <c r="C54" s="354">
        <f t="shared" ref="C54:G54" si="14">SUM(C52:C53)</f>
        <v>2904</v>
      </c>
      <c r="D54" s="354">
        <f t="shared" si="14"/>
        <v>3044</v>
      </c>
      <c r="E54" s="354">
        <f t="shared" si="14"/>
        <v>1484</v>
      </c>
      <c r="F54" s="354">
        <f t="shared" si="14"/>
        <v>2840</v>
      </c>
      <c r="G54" s="354">
        <f t="shared" si="14"/>
        <v>2882.5999999999995</v>
      </c>
      <c r="H54" s="146"/>
      <c r="I54" s="144"/>
      <c r="J54"/>
      <c r="K54"/>
    </row>
    <row r="55" spans="1:11" x14ac:dyDescent="0.25">
      <c r="A55" s="4">
        <v>1811000110</v>
      </c>
      <c r="B55" s="4" t="s">
        <v>678</v>
      </c>
      <c r="C55" s="353">
        <v>3256</v>
      </c>
      <c r="D55" s="356">
        <v>3348</v>
      </c>
      <c r="E55" s="356">
        <v>1623</v>
      </c>
      <c r="F55" s="356">
        <v>3265</v>
      </c>
      <c r="G55" s="356">
        <f>F55*1.015</f>
        <v>3313.9749999999995</v>
      </c>
      <c r="H55" s="88"/>
      <c r="I55" s="144"/>
      <c r="J55"/>
      <c r="K55"/>
    </row>
    <row r="56" spans="1:11" x14ac:dyDescent="0.25">
      <c r="A56" s="4">
        <v>1812200110</v>
      </c>
      <c r="B56" s="4" t="s">
        <v>679</v>
      </c>
      <c r="C56" s="353">
        <v>4228</v>
      </c>
      <c r="D56" s="356">
        <v>4430</v>
      </c>
      <c r="E56" s="356">
        <f>2123+16</f>
        <v>2139</v>
      </c>
      <c r="F56" s="356">
        <v>4302</v>
      </c>
      <c r="G56" s="356">
        <f t="shared" ref="G56:G77" si="15">F56*1.015</f>
        <v>4366.53</v>
      </c>
      <c r="H56" s="88"/>
      <c r="I56" s="144"/>
      <c r="J56"/>
      <c r="K56"/>
    </row>
    <row r="57" spans="1:11" x14ac:dyDescent="0.25">
      <c r="A57" s="4">
        <v>1812210110</v>
      </c>
      <c r="B57" s="4" t="s">
        <v>680</v>
      </c>
      <c r="C57" s="353">
        <v>3925</v>
      </c>
      <c r="D57" s="356">
        <v>4100</v>
      </c>
      <c r="E57" s="356">
        <v>2121</v>
      </c>
      <c r="F57" s="356">
        <v>4235</v>
      </c>
      <c r="G57" s="356">
        <f t="shared" si="15"/>
        <v>4298.5249999999996</v>
      </c>
      <c r="H57" s="88"/>
      <c r="I57" s="144"/>
      <c r="J57"/>
      <c r="K57"/>
    </row>
    <row r="58" spans="1:11" x14ac:dyDescent="0.25">
      <c r="A58" s="4">
        <v>1812300110</v>
      </c>
      <c r="B58" s="4" t="s">
        <v>681</v>
      </c>
      <c r="C58" s="353">
        <v>6228</v>
      </c>
      <c r="D58" s="356">
        <v>6500</v>
      </c>
      <c r="E58" s="356">
        <v>3499</v>
      </c>
      <c r="F58" s="356">
        <v>6872</v>
      </c>
      <c r="G58" s="356">
        <f t="shared" si="15"/>
        <v>6975.079999999999</v>
      </c>
      <c r="H58" s="88"/>
      <c r="I58" s="144"/>
      <c r="J58"/>
      <c r="K58"/>
    </row>
    <row r="59" spans="1:11" x14ac:dyDescent="0.25">
      <c r="A59" s="4">
        <v>1812310110</v>
      </c>
      <c r="B59" s="4" t="s">
        <v>682</v>
      </c>
      <c r="C59" s="353">
        <v>189</v>
      </c>
      <c r="D59" s="356">
        <v>177</v>
      </c>
      <c r="E59" s="356">
        <v>95</v>
      </c>
      <c r="F59" s="356">
        <v>191</v>
      </c>
      <c r="G59" s="356">
        <f t="shared" si="15"/>
        <v>193.86499999999998</v>
      </c>
      <c r="H59" s="88"/>
      <c r="I59" s="144"/>
      <c r="J59"/>
      <c r="K59"/>
    </row>
    <row r="60" spans="1:11" x14ac:dyDescent="0.25">
      <c r="A60" s="4">
        <v>1812400110</v>
      </c>
      <c r="B60" s="4" t="s">
        <v>683</v>
      </c>
      <c r="C60" s="353">
        <v>592</v>
      </c>
      <c r="D60" s="356">
        <v>621</v>
      </c>
      <c r="E60" s="356">
        <v>293</v>
      </c>
      <c r="F60" s="356">
        <v>432</v>
      </c>
      <c r="G60" s="356">
        <f t="shared" si="15"/>
        <v>438.47999999999996</v>
      </c>
      <c r="H60" s="88"/>
      <c r="I60" s="144"/>
      <c r="J60"/>
      <c r="K60"/>
    </row>
    <row r="61" spans="1:11" x14ac:dyDescent="0.25">
      <c r="A61" s="4">
        <v>1812510110</v>
      </c>
      <c r="B61" s="4" t="s">
        <v>684</v>
      </c>
      <c r="C61" s="353">
        <v>146</v>
      </c>
      <c r="D61" s="356">
        <v>188</v>
      </c>
      <c r="E61" s="356">
        <v>7</v>
      </c>
      <c r="F61" s="356">
        <v>7</v>
      </c>
      <c r="G61" s="356">
        <f t="shared" si="15"/>
        <v>7.1049999999999995</v>
      </c>
      <c r="H61" s="88"/>
      <c r="I61" s="144"/>
      <c r="J61"/>
      <c r="K61"/>
    </row>
    <row r="62" spans="1:11" x14ac:dyDescent="0.25">
      <c r="A62" s="4">
        <v>1812520110</v>
      </c>
      <c r="B62" t="s">
        <v>1084</v>
      </c>
      <c r="C62" s="353">
        <v>184</v>
      </c>
      <c r="D62" s="356">
        <v>0</v>
      </c>
      <c r="E62" s="356">
        <v>28</v>
      </c>
      <c r="F62" s="356">
        <v>53</v>
      </c>
      <c r="G62" s="356">
        <f t="shared" si="15"/>
        <v>53.794999999999995</v>
      </c>
      <c r="H62" s="88"/>
      <c r="I62" s="144"/>
      <c r="J62"/>
      <c r="K62"/>
    </row>
    <row r="63" spans="1:11" x14ac:dyDescent="0.25">
      <c r="A63" s="4">
        <v>1812600110</v>
      </c>
      <c r="B63" s="4" t="s">
        <v>685</v>
      </c>
      <c r="C63" s="353">
        <v>4169</v>
      </c>
      <c r="D63" s="356">
        <v>4543</v>
      </c>
      <c r="E63" s="356">
        <v>2292</v>
      </c>
      <c r="F63" s="356">
        <v>4408</v>
      </c>
      <c r="G63" s="356">
        <f t="shared" si="15"/>
        <v>4474.12</v>
      </c>
      <c r="H63" s="88"/>
      <c r="I63" s="144"/>
      <c r="J63"/>
      <c r="K63"/>
    </row>
    <row r="64" spans="1:11" x14ac:dyDescent="0.25">
      <c r="A64" s="4">
        <v>1812700110</v>
      </c>
      <c r="B64" s="4" t="s">
        <v>686</v>
      </c>
      <c r="C64" s="353">
        <v>760</v>
      </c>
      <c r="D64" s="356">
        <v>733</v>
      </c>
      <c r="E64" s="356">
        <v>409</v>
      </c>
      <c r="F64" s="356">
        <v>768</v>
      </c>
      <c r="G64" s="356">
        <f t="shared" si="15"/>
        <v>779.52</v>
      </c>
      <c r="H64" s="88"/>
      <c r="I64" s="144"/>
      <c r="J64"/>
      <c r="K64"/>
    </row>
    <row r="65" spans="1:11" x14ac:dyDescent="0.25">
      <c r="A65" s="4">
        <v>1812800110</v>
      </c>
      <c r="B65" s="4" t="s">
        <v>687</v>
      </c>
      <c r="C65" s="353">
        <v>1943</v>
      </c>
      <c r="D65" s="356">
        <v>2041</v>
      </c>
      <c r="E65" s="356">
        <v>1003</v>
      </c>
      <c r="F65" s="356">
        <v>1884</v>
      </c>
      <c r="G65" s="356">
        <f t="shared" si="15"/>
        <v>1912.2599999999998</v>
      </c>
      <c r="H65" s="88"/>
      <c r="I65" s="144"/>
      <c r="J65"/>
      <c r="K65"/>
    </row>
    <row r="66" spans="1:11" x14ac:dyDescent="0.25">
      <c r="A66" s="4">
        <v>1812900110</v>
      </c>
      <c r="B66" s="4" t="s">
        <v>688</v>
      </c>
      <c r="C66" s="353">
        <v>1368</v>
      </c>
      <c r="D66" s="356">
        <v>1477</v>
      </c>
      <c r="E66" s="356">
        <v>762</v>
      </c>
      <c r="F66" s="356">
        <v>1542</v>
      </c>
      <c r="G66" s="356">
        <f t="shared" si="15"/>
        <v>1565.1299999999999</v>
      </c>
      <c r="H66" s="88"/>
      <c r="I66" s="144"/>
      <c r="J66"/>
      <c r="K66"/>
    </row>
    <row r="67" spans="1:11" x14ac:dyDescent="0.25">
      <c r="A67" s="4">
        <v>1813210110</v>
      </c>
      <c r="B67" s="4" t="s">
        <v>689</v>
      </c>
      <c r="C67" s="358">
        <f>856.67154-42</f>
        <v>814.67154000000005</v>
      </c>
      <c r="D67" s="356">
        <v>901</v>
      </c>
      <c r="E67" s="356">
        <f>473-10</f>
        <v>463</v>
      </c>
      <c r="F67" s="356">
        <v>1060</v>
      </c>
      <c r="G67" s="356">
        <f t="shared" si="15"/>
        <v>1075.8999999999999</v>
      </c>
      <c r="H67" s="88"/>
      <c r="I67" s="144"/>
      <c r="J67"/>
      <c r="K67"/>
    </row>
    <row r="68" spans="1:11" x14ac:dyDescent="0.25">
      <c r="A68" s="4">
        <v>1813211110</v>
      </c>
      <c r="B68" s="4" t="s">
        <v>689</v>
      </c>
      <c r="C68" s="358">
        <v>677.19590000000005</v>
      </c>
      <c r="D68" s="356">
        <v>695</v>
      </c>
      <c r="E68" s="356">
        <v>333</v>
      </c>
      <c r="F68" s="356">
        <v>662</v>
      </c>
      <c r="G68" s="356">
        <f t="shared" si="15"/>
        <v>671.93</v>
      </c>
      <c r="H68" s="88"/>
      <c r="I68" s="144"/>
      <c r="J68"/>
      <c r="K68"/>
    </row>
    <row r="69" spans="1:11" x14ac:dyDescent="0.25">
      <c r="A69" s="4">
        <v>1813212110</v>
      </c>
      <c r="B69" s="4" t="s">
        <v>689</v>
      </c>
      <c r="C69" s="358">
        <v>889.7731</v>
      </c>
      <c r="D69" s="356">
        <v>904</v>
      </c>
      <c r="E69" s="356">
        <v>461</v>
      </c>
      <c r="F69" s="356">
        <v>901</v>
      </c>
      <c r="G69" s="356">
        <f t="shared" si="15"/>
        <v>914.51499999999987</v>
      </c>
      <c r="H69" s="88"/>
      <c r="I69" s="144"/>
      <c r="J69"/>
      <c r="K69"/>
    </row>
    <row r="70" spans="1:11" x14ac:dyDescent="0.25">
      <c r="A70" s="4">
        <v>1813213110</v>
      </c>
      <c r="B70" s="4" t="s">
        <v>689</v>
      </c>
      <c r="C70" s="358">
        <v>729.61298999999997</v>
      </c>
      <c r="D70" s="356">
        <v>768</v>
      </c>
      <c r="E70" s="356">
        <v>346</v>
      </c>
      <c r="F70" s="356">
        <v>672</v>
      </c>
      <c r="G70" s="356">
        <f t="shared" si="15"/>
        <v>682.07999999999993</v>
      </c>
      <c r="H70" s="88"/>
      <c r="I70" s="144"/>
      <c r="J70"/>
      <c r="K70"/>
    </row>
    <row r="71" spans="1:11" x14ac:dyDescent="0.25">
      <c r="A71" s="4">
        <v>1813214110</v>
      </c>
      <c r="B71" s="4" t="s">
        <v>689</v>
      </c>
      <c r="C71" s="358">
        <v>563.56588999999997</v>
      </c>
      <c r="D71" s="356">
        <v>623</v>
      </c>
      <c r="E71" s="356">
        <v>266</v>
      </c>
      <c r="F71" s="356">
        <v>506</v>
      </c>
      <c r="G71" s="356">
        <f t="shared" si="15"/>
        <v>513.58999999999992</v>
      </c>
      <c r="H71" s="88"/>
      <c r="I71" s="144"/>
      <c r="J71"/>
      <c r="K71"/>
    </row>
    <row r="72" spans="1:11" x14ac:dyDescent="0.25">
      <c r="A72" s="4">
        <v>1813215110</v>
      </c>
      <c r="B72" s="4" t="s">
        <v>689</v>
      </c>
      <c r="C72" s="358">
        <v>550.89389000000006</v>
      </c>
      <c r="D72" s="356">
        <v>578</v>
      </c>
      <c r="E72" s="356">
        <v>274</v>
      </c>
      <c r="F72" s="356">
        <v>548</v>
      </c>
      <c r="G72" s="356">
        <f t="shared" si="15"/>
        <v>556.21999999999991</v>
      </c>
      <c r="H72" s="88"/>
      <c r="I72" s="144"/>
      <c r="J72"/>
      <c r="K72"/>
    </row>
    <row r="73" spans="1:11" x14ac:dyDescent="0.25">
      <c r="A73" s="4">
        <v>1813216110</v>
      </c>
      <c r="B73" s="4" t="s">
        <v>689</v>
      </c>
      <c r="C73" s="358">
        <v>511.23710999999997</v>
      </c>
      <c r="D73" s="356">
        <v>532</v>
      </c>
      <c r="E73" s="356">
        <v>267</v>
      </c>
      <c r="F73" s="356">
        <v>521</v>
      </c>
      <c r="G73" s="356">
        <f t="shared" si="15"/>
        <v>528.81499999999994</v>
      </c>
      <c r="H73" s="88"/>
      <c r="I73" s="144"/>
      <c r="J73"/>
      <c r="K73"/>
    </row>
    <row r="74" spans="1:11" x14ac:dyDescent="0.25">
      <c r="A74" s="4">
        <v>1813217110</v>
      </c>
      <c r="B74" s="4" t="s">
        <v>689</v>
      </c>
      <c r="C74" s="358">
        <v>74.505189999999999</v>
      </c>
      <c r="D74" s="356">
        <v>470</v>
      </c>
      <c r="E74" s="356">
        <v>251</v>
      </c>
      <c r="F74" s="356">
        <v>460</v>
      </c>
      <c r="G74" s="356">
        <f t="shared" si="15"/>
        <v>466.9</v>
      </c>
      <c r="H74" s="88"/>
      <c r="I74" s="144"/>
      <c r="J74"/>
      <c r="K74"/>
    </row>
    <row r="75" spans="1:11" x14ac:dyDescent="0.25">
      <c r="A75" s="4">
        <v>1813218110</v>
      </c>
      <c r="B75" s="4" t="s">
        <v>689</v>
      </c>
      <c r="C75" s="358">
        <v>872.41341</v>
      </c>
      <c r="D75" s="356">
        <v>935</v>
      </c>
      <c r="E75" s="356">
        <v>472</v>
      </c>
      <c r="F75" s="356">
        <v>935</v>
      </c>
      <c r="G75" s="356">
        <f t="shared" si="15"/>
        <v>949.02499999999986</v>
      </c>
      <c r="H75" s="88"/>
      <c r="I75" s="144"/>
      <c r="J75"/>
      <c r="K75"/>
    </row>
    <row r="76" spans="1:11" x14ac:dyDescent="0.25">
      <c r="A76" s="4">
        <v>1813219110</v>
      </c>
      <c r="B76" s="4" t="s">
        <v>689</v>
      </c>
      <c r="C76" s="358">
        <v>367.29095000000001</v>
      </c>
      <c r="D76" s="356">
        <v>406</v>
      </c>
      <c r="E76" s="356">
        <v>195</v>
      </c>
      <c r="F76" s="356">
        <v>389</v>
      </c>
      <c r="G76" s="356">
        <f t="shared" si="15"/>
        <v>394.83499999999998</v>
      </c>
      <c r="H76" s="88"/>
      <c r="I76" s="144"/>
      <c r="J76"/>
      <c r="K76"/>
    </row>
    <row r="77" spans="1:11" x14ac:dyDescent="0.25">
      <c r="A77" s="4">
        <v>1813220110</v>
      </c>
      <c r="B77" s="4" t="s">
        <v>689</v>
      </c>
      <c r="C77" s="358">
        <v>805.82427000000007</v>
      </c>
      <c r="D77" s="356">
        <v>802</v>
      </c>
      <c r="E77" s="356">
        <v>445</v>
      </c>
      <c r="F77" s="356">
        <v>855</v>
      </c>
      <c r="G77" s="356">
        <f t="shared" si="15"/>
        <v>867.82499999999993</v>
      </c>
      <c r="H77" s="88"/>
      <c r="I77" s="144"/>
      <c r="J77"/>
      <c r="K77"/>
    </row>
    <row r="78" spans="1:11" x14ac:dyDescent="0.25">
      <c r="A78" s="4">
        <v>1813221110</v>
      </c>
      <c r="B78" s="4" t="s">
        <v>689</v>
      </c>
      <c r="C78" s="358">
        <v>66.233029999999999</v>
      </c>
      <c r="D78" s="356">
        <v>87</v>
      </c>
      <c r="E78" s="356">
        <v>29</v>
      </c>
      <c r="F78" s="357">
        <v>35</v>
      </c>
      <c r="G78" s="357">
        <v>0</v>
      </c>
      <c r="H78" s="88"/>
      <c r="I78" s="144"/>
      <c r="J78"/>
      <c r="K78"/>
    </row>
    <row r="79" spans="1:11" x14ac:dyDescent="0.25">
      <c r="A79" s="4">
        <v>1813222110</v>
      </c>
      <c r="B79" s="4" t="s">
        <v>689</v>
      </c>
      <c r="C79" s="358">
        <v>256.47194999999999</v>
      </c>
      <c r="D79" s="356">
        <v>259</v>
      </c>
      <c r="E79" s="356">
        <v>137</v>
      </c>
      <c r="F79" s="356">
        <v>264</v>
      </c>
      <c r="G79" s="356">
        <f>F79*1.015</f>
        <v>267.95999999999998</v>
      </c>
      <c r="H79" s="88"/>
      <c r="I79" s="144"/>
      <c r="J79"/>
      <c r="K79"/>
    </row>
    <row r="80" spans="1:11" x14ac:dyDescent="0.25">
      <c r="A80" s="4">
        <v>1813223110</v>
      </c>
      <c r="B80" s="4" t="s">
        <v>689</v>
      </c>
      <c r="C80" s="358">
        <v>194.18293</v>
      </c>
      <c r="D80" s="356">
        <v>196</v>
      </c>
      <c r="E80" s="356">
        <v>102</v>
      </c>
      <c r="F80" s="356">
        <v>199</v>
      </c>
      <c r="G80" s="356">
        <f t="shared" ref="G80:G83" si="16">F80*1.015</f>
        <v>201.98499999999999</v>
      </c>
      <c r="H80" s="88"/>
      <c r="I80" s="144"/>
      <c r="J80"/>
      <c r="K80"/>
    </row>
    <row r="81" spans="1:11" x14ac:dyDescent="0.25">
      <c r="A81" s="4">
        <v>1813224110</v>
      </c>
      <c r="B81" s="4" t="s">
        <v>689</v>
      </c>
      <c r="C81" s="358">
        <v>258.44607000000002</v>
      </c>
      <c r="D81" s="356">
        <v>299</v>
      </c>
      <c r="E81" s="356">
        <v>138</v>
      </c>
      <c r="F81" s="356">
        <v>262</v>
      </c>
      <c r="G81" s="356">
        <f t="shared" si="16"/>
        <v>265.92999999999995</v>
      </c>
      <c r="H81" s="88"/>
      <c r="I81" s="144"/>
      <c r="J81"/>
      <c r="K81"/>
    </row>
    <row r="82" spans="1:11" x14ac:dyDescent="0.25">
      <c r="A82" s="4">
        <v>1813225110</v>
      </c>
      <c r="B82" s="4" t="s">
        <v>689</v>
      </c>
      <c r="C82" s="358">
        <v>426.37846000000002</v>
      </c>
      <c r="D82" s="356">
        <v>448</v>
      </c>
      <c r="E82" s="356">
        <v>210</v>
      </c>
      <c r="F82" s="356">
        <v>434</v>
      </c>
      <c r="G82" s="356">
        <f t="shared" si="16"/>
        <v>440.50999999999993</v>
      </c>
      <c r="H82" s="88"/>
      <c r="I82" s="144"/>
      <c r="J82"/>
      <c r="K82"/>
    </row>
    <row r="83" spans="1:11" x14ac:dyDescent="0.25">
      <c r="A83" s="4">
        <v>1813226110</v>
      </c>
      <c r="B83" s="4" t="s">
        <v>689</v>
      </c>
      <c r="C83" s="358">
        <v>447.48601000000002</v>
      </c>
      <c r="D83" s="356">
        <v>471</v>
      </c>
      <c r="E83" s="356">
        <v>237</v>
      </c>
      <c r="F83" s="356">
        <v>464</v>
      </c>
      <c r="G83" s="356">
        <f t="shared" si="16"/>
        <v>470.96</v>
      </c>
      <c r="H83" s="88"/>
      <c r="I83" s="144"/>
      <c r="J83"/>
      <c r="K83"/>
    </row>
    <row r="84" spans="1:11" x14ac:dyDescent="0.25">
      <c r="A84" s="4">
        <v>1813227110</v>
      </c>
      <c r="B84" s="233" t="s">
        <v>1054</v>
      </c>
      <c r="C84" s="353">
        <v>55</v>
      </c>
      <c r="D84" s="356">
        <v>205</v>
      </c>
      <c r="E84" s="356">
        <v>70</v>
      </c>
      <c r="F84" s="357">
        <v>72</v>
      </c>
      <c r="G84" s="357">
        <v>0</v>
      </c>
      <c r="H84" s="88"/>
      <c r="I84" s="144"/>
      <c r="J84"/>
      <c r="K84"/>
    </row>
    <row r="85" spans="1:11" x14ac:dyDescent="0.25">
      <c r="A85" s="4">
        <v>1813300110</v>
      </c>
      <c r="B85" s="4" t="s">
        <v>690</v>
      </c>
      <c r="C85" s="353">
        <v>3013</v>
      </c>
      <c r="D85" s="356">
        <v>3360</v>
      </c>
      <c r="E85" s="356">
        <v>1761</v>
      </c>
      <c r="F85" s="356">
        <v>3273</v>
      </c>
      <c r="G85" s="356">
        <f>F85*1.015</f>
        <v>3322.0949999999998</v>
      </c>
      <c r="H85" s="88"/>
      <c r="I85" s="144"/>
      <c r="J85"/>
      <c r="K85"/>
    </row>
    <row r="86" spans="1:11" x14ac:dyDescent="0.25">
      <c r="A86" s="4">
        <v>1813400110</v>
      </c>
      <c r="B86" s="4" t="s">
        <v>691</v>
      </c>
      <c r="C86" s="353">
        <v>6827</v>
      </c>
      <c r="D86" s="356">
        <v>7089</v>
      </c>
      <c r="E86" s="356">
        <v>3413</v>
      </c>
      <c r="F86" s="356">
        <v>6610</v>
      </c>
      <c r="G86" s="356">
        <f t="shared" ref="G86:G98" si="17">F86*1.015</f>
        <v>6709.15</v>
      </c>
      <c r="H86" s="88"/>
      <c r="I86" s="144"/>
      <c r="J86"/>
      <c r="K86"/>
    </row>
    <row r="87" spans="1:11" x14ac:dyDescent="0.25">
      <c r="A87" s="4">
        <v>1813500110</v>
      </c>
      <c r="B87" s="4" t="s">
        <v>692</v>
      </c>
      <c r="C87" s="353">
        <v>4415</v>
      </c>
      <c r="D87" s="356">
        <v>4578</v>
      </c>
      <c r="E87" s="356">
        <v>2256</v>
      </c>
      <c r="F87" s="356">
        <v>4606</v>
      </c>
      <c r="G87" s="356">
        <f t="shared" si="17"/>
        <v>4675.0899999999992</v>
      </c>
      <c r="H87" s="88"/>
      <c r="I87" s="144"/>
      <c r="J87"/>
      <c r="K87"/>
    </row>
    <row r="88" spans="1:11" x14ac:dyDescent="0.25">
      <c r="A88" s="4">
        <v>1813600110</v>
      </c>
      <c r="B88" s="4" t="s">
        <v>693</v>
      </c>
      <c r="C88" s="353">
        <v>1550</v>
      </c>
      <c r="D88" s="356">
        <v>1507</v>
      </c>
      <c r="E88" s="356">
        <v>1153</v>
      </c>
      <c r="F88" s="356">
        <v>2306</v>
      </c>
      <c r="G88" s="356">
        <f t="shared" si="17"/>
        <v>2340.5899999999997</v>
      </c>
      <c r="H88" s="88"/>
      <c r="I88" s="144"/>
      <c r="J88"/>
      <c r="K88"/>
    </row>
    <row r="89" spans="1:11" x14ac:dyDescent="0.25">
      <c r="A89" s="4">
        <v>1813700110</v>
      </c>
      <c r="B89" s="233" t="s">
        <v>1055</v>
      </c>
      <c r="C89" s="353">
        <v>102</v>
      </c>
      <c r="D89" s="356">
        <v>132</v>
      </c>
      <c r="E89" s="356">
        <v>38</v>
      </c>
      <c r="F89" s="356">
        <v>52</v>
      </c>
      <c r="G89" s="356">
        <f t="shared" si="17"/>
        <v>52.779999999999994</v>
      </c>
      <c r="H89" s="88"/>
      <c r="I89" s="144"/>
      <c r="J89"/>
      <c r="K89"/>
    </row>
    <row r="90" spans="1:11" x14ac:dyDescent="0.25">
      <c r="A90" s="4">
        <v>1817100110</v>
      </c>
      <c r="B90" s="4" t="s">
        <v>694</v>
      </c>
      <c r="C90" s="353">
        <v>392</v>
      </c>
      <c r="D90" s="356">
        <v>397</v>
      </c>
      <c r="E90" s="356">
        <v>217</v>
      </c>
      <c r="F90" s="356">
        <v>433</v>
      </c>
      <c r="G90" s="356">
        <f t="shared" si="17"/>
        <v>439.49499999999995</v>
      </c>
      <c r="H90" s="88"/>
      <c r="I90" s="144"/>
      <c r="J90"/>
      <c r="K90"/>
    </row>
    <row r="91" spans="1:11" x14ac:dyDescent="0.25">
      <c r="A91" s="4">
        <v>1817200110</v>
      </c>
      <c r="B91" s="4" t="s">
        <v>695</v>
      </c>
      <c r="C91" s="353">
        <v>623</v>
      </c>
      <c r="D91" s="356">
        <v>638</v>
      </c>
      <c r="E91" s="356">
        <v>317</v>
      </c>
      <c r="F91" s="356">
        <v>616</v>
      </c>
      <c r="G91" s="356">
        <f t="shared" si="17"/>
        <v>625.2399999999999</v>
      </c>
      <c r="H91" s="88"/>
      <c r="I91" s="144"/>
      <c r="J91"/>
      <c r="K91"/>
    </row>
    <row r="92" spans="1:11" x14ac:dyDescent="0.25">
      <c r="A92" s="4">
        <v>1817300110</v>
      </c>
      <c r="B92" s="4" t="s">
        <v>696</v>
      </c>
      <c r="C92" s="353">
        <v>3213</v>
      </c>
      <c r="D92" s="356">
        <v>3460</v>
      </c>
      <c r="E92" s="356">
        <v>1890</v>
      </c>
      <c r="F92" s="356">
        <v>3941</v>
      </c>
      <c r="G92" s="356">
        <f t="shared" si="17"/>
        <v>4000.1149999999998</v>
      </c>
      <c r="H92" s="88"/>
      <c r="I92" s="144"/>
      <c r="J92"/>
      <c r="K92"/>
    </row>
    <row r="93" spans="1:11" x14ac:dyDescent="0.25">
      <c r="A93" s="4">
        <v>1817700110</v>
      </c>
      <c r="B93" s="4" t="s">
        <v>697</v>
      </c>
      <c r="C93" s="353">
        <v>805</v>
      </c>
      <c r="D93" s="356">
        <v>835</v>
      </c>
      <c r="E93" s="356">
        <v>360</v>
      </c>
      <c r="F93" s="356">
        <v>721</v>
      </c>
      <c r="G93" s="356">
        <f t="shared" si="17"/>
        <v>731.81499999999994</v>
      </c>
      <c r="H93" s="88"/>
      <c r="I93" s="144"/>
      <c r="J93"/>
      <c r="K93"/>
    </row>
    <row r="94" spans="1:11" x14ac:dyDescent="0.25">
      <c r="A94" s="4">
        <v>1817710110</v>
      </c>
      <c r="B94" s="4" t="s">
        <v>867</v>
      </c>
      <c r="C94" s="353">
        <v>371</v>
      </c>
      <c r="D94" s="356">
        <v>425</v>
      </c>
      <c r="E94" s="356">
        <v>191</v>
      </c>
      <c r="F94" s="356">
        <v>412</v>
      </c>
      <c r="G94" s="356">
        <f t="shared" si="17"/>
        <v>418.17999999999995</v>
      </c>
      <c r="H94" s="88"/>
      <c r="I94" s="144"/>
      <c r="J94"/>
      <c r="K94"/>
    </row>
    <row r="95" spans="1:11" x14ac:dyDescent="0.25">
      <c r="A95" s="4">
        <v>1817900110</v>
      </c>
      <c r="B95" s="4" t="s">
        <v>698</v>
      </c>
      <c r="C95" s="353">
        <v>221</v>
      </c>
      <c r="D95" s="356">
        <v>222</v>
      </c>
      <c r="E95" s="356">
        <v>249</v>
      </c>
      <c r="F95" s="356">
        <v>211</v>
      </c>
      <c r="G95" s="356">
        <f t="shared" si="17"/>
        <v>214.16499999999999</v>
      </c>
      <c r="H95" s="88"/>
      <c r="I95" s="144"/>
      <c r="J95"/>
      <c r="K95"/>
    </row>
    <row r="96" spans="1:11" x14ac:dyDescent="0.25">
      <c r="A96" s="4">
        <v>1817910110</v>
      </c>
      <c r="B96" s="4" t="s">
        <v>699</v>
      </c>
      <c r="C96" s="353">
        <v>1693</v>
      </c>
      <c r="D96" s="356">
        <v>1563</v>
      </c>
      <c r="E96" s="356">
        <v>832</v>
      </c>
      <c r="F96" s="356">
        <v>1597</v>
      </c>
      <c r="G96" s="356">
        <f t="shared" si="17"/>
        <v>1620.9549999999999</v>
      </c>
      <c r="H96" s="88"/>
      <c r="I96" s="144"/>
      <c r="J96"/>
      <c r="K96"/>
    </row>
    <row r="97" spans="1:11" x14ac:dyDescent="0.25">
      <c r="A97" s="4">
        <v>1817911110</v>
      </c>
      <c r="B97" s="4" t="s">
        <v>700</v>
      </c>
      <c r="C97" s="353">
        <v>289</v>
      </c>
      <c r="D97" s="356">
        <v>308</v>
      </c>
      <c r="E97" s="356">
        <v>113</v>
      </c>
      <c r="F97" s="356">
        <v>222</v>
      </c>
      <c r="G97" s="356">
        <f t="shared" si="17"/>
        <v>225.32999999999998</v>
      </c>
      <c r="H97" s="88"/>
      <c r="I97" s="144"/>
      <c r="J97"/>
      <c r="K97"/>
    </row>
    <row r="98" spans="1:11" x14ac:dyDescent="0.25">
      <c r="A98" s="4">
        <v>1817912110</v>
      </c>
      <c r="B98" s="4" t="s">
        <v>701</v>
      </c>
      <c r="C98" s="353">
        <v>267</v>
      </c>
      <c r="D98" s="356">
        <v>276</v>
      </c>
      <c r="E98" s="356">
        <v>159</v>
      </c>
      <c r="F98" s="356">
        <v>335</v>
      </c>
      <c r="G98" s="356">
        <f t="shared" si="17"/>
        <v>340.02499999999998</v>
      </c>
      <c r="H98" s="88"/>
      <c r="I98" s="144"/>
      <c r="J98"/>
      <c r="K98"/>
    </row>
    <row r="99" spans="1:11" x14ac:dyDescent="0.25">
      <c r="A99" s="554" t="s">
        <v>702</v>
      </c>
      <c r="B99" s="555"/>
      <c r="C99" s="354">
        <f t="shared" ref="C99:G99" si="18">SUM(C55:C98)</f>
        <v>59330.182690000001</v>
      </c>
      <c r="D99" s="354">
        <f t="shared" si="18"/>
        <v>62527</v>
      </c>
      <c r="E99" s="354">
        <f t="shared" si="18"/>
        <v>31916</v>
      </c>
      <c r="F99" s="354">
        <f t="shared" si="18"/>
        <v>62533</v>
      </c>
      <c r="G99" s="354">
        <f t="shared" si="18"/>
        <v>63362.39</v>
      </c>
      <c r="H99" s="146"/>
      <c r="I99" s="144"/>
      <c r="J99"/>
      <c r="K99"/>
    </row>
    <row r="100" spans="1:11" x14ac:dyDescent="0.25">
      <c r="A100" s="4">
        <v>1821000110</v>
      </c>
      <c r="B100" s="4" t="s">
        <v>703</v>
      </c>
      <c r="C100" s="353">
        <v>1239</v>
      </c>
      <c r="D100" s="356">
        <v>1131</v>
      </c>
      <c r="E100" s="356">
        <v>824</v>
      </c>
      <c r="F100" s="356">
        <v>1664</v>
      </c>
      <c r="G100" s="356">
        <f>F100*1.015</f>
        <v>1688.9599999999998</v>
      </c>
      <c r="H100" s="88"/>
      <c r="I100" s="144"/>
      <c r="J100"/>
      <c r="K100"/>
    </row>
    <row r="101" spans="1:11" x14ac:dyDescent="0.25">
      <c r="A101" s="4">
        <v>1823000110</v>
      </c>
      <c r="B101" s="4" t="s">
        <v>704</v>
      </c>
      <c r="C101" s="353">
        <v>1219</v>
      </c>
      <c r="D101" s="356">
        <v>1336</v>
      </c>
      <c r="E101" s="356">
        <v>624</v>
      </c>
      <c r="F101" s="356">
        <v>1240</v>
      </c>
      <c r="G101" s="356">
        <f t="shared" ref="G101:G104" si="19">F101*1.015</f>
        <v>1258.5999999999999</v>
      </c>
      <c r="H101" s="88"/>
      <c r="I101" s="144"/>
      <c r="J101"/>
      <c r="K101"/>
    </row>
    <row r="102" spans="1:11" x14ac:dyDescent="0.25">
      <c r="A102" s="4">
        <v>1824000110</v>
      </c>
      <c r="B102" s="233" t="s">
        <v>705</v>
      </c>
      <c r="C102" s="353">
        <v>31</v>
      </c>
      <c r="D102" s="356">
        <v>0</v>
      </c>
      <c r="E102" s="356">
        <v>1</v>
      </c>
      <c r="F102" s="356">
        <v>1</v>
      </c>
      <c r="G102" s="356">
        <f t="shared" si="19"/>
        <v>1.0149999999999999</v>
      </c>
      <c r="H102" s="88"/>
      <c r="I102" s="144"/>
      <c r="J102"/>
      <c r="K102"/>
    </row>
    <row r="103" spans="1:11" x14ac:dyDescent="0.25">
      <c r="A103" s="4">
        <v>1825000110</v>
      </c>
      <c r="B103" s="4" t="s">
        <v>706</v>
      </c>
      <c r="C103" s="353">
        <v>558</v>
      </c>
      <c r="D103" s="356">
        <v>605</v>
      </c>
      <c r="E103" s="356">
        <v>283</v>
      </c>
      <c r="F103" s="356">
        <v>644</v>
      </c>
      <c r="G103" s="356">
        <f t="shared" si="19"/>
        <v>653.66</v>
      </c>
      <c r="H103" s="88"/>
      <c r="I103" s="144"/>
      <c r="J103"/>
      <c r="K103"/>
    </row>
    <row r="104" spans="1:11" x14ac:dyDescent="0.25">
      <c r="A104" s="4">
        <v>1829200110</v>
      </c>
      <c r="B104" s="4" t="s">
        <v>707</v>
      </c>
      <c r="C104" s="353">
        <v>1032</v>
      </c>
      <c r="D104" s="356">
        <v>995</v>
      </c>
      <c r="E104" s="356">
        <v>576</v>
      </c>
      <c r="F104" s="356">
        <v>1142</v>
      </c>
      <c r="G104" s="356">
        <f t="shared" si="19"/>
        <v>1159.1299999999999</v>
      </c>
      <c r="H104" s="88"/>
      <c r="I104" s="144"/>
      <c r="J104"/>
      <c r="K104"/>
    </row>
    <row r="105" spans="1:11" x14ac:dyDescent="0.25">
      <c r="A105" s="554" t="s">
        <v>708</v>
      </c>
      <c r="B105" s="555"/>
      <c r="C105" s="354">
        <f>SUM(C100:C104)</f>
        <v>4079</v>
      </c>
      <c r="D105" s="354">
        <f>SUM(D100:D104)</f>
        <v>4067</v>
      </c>
      <c r="E105" s="354">
        <f>SUM(E100:E104)</f>
        <v>2308</v>
      </c>
      <c r="F105" s="354">
        <f>SUM(F100:F104)</f>
        <v>4691</v>
      </c>
      <c r="G105" s="354">
        <f>SUM(G100:G104)</f>
        <v>4761.3649999999989</v>
      </c>
      <c r="H105" s="146"/>
      <c r="I105" s="144"/>
      <c r="J105"/>
      <c r="K105"/>
    </row>
    <row r="106" spans="1:11" ht="14.25" customHeight="1" x14ac:dyDescent="0.25">
      <c r="A106">
        <v>1841000110</v>
      </c>
      <c r="B106" s="4" t="s">
        <v>429</v>
      </c>
      <c r="C106" s="356">
        <v>12861</v>
      </c>
      <c r="D106" s="356">
        <v>13698</v>
      </c>
      <c r="E106" s="356">
        <v>6451</v>
      </c>
      <c r="F106" s="443">
        <v>14801</v>
      </c>
      <c r="G106" s="443">
        <f>F106*1.015</f>
        <v>15023.014999999999</v>
      </c>
      <c r="H106" s="88"/>
      <c r="I106" s="144"/>
      <c r="J106"/>
      <c r="K106"/>
    </row>
    <row r="107" spans="1:11" x14ac:dyDescent="0.25">
      <c r="A107" s="554" t="s">
        <v>709</v>
      </c>
      <c r="B107" s="555"/>
      <c r="C107" s="354">
        <f t="shared" ref="C107:G107" si="20">SUM(C106)</f>
        <v>12861</v>
      </c>
      <c r="D107" s="354">
        <f t="shared" si="20"/>
        <v>13698</v>
      </c>
      <c r="E107" s="354">
        <f t="shared" si="20"/>
        <v>6451</v>
      </c>
      <c r="F107" s="354">
        <f t="shared" si="20"/>
        <v>14801</v>
      </c>
      <c r="G107" s="354">
        <f t="shared" si="20"/>
        <v>15023.014999999999</v>
      </c>
      <c r="H107" s="146"/>
      <c r="I107" s="144"/>
      <c r="J107"/>
      <c r="K107"/>
    </row>
    <row r="108" spans="1:11" x14ac:dyDescent="0.25">
      <c r="A108" s="4">
        <v>1869000110</v>
      </c>
      <c r="B108" s="4" t="s">
        <v>710</v>
      </c>
      <c r="C108" s="353">
        <v>1885</v>
      </c>
      <c r="D108" s="356">
        <v>1970</v>
      </c>
      <c r="E108" s="356">
        <v>1074</v>
      </c>
      <c r="F108" s="356">
        <v>2151</v>
      </c>
      <c r="G108" s="356">
        <f>F108*1.015</f>
        <v>2183.2649999999999</v>
      </c>
      <c r="H108" s="88"/>
      <c r="I108" s="144"/>
      <c r="J108"/>
      <c r="K108"/>
    </row>
    <row r="109" spans="1:11" x14ac:dyDescent="0.25">
      <c r="A109" s="4">
        <v>1869100110</v>
      </c>
      <c r="B109" s="4" t="s">
        <v>711</v>
      </c>
      <c r="C109" s="353">
        <v>639</v>
      </c>
      <c r="D109" s="356">
        <v>683</v>
      </c>
      <c r="E109" s="356">
        <v>407</v>
      </c>
      <c r="F109" s="356">
        <v>577</v>
      </c>
      <c r="G109" s="356">
        <f>F109*1.015</f>
        <v>585.65499999999997</v>
      </c>
      <c r="H109" s="88"/>
      <c r="I109" s="144"/>
      <c r="J109"/>
      <c r="K109"/>
    </row>
    <row r="110" spans="1:11" x14ac:dyDescent="0.25">
      <c r="A110" s="554" t="s">
        <v>712</v>
      </c>
      <c r="B110" s="555"/>
      <c r="C110" s="354">
        <f t="shared" ref="C110:D110" si="21">SUM(C108:C109)</f>
        <v>2524</v>
      </c>
      <c r="D110" s="354">
        <f t="shared" si="21"/>
        <v>2653</v>
      </c>
      <c r="E110" s="354">
        <f>SUM(E108:E109)</f>
        <v>1481</v>
      </c>
      <c r="F110" s="354">
        <f>SUM(F108:F109)</f>
        <v>2728</v>
      </c>
      <c r="G110" s="354">
        <f>SUM(G108:G109)</f>
        <v>2768.92</v>
      </c>
      <c r="H110" s="146"/>
      <c r="I110" s="144"/>
      <c r="J110"/>
      <c r="K110"/>
    </row>
    <row r="111" spans="1:11" x14ac:dyDescent="0.25">
      <c r="A111" s="4">
        <v>1879000110</v>
      </c>
      <c r="B111" s="4" t="s">
        <v>868</v>
      </c>
      <c r="C111" s="353">
        <v>964</v>
      </c>
      <c r="D111" s="356">
        <v>998</v>
      </c>
      <c r="E111" s="356">
        <v>456</v>
      </c>
      <c r="F111" s="356">
        <v>920</v>
      </c>
      <c r="G111" s="356">
        <f>F111*1.015</f>
        <v>933.8</v>
      </c>
      <c r="H111" s="88"/>
      <c r="I111" s="144"/>
      <c r="J111"/>
      <c r="K111"/>
    </row>
    <row r="112" spans="1:11" x14ac:dyDescent="0.25">
      <c r="A112" s="554" t="s">
        <v>714</v>
      </c>
      <c r="B112" s="555"/>
      <c r="C112" s="354">
        <f>SUM(C111)</f>
        <v>964</v>
      </c>
      <c r="D112" s="354">
        <f t="shared" ref="D112:E112" si="22">SUM(D111)</f>
        <v>998</v>
      </c>
      <c r="E112" s="354">
        <f t="shared" si="22"/>
        <v>456</v>
      </c>
      <c r="F112" s="354">
        <f>SUM(F111)</f>
        <v>920</v>
      </c>
      <c r="G112" s="354">
        <f>SUM(G111)</f>
        <v>933.8</v>
      </c>
      <c r="H112" s="146"/>
      <c r="I112" s="144"/>
      <c r="J112"/>
      <c r="K112"/>
    </row>
    <row r="113" spans="1:11" x14ac:dyDescent="0.25">
      <c r="A113" s="233">
        <v>1914000110</v>
      </c>
      <c r="B113" s="4" t="s">
        <v>713</v>
      </c>
      <c r="C113" s="355">
        <v>222</v>
      </c>
      <c r="D113" s="356">
        <v>216</v>
      </c>
      <c r="E113" s="356">
        <v>123</v>
      </c>
      <c r="F113" s="356">
        <v>254</v>
      </c>
      <c r="G113" s="356">
        <f>F113*1.015</f>
        <v>257.81</v>
      </c>
      <c r="H113" s="88"/>
      <c r="I113" s="144"/>
      <c r="J113"/>
      <c r="K113"/>
    </row>
    <row r="114" spans="1:11" x14ac:dyDescent="0.25">
      <c r="A114" s="554" t="s">
        <v>714</v>
      </c>
      <c r="B114" s="555"/>
      <c r="C114" s="354">
        <f t="shared" ref="C114" si="23">SUM(C113)</f>
        <v>222</v>
      </c>
      <c r="D114" s="354">
        <f>SUM(D113)</f>
        <v>216</v>
      </c>
      <c r="E114" s="354">
        <f>SUM(E113)</f>
        <v>123</v>
      </c>
      <c r="F114" s="354">
        <f>SUM(F113)</f>
        <v>254</v>
      </c>
      <c r="G114" s="354">
        <f>SUM(G113)</f>
        <v>257.81</v>
      </c>
      <c r="H114" s="146"/>
      <c r="I114" s="144"/>
      <c r="J114"/>
      <c r="K114"/>
    </row>
    <row r="115" spans="1:11" x14ac:dyDescent="0.25">
      <c r="A115" s="4">
        <v>1931000110</v>
      </c>
      <c r="B115" s="233" t="s">
        <v>715</v>
      </c>
      <c r="C115" s="353">
        <v>210</v>
      </c>
      <c r="D115" s="356">
        <v>215</v>
      </c>
      <c r="E115" s="356">
        <v>109</v>
      </c>
      <c r="F115" s="357">
        <v>129</v>
      </c>
      <c r="G115" s="357">
        <v>0</v>
      </c>
      <c r="H115" s="88"/>
      <c r="I115" s="144"/>
      <c r="J115"/>
      <c r="K115"/>
    </row>
    <row r="116" spans="1:11" ht="16.5" customHeight="1" x14ac:dyDescent="0.25">
      <c r="A116" s="4">
        <v>1931100110</v>
      </c>
      <c r="B116" s="4" t="s">
        <v>716</v>
      </c>
      <c r="C116" s="353">
        <v>1515</v>
      </c>
      <c r="D116" s="356">
        <v>1556</v>
      </c>
      <c r="E116" s="356">
        <v>661</v>
      </c>
      <c r="F116" s="356">
        <v>1299</v>
      </c>
      <c r="G116" s="356">
        <f>F116*1.015</f>
        <v>1318.4849999999999</v>
      </c>
      <c r="H116" s="88"/>
      <c r="I116" s="144"/>
      <c r="J116"/>
      <c r="K116"/>
    </row>
    <row r="117" spans="1:11" x14ac:dyDescent="0.25">
      <c r="A117" s="4">
        <v>1938000110</v>
      </c>
      <c r="B117" s="4" t="s">
        <v>717</v>
      </c>
      <c r="C117" s="353">
        <v>1633</v>
      </c>
      <c r="D117" s="356">
        <v>1654</v>
      </c>
      <c r="E117" s="356">
        <v>798</v>
      </c>
      <c r="F117" s="356">
        <v>1560</v>
      </c>
      <c r="G117" s="356">
        <f>F117*1.015</f>
        <v>1583.3999999999999</v>
      </c>
      <c r="H117" s="88"/>
      <c r="I117" s="144"/>
      <c r="J117"/>
      <c r="K117"/>
    </row>
    <row r="118" spans="1:11" x14ac:dyDescent="0.25">
      <c r="A118" s="554" t="s">
        <v>718</v>
      </c>
      <c r="B118" s="555"/>
      <c r="C118" s="354">
        <f t="shared" ref="C118:E118" si="24">SUM(C115:C117)</f>
        <v>3358</v>
      </c>
      <c r="D118" s="354">
        <f t="shared" si="24"/>
        <v>3425</v>
      </c>
      <c r="E118" s="354">
        <f t="shared" si="24"/>
        <v>1568</v>
      </c>
      <c r="F118" s="354">
        <f>SUM(F115:F117)</f>
        <v>2988</v>
      </c>
      <c r="G118" s="354">
        <f>SUM(G115:G117)</f>
        <v>2901.8849999999998</v>
      </c>
      <c r="H118" s="146"/>
      <c r="I118" s="144"/>
      <c r="J118"/>
      <c r="K118"/>
    </row>
    <row r="119" spans="1:11" x14ac:dyDescent="0.25">
      <c r="A119" s="4">
        <v>1943000110</v>
      </c>
      <c r="B119" s="4" t="s">
        <v>719</v>
      </c>
      <c r="C119" s="353">
        <v>764</v>
      </c>
      <c r="D119" s="356">
        <v>826</v>
      </c>
      <c r="E119" s="356">
        <v>455</v>
      </c>
      <c r="F119" s="356">
        <v>895</v>
      </c>
      <c r="G119" s="356">
        <f>F119*1.015</f>
        <v>908.42499999999995</v>
      </c>
      <c r="H119" s="88"/>
      <c r="I119" s="144"/>
      <c r="J119"/>
      <c r="K119"/>
    </row>
    <row r="120" spans="1:11" ht="15" customHeight="1" x14ac:dyDescent="0.25">
      <c r="A120" s="554" t="s">
        <v>720</v>
      </c>
      <c r="B120" s="555"/>
      <c r="C120" s="354">
        <f t="shared" ref="C120" si="25">SUM(C119)</f>
        <v>764</v>
      </c>
      <c r="D120" s="354">
        <f>SUM(D119)</f>
        <v>826</v>
      </c>
      <c r="E120" s="354">
        <f>SUM(E119)</f>
        <v>455</v>
      </c>
      <c r="F120" s="354">
        <f>SUM(F119)</f>
        <v>895</v>
      </c>
      <c r="G120" s="354">
        <f>SUM(G119)</f>
        <v>908.42499999999995</v>
      </c>
      <c r="H120" s="146"/>
      <c r="I120" s="144"/>
      <c r="J120"/>
      <c r="K120"/>
    </row>
    <row r="121" spans="1:11" s="40" customFormat="1" ht="15" customHeight="1" x14ac:dyDescent="0.25">
      <c r="A121" s="368">
        <v>1999000110</v>
      </c>
      <c r="B121" s="368" t="s">
        <v>1224</v>
      </c>
      <c r="C121" s="357">
        <v>2</v>
      </c>
      <c r="D121" s="357">
        <v>0</v>
      </c>
      <c r="E121" s="357">
        <v>4</v>
      </c>
      <c r="F121" s="391">
        <v>4</v>
      </c>
      <c r="G121" s="391">
        <f>F121*1.015</f>
        <v>4.0599999999999996</v>
      </c>
      <c r="H121" s="363"/>
      <c r="I121" s="232"/>
    </row>
    <row r="122" spans="1:11" ht="15" customHeight="1" x14ac:dyDescent="0.25">
      <c r="A122" s="390"/>
      <c r="B122" s="390" t="s">
        <v>721</v>
      </c>
      <c r="C122" s="145">
        <f t="shared" ref="C122:G122" si="26">SUM(C121)</f>
        <v>2</v>
      </c>
      <c r="D122" s="145">
        <f t="shared" si="26"/>
        <v>0</v>
      </c>
      <c r="E122" s="145">
        <f t="shared" si="26"/>
        <v>4</v>
      </c>
      <c r="F122" s="145">
        <f t="shared" si="26"/>
        <v>4</v>
      </c>
      <c r="G122" s="145">
        <f t="shared" si="26"/>
        <v>4.0599999999999996</v>
      </c>
      <c r="H122" s="146"/>
      <c r="I122" s="144"/>
      <c r="J122"/>
      <c r="K122"/>
    </row>
    <row r="123" spans="1:11" s="523" customFormat="1" ht="15" customHeight="1" x14ac:dyDescent="0.25">
      <c r="A123" s="524"/>
      <c r="B123" s="525" t="s">
        <v>1227</v>
      </c>
      <c r="C123" s="526">
        <f t="shared" ref="C123:G123" si="27">C120+C118+C114+C112+C110+C107+C105+C99+C54+C51+C48+C45+C43+C37+C34+C29+C20+C14+C6</f>
        <v>138474.49172999998</v>
      </c>
      <c r="D123" s="526">
        <f t="shared" si="27"/>
        <v>144970</v>
      </c>
      <c r="E123" s="526">
        <f t="shared" si="27"/>
        <v>75021</v>
      </c>
      <c r="F123" s="526">
        <f t="shared" si="27"/>
        <v>146185.40557999999</v>
      </c>
      <c r="G123" s="526">
        <f t="shared" si="27"/>
        <v>148482.68166370003</v>
      </c>
      <c r="H123" s="527"/>
      <c r="I123" s="522"/>
    </row>
    <row r="124" spans="1:11" s="366" customFormat="1" ht="15" customHeight="1" x14ac:dyDescent="0.25">
      <c r="A124" s="350">
        <v>1999000300</v>
      </c>
      <c r="B124" s="364" t="s">
        <v>1223</v>
      </c>
      <c r="C124" s="357">
        <v>27099</v>
      </c>
      <c r="D124" s="357">
        <v>0</v>
      </c>
      <c r="E124" s="357">
        <v>14172</v>
      </c>
      <c r="F124" s="357">
        <v>30290</v>
      </c>
      <c r="G124" s="357">
        <v>30290</v>
      </c>
      <c r="H124" s="142" t="s">
        <v>1230</v>
      </c>
      <c r="I124" s="365"/>
    </row>
    <row r="125" spans="1:11" s="366" customFormat="1" ht="15" customHeight="1" x14ac:dyDescent="0.25">
      <c r="A125" s="84">
        <v>1999200300</v>
      </c>
      <c r="B125" s="231" t="s">
        <v>1225</v>
      </c>
      <c r="C125" s="357">
        <v>179</v>
      </c>
      <c r="D125" s="357">
        <v>0</v>
      </c>
      <c r="E125" s="357">
        <v>185</v>
      </c>
      <c r="F125" s="357">
        <v>0</v>
      </c>
      <c r="G125" s="357">
        <v>0</v>
      </c>
      <c r="H125" s="142"/>
      <c r="I125" s="365"/>
    </row>
    <row r="126" spans="1:11" s="366" customFormat="1" ht="15" customHeight="1" x14ac:dyDescent="0.25">
      <c r="A126" s="84">
        <v>1999999300</v>
      </c>
      <c r="B126" s="231" t="s">
        <v>1226</v>
      </c>
      <c r="C126" s="357">
        <v>-223</v>
      </c>
      <c r="D126" s="357">
        <v>0</v>
      </c>
      <c r="E126" s="357">
        <v>-198</v>
      </c>
      <c r="F126" s="357">
        <v>0</v>
      </c>
      <c r="G126" s="357">
        <v>0</v>
      </c>
      <c r="H126" s="142"/>
      <c r="I126" s="365"/>
    </row>
    <row r="127" spans="1:11" s="366" customFormat="1" ht="15" customHeight="1" x14ac:dyDescent="0.25">
      <c r="A127" s="350">
        <v>1999000310</v>
      </c>
      <c r="B127" s="364" t="str">
        <f>B124</f>
        <v>פנסיה</v>
      </c>
      <c r="C127" s="357">
        <v>73</v>
      </c>
      <c r="D127" s="357">
        <v>28500</v>
      </c>
      <c r="E127" s="357">
        <v>146</v>
      </c>
      <c r="F127" s="357">
        <v>0</v>
      </c>
      <c r="G127" s="357">
        <v>0</v>
      </c>
      <c r="H127" s="142"/>
      <c r="I127" s="365"/>
    </row>
    <row r="128" spans="1:11" s="366" customFormat="1" ht="15" customHeight="1" x14ac:dyDescent="0.25">
      <c r="A128" s="84">
        <v>1999000320</v>
      </c>
      <c r="B128" s="23" t="s">
        <v>989</v>
      </c>
      <c r="C128" s="357">
        <v>546</v>
      </c>
      <c r="D128" s="357">
        <v>0</v>
      </c>
      <c r="E128" s="357">
        <v>1127</v>
      </c>
      <c r="F128" s="357">
        <v>0</v>
      </c>
      <c r="G128" s="357">
        <v>0</v>
      </c>
      <c r="H128" s="142"/>
      <c r="I128" s="365"/>
    </row>
    <row r="129" spans="1:11" s="7" customFormat="1" ht="15" customHeight="1" x14ac:dyDescent="0.25">
      <c r="A129" s="554" t="s">
        <v>1228</v>
      </c>
      <c r="B129" s="554"/>
      <c r="C129" s="369">
        <f t="shared" ref="C129:G129" si="28">SUM(C124:C128)</f>
        <v>27674</v>
      </c>
      <c r="D129" s="369">
        <f t="shared" si="28"/>
        <v>28500</v>
      </c>
      <c r="E129" s="369">
        <f t="shared" si="28"/>
        <v>15432</v>
      </c>
      <c r="F129" s="369">
        <f t="shared" si="28"/>
        <v>30290</v>
      </c>
      <c r="G129" s="369">
        <f t="shared" si="28"/>
        <v>30290</v>
      </c>
      <c r="H129" s="367"/>
      <c r="I129" s="174"/>
    </row>
    <row r="130" spans="1:11" s="7" customFormat="1" ht="15" customHeight="1" x14ac:dyDescent="0.25">
      <c r="A130" s="528"/>
      <c r="B130" s="528" t="s">
        <v>1232</v>
      </c>
      <c r="C130" s="369">
        <f t="shared" ref="C130:G130" si="29">C129+C123</f>
        <v>166148.49172999998</v>
      </c>
      <c r="D130" s="369">
        <f t="shared" si="29"/>
        <v>173470</v>
      </c>
      <c r="E130" s="369">
        <f t="shared" si="29"/>
        <v>90453</v>
      </c>
      <c r="F130" s="369">
        <f t="shared" si="29"/>
        <v>176475.40557999999</v>
      </c>
      <c r="G130" s="369">
        <f t="shared" si="29"/>
        <v>178772.68166370003</v>
      </c>
      <c r="H130" s="367"/>
      <c r="I130" s="174"/>
    </row>
    <row r="131" spans="1:11" x14ac:dyDescent="0.25">
      <c r="A131" s="36"/>
      <c r="E131" s="56"/>
    </row>
    <row r="132" spans="1:11" x14ac:dyDescent="0.25">
      <c r="A132" s="4"/>
      <c r="B132" s="552"/>
      <c r="C132" s="553"/>
      <c r="D132" s="529" t="s">
        <v>1231</v>
      </c>
      <c r="E132" s="529" t="s">
        <v>1058</v>
      </c>
      <c r="F132" s="360"/>
      <c r="G132" s="360"/>
      <c r="H132" s="54"/>
      <c r="I132"/>
      <c r="J132"/>
      <c r="K132"/>
    </row>
    <row r="133" spans="1:11" x14ac:dyDescent="0.25">
      <c r="A133" s="4"/>
      <c r="B133" s="4" t="s">
        <v>1233</v>
      </c>
      <c r="C133" s="4"/>
      <c r="D133" s="400">
        <f>F130</f>
        <v>176475.40557999999</v>
      </c>
      <c r="E133" s="400">
        <f>G130</f>
        <v>178772.68166370003</v>
      </c>
      <c r="F133" s="361"/>
      <c r="G133" s="361"/>
      <c r="H133" s="55"/>
      <c r="I133"/>
      <c r="J133"/>
      <c r="K133"/>
    </row>
    <row r="134" spans="1:11" x14ac:dyDescent="0.25">
      <c r="A134" s="22">
        <v>1721200110</v>
      </c>
      <c r="B134" s="558" t="s">
        <v>723</v>
      </c>
      <c r="C134" s="260">
        <v>3804924.67</v>
      </c>
      <c r="D134" s="358">
        <f>F31+F32</f>
        <v>4321</v>
      </c>
      <c r="E134" s="358">
        <f>G31+G32</f>
        <v>4385.8149999999996</v>
      </c>
      <c r="H134" s="97"/>
      <c r="I134"/>
      <c r="J134"/>
      <c r="K134"/>
    </row>
    <row r="135" spans="1:11" x14ac:dyDescent="0.25">
      <c r="A135" s="22">
        <v>1721100110</v>
      </c>
      <c r="B135" s="558"/>
      <c r="C135" s="260"/>
      <c r="D135" s="358"/>
      <c r="E135" s="358"/>
      <c r="H135" s="97"/>
      <c r="I135"/>
      <c r="J135"/>
      <c r="K135"/>
    </row>
    <row r="136" spans="1:11" x14ac:dyDescent="0.25">
      <c r="A136" s="401">
        <v>1731000110</v>
      </c>
      <c r="B136" s="559" t="s">
        <v>724</v>
      </c>
      <c r="C136" s="402">
        <v>187700</v>
      </c>
      <c r="D136" s="403">
        <v>2208</v>
      </c>
      <c r="E136" s="358">
        <v>2000</v>
      </c>
      <c r="H136" s="97"/>
      <c r="I136" s="37"/>
      <c r="J136"/>
      <c r="K136"/>
    </row>
    <row r="137" spans="1:11" x14ac:dyDescent="0.25">
      <c r="A137" s="401">
        <v>1733000110</v>
      </c>
      <c r="B137" s="559"/>
      <c r="C137" s="402"/>
      <c r="D137" s="403"/>
      <c r="E137" s="358"/>
      <c r="H137" s="97"/>
      <c r="I137" s="37"/>
      <c r="J137"/>
      <c r="K137"/>
    </row>
    <row r="138" spans="1:11" x14ac:dyDescent="0.25">
      <c r="A138" s="150">
        <v>1914000110</v>
      </c>
      <c r="B138" s="444" t="s">
        <v>725</v>
      </c>
      <c r="C138" s="260">
        <v>737300</v>
      </c>
      <c r="D138" s="358">
        <f>F113</f>
        <v>254</v>
      </c>
      <c r="E138" s="358">
        <f>G113</f>
        <v>257.81</v>
      </c>
      <c r="H138" s="97"/>
      <c r="I138"/>
      <c r="J138"/>
      <c r="K138"/>
    </row>
    <row r="139" spans="1:11" x14ac:dyDescent="0.25">
      <c r="A139" s="322"/>
      <c r="B139" s="322"/>
      <c r="C139" s="260"/>
      <c r="D139" s="400"/>
      <c r="E139" s="400"/>
      <c r="F139" s="361"/>
      <c r="G139" s="361"/>
      <c r="H139" s="34"/>
      <c r="I139"/>
      <c r="J139"/>
      <c r="K139"/>
    </row>
    <row r="140" spans="1:11" x14ac:dyDescent="0.25">
      <c r="A140" s="552" t="s">
        <v>1234</v>
      </c>
      <c r="B140" s="553"/>
      <c r="C140" s="173">
        <v>474323</v>
      </c>
      <c r="D140" s="404">
        <f>D133-D134-D136-D138</f>
        <v>169692.40557999999</v>
      </c>
      <c r="E140" s="404">
        <f t="shared" ref="E140" si="30">E133-E134-E136-E138</f>
        <v>172129.05666370003</v>
      </c>
      <c r="F140" s="361"/>
      <c r="G140" s="361"/>
      <c r="H140" s="57"/>
      <c r="I140"/>
      <c r="J140"/>
      <c r="K140"/>
    </row>
    <row r="144" spans="1:11" x14ac:dyDescent="0.25">
      <c r="B144" s="18"/>
    </row>
    <row r="147" spans="6:12" ht="17.399999999999999" x14ac:dyDescent="0.3">
      <c r="F147" s="362"/>
      <c r="G147" s="362"/>
      <c r="H147" s="362"/>
      <c r="I147" s="362"/>
      <c r="J147" s="362"/>
      <c r="K147" s="362"/>
      <c r="L147" s="33"/>
    </row>
  </sheetData>
  <sheetProtection algorithmName="SHA-512" hashValue="5ENBKdO9MtLDGsNgcTdpyyq+YroU4Y2FUNQKMp1GlaO3yQ2SVnlaODfdyPO1az0c3j8m48vf9aSsOriQB6bLzg==" saltValue="5iKp2r6nbYJnY/pvH6rj5g==" spinCount="100000" sheet="1" objects="1" scenarios="1"/>
  <autoFilter ref="F4:G4" xr:uid="{C3A8E1C1-93BA-4B9E-8194-2115289202B0}"/>
  <mergeCells count="25">
    <mergeCell ref="A51:B51"/>
    <mergeCell ref="A110:B110"/>
    <mergeCell ref="A112:B112"/>
    <mergeCell ref="B134:B135"/>
    <mergeCell ref="B136:B137"/>
    <mergeCell ref="A118:B118"/>
    <mergeCell ref="A120:B120"/>
    <mergeCell ref="A129:B129"/>
    <mergeCell ref="A114:B114"/>
    <mergeCell ref="B132:C132"/>
    <mergeCell ref="A34:B34"/>
    <mergeCell ref="A37:B37"/>
    <mergeCell ref="A43:B43"/>
    <mergeCell ref="A45:B45"/>
    <mergeCell ref="A48:B48"/>
    <mergeCell ref="A2:L2"/>
    <mergeCell ref="A6:B6"/>
    <mergeCell ref="A14:B14"/>
    <mergeCell ref="A20:B20"/>
    <mergeCell ref="A29:B29"/>
    <mergeCell ref="A140:B140"/>
    <mergeCell ref="A99:B99"/>
    <mergeCell ref="A105:B105"/>
    <mergeCell ref="A107:B107"/>
    <mergeCell ref="A54:B54"/>
  </mergeCells>
  <pageMargins left="0.23622047244094491" right="0.23622047244094491" top="0.55118110236220474" bottom="0.31496062992125984" header="0.31496062992125984" footer="0.31496062992125984"/>
  <pageSetup paperSize="9" firstPageNumber="8" fitToHeight="0" orientation="portrait" useFirstPageNumber="1" r:id="rId1"/>
  <headerFooter>
    <oddFooter>עמוד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O39"/>
  <sheetViews>
    <sheetView rightToLeft="1" zoomScale="106" zoomScaleNormal="106" workbookViewId="0">
      <selection activeCell="F16" sqref="F16"/>
    </sheetView>
  </sheetViews>
  <sheetFormatPr defaultRowHeight="13.8" x14ac:dyDescent="0.25"/>
  <cols>
    <col min="1" max="1" width="4.59765625" bestFit="1" customWidth="1"/>
    <col min="2" max="2" width="12.09765625" customWidth="1"/>
    <col min="3" max="3" width="20.3984375" customWidth="1"/>
    <col min="4" max="4" width="12.09765625" customWidth="1"/>
    <col min="5" max="5" width="13.8984375" customWidth="1"/>
    <col min="6" max="6" width="15" customWidth="1"/>
    <col min="7" max="7" width="12.796875" customWidth="1"/>
    <col min="8" max="8" width="13.19921875" customWidth="1"/>
    <col min="10" max="10" width="26.59765625" customWidth="1"/>
    <col min="12" max="12" width="10.59765625" bestFit="1" customWidth="1"/>
    <col min="13" max="13" width="12.59765625" customWidth="1"/>
    <col min="15" max="17" width="11.09765625" bestFit="1" customWidth="1"/>
  </cols>
  <sheetData>
    <row r="2" spans="1:15" ht="22.8" x14ac:dyDescent="0.25">
      <c r="B2" s="9">
        <v>410</v>
      </c>
      <c r="C2" s="560" t="s">
        <v>443</v>
      </c>
      <c r="D2" s="560"/>
      <c r="E2" s="560"/>
      <c r="F2" s="560"/>
      <c r="G2" s="560"/>
      <c r="H2" s="560"/>
      <c r="I2" s="530"/>
      <c r="J2" s="530"/>
    </row>
    <row r="3" spans="1:15" x14ac:dyDescent="0.25">
      <c r="D3" s="5"/>
    </row>
    <row r="4" spans="1:15" s="177" customFormat="1" ht="52.2" customHeight="1" x14ac:dyDescent="0.25">
      <c r="A4" s="194" t="s">
        <v>623</v>
      </c>
      <c r="B4" s="194" t="s">
        <v>444</v>
      </c>
      <c r="C4" s="194" t="s">
        <v>398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5" x14ac:dyDescent="0.25">
      <c r="A5" s="4">
        <v>1</v>
      </c>
      <c r="B5" s="4">
        <v>1939000410</v>
      </c>
      <c r="C5" s="4" t="s">
        <v>403</v>
      </c>
      <c r="D5" s="178">
        <v>42</v>
      </c>
      <c r="E5" s="272">
        <f>14*4+4.8*4</f>
        <v>75.2</v>
      </c>
      <c r="F5" s="178">
        <v>76</v>
      </c>
      <c r="G5" s="178">
        <v>84</v>
      </c>
      <c r="H5" s="178">
        <v>84</v>
      </c>
      <c r="M5" s="1"/>
      <c r="N5" s="1"/>
      <c r="O5" s="1"/>
    </row>
    <row r="6" spans="1:15" x14ac:dyDescent="0.25">
      <c r="A6" s="101"/>
      <c r="B6" s="548" t="s">
        <v>433</v>
      </c>
      <c r="C6" s="548"/>
      <c r="D6" s="104">
        <f t="shared" ref="D6:E6" si="0">SUM(D5)</f>
        <v>42</v>
      </c>
      <c r="E6" s="52">
        <f t="shared" si="0"/>
        <v>75.2</v>
      </c>
      <c r="F6" s="176">
        <f>SUM(F5)</f>
        <v>76</v>
      </c>
      <c r="G6" s="175">
        <f>SUM(G5)</f>
        <v>84</v>
      </c>
      <c r="H6" s="175">
        <f>H5</f>
        <v>84</v>
      </c>
    </row>
    <row r="7" spans="1:15" x14ac:dyDescent="0.25">
      <c r="D7" s="5"/>
    </row>
    <row r="8" spans="1:15" x14ac:dyDescent="0.25">
      <c r="D8" s="34"/>
    </row>
    <row r="9" spans="1:15" ht="22.8" x14ac:dyDescent="0.25">
      <c r="B9" s="9">
        <v>440</v>
      </c>
      <c r="C9" s="560" t="s">
        <v>1164</v>
      </c>
      <c r="D9" s="560"/>
      <c r="E9" s="560"/>
      <c r="F9" s="560"/>
      <c r="G9" s="560"/>
      <c r="H9" s="560"/>
      <c r="I9" s="530"/>
      <c r="J9" s="530"/>
    </row>
    <row r="10" spans="1:15" x14ac:dyDescent="0.25">
      <c r="D10" s="5"/>
    </row>
    <row r="11" spans="1:15" x14ac:dyDescent="0.25">
      <c r="D11" s="5"/>
    </row>
    <row r="12" spans="1:15" s="195" customFormat="1" ht="38.4" customHeight="1" x14ac:dyDescent="0.25">
      <c r="A12" s="194" t="s">
        <v>623</v>
      </c>
      <c r="B12" s="194" t="s">
        <v>444</v>
      </c>
      <c r="C12" s="194" t="s">
        <v>398</v>
      </c>
      <c r="D12" s="165" t="s">
        <v>1250</v>
      </c>
      <c r="E12" s="165" t="s">
        <v>1061</v>
      </c>
      <c r="F12" s="165" t="s">
        <v>1059</v>
      </c>
      <c r="G12" s="165" t="s">
        <v>1060</v>
      </c>
      <c r="H12" s="165" t="s">
        <v>1058</v>
      </c>
    </row>
    <row r="13" spans="1:15" x14ac:dyDescent="0.25">
      <c r="A13" s="4">
        <v>1</v>
      </c>
      <c r="B13" s="4">
        <v>1767000440</v>
      </c>
      <c r="C13" s="4" t="s">
        <v>265</v>
      </c>
      <c r="D13" s="178">
        <v>1337</v>
      </c>
      <c r="E13" s="178">
        <v>900</v>
      </c>
      <c r="F13" s="178">
        <v>1037</v>
      </c>
      <c r="G13" s="178">
        <v>1200</v>
      </c>
      <c r="H13" s="184">
        <v>1200</v>
      </c>
      <c r="M13" s="1"/>
      <c r="N13" s="1"/>
      <c r="O13" s="1"/>
    </row>
    <row r="14" spans="1:15" x14ac:dyDescent="0.25">
      <c r="A14" s="4">
        <v>2</v>
      </c>
      <c r="B14" s="4">
        <v>1767100440</v>
      </c>
      <c r="C14" s="4" t="s">
        <v>266</v>
      </c>
      <c r="D14" s="178">
        <v>1749</v>
      </c>
      <c r="E14" s="178">
        <f>1370+294+114+321+84+50</f>
        <v>2233</v>
      </c>
      <c r="F14" s="178">
        <v>1835</v>
      </c>
      <c r="G14" s="178">
        <v>2200</v>
      </c>
      <c r="H14" s="184">
        <v>2200</v>
      </c>
      <c r="M14" s="1"/>
      <c r="N14" s="1"/>
      <c r="O14" s="1"/>
    </row>
    <row r="15" spans="1:15" x14ac:dyDescent="0.25">
      <c r="A15" s="4">
        <v>3</v>
      </c>
      <c r="B15" s="4">
        <v>1723200440</v>
      </c>
      <c r="C15" s="4" t="s">
        <v>547</v>
      </c>
      <c r="D15" s="178">
        <v>10</v>
      </c>
      <c r="E15" s="178">
        <v>10</v>
      </c>
      <c r="F15" s="178">
        <v>0</v>
      </c>
      <c r="G15" s="178">
        <v>10</v>
      </c>
      <c r="H15" s="178">
        <v>10</v>
      </c>
      <c r="M15" s="1"/>
      <c r="N15" s="1"/>
      <c r="O15" s="1"/>
    </row>
    <row r="16" spans="1:15" x14ac:dyDescent="0.25">
      <c r="A16" s="101"/>
      <c r="B16" s="548" t="s">
        <v>433</v>
      </c>
      <c r="C16" s="548"/>
      <c r="D16" s="285">
        <f t="shared" ref="D16:E16" si="1">SUM(D13:D15)</f>
        <v>3096</v>
      </c>
      <c r="E16" s="285">
        <f t="shared" si="1"/>
        <v>3143</v>
      </c>
      <c r="F16" s="286">
        <f>SUM(F13:F15)</f>
        <v>2872</v>
      </c>
      <c r="G16" s="286">
        <f>SUM(G13:G15)</f>
        <v>3410</v>
      </c>
      <c r="H16" s="286">
        <f>SUM(H13:H15)</f>
        <v>3410</v>
      </c>
      <c r="M16" s="1"/>
    </row>
    <row r="17" spans="1:15" x14ac:dyDescent="0.25">
      <c r="D17" s="5"/>
    </row>
    <row r="18" spans="1:15" x14ac:dyDescent="0.25">
      <c r="D18" s="5"/>
    </row>
    <row r="19" spans="1:15" ht="22.8" x14ac:dyDescent="0.25">
      <c r="B19" s="9">
        <v>513</v>
      </c>
      <c r="C19" s="560" t="s">
        <v>409</v>
      </c>
      <c r="D19" s="560"/>
      <c r="E19" s="560"/>
      <c r="F19" s="560"/>
      <c r="G19" s="560"/>
      <c r="H19" s="560"/>
      <c r="I19" s="530"/>
      <c r="J19" s="530"/>
    </row>
    <row r="20" spans="1:15" x14ac:dyDescent="0.25">
      <c r="D20" s="5"/>
    </row>
    <row r="21" spans="1:15" s="195" customFormat="1" ht="31.2" x14ac:dyDescent="0.25">
      <c r="A21" s="194" t="s">
        <v>623</v>
      </c>
      <c r="B21" s="194" t="s">
        <v>444</v>
      </c>
      <c r="C21" s="194" t="s">
        <v>398</v>
      </c>
      <c r="D21" s="165" t="s">
        <v>1250</v>
      </c>
      <c r="E21" s="165" t="s">
        <v>1061</v>
      </c>
      <c r="F21" s="165" t="s">
        <v>1059</v>
      </c>
      <c r="G21" s="165" t="s">
        <v>1060</v>
      </c>
      <c r="H21" s="165" t="s">
        <v>1058</v>
      </c>
    </row>
    <row r="22" spans="1:15" x14ac:dyDescent="0.25">
      <c r="A22" s="4">
        <v>1</v>
      </c>
      <c r="B22" s="4">
        <v>1754000513</v>
      </c>
      <c r="C22" s="4" t="s">
        <v>258</v>
      </c>
      <c r="D22" s="29">
        <v>0</v>
      </c>
      <c r="E22" s="29">
        <v>20</v>
      </c>
      <c r="F22" s="29">
        <v>13</v>
      </c>
      <c r="G22" s="282">
        <f>19-3+1</f>
        <v>17</v>
      </c>
      <c r="H22" s="282">
        <v>17</v>
      </c>
      <c r="M22" s="1"/>
      <c r="N22" s="1"/>
      <c r="O22" s="1"/>
    </row>
    <row r="23" spans="1:15" x14ac:dyDescent="0.25">
      <c r="A23" s="101"/>
      <c r="B23" s="548" t="s">
        <v>433</v>
      </c>
      <c r="C23" s="548"/>
      <c r="D23" s="148">
        <f t="shared" ref="D23" si="2">SUM(D21:D22)</f>
        <v>0</v>
      </c>
      <c r="E23" s="148">
        <f>SUM(E21:E22)</f>
        <v>20</v>
      </c>
      <c r="F23" s="148">
        <f>SUM(F22)</f>
        <v>13</v>
      </c>
      <c r="G23" s="148">
        <f>SUM(G22)</f>
        <v>17</v>
      </c>
      <c r="H23" s="148">
        <f>H22</f>
        <v>17</v>
      </c>
    </row>
    <row r="24" spans="1:15" x14ac:dyDescent="0.25">
      <c r="D24" s="5"/>
    </row>
    <row r="25" spans="1:15" ht="22.8" x14ac:dyDescent="0.25">
      <c r="B25" s="9">
        <v>522</v>
      </c>
      <c r="C25" s="560" t="s">
        <v>446</v>
      </c>
      <c r="D25" s="560"/>
      <c r="E25" s="560"/>
      <c r="F25" s="560"/>
      <c r="G25" s="560"/>
      <c r="H25" s="560"/>
      <c r="I25" s="530"/>
      <c r="J25" s="530"/>
    </row>
    <row r="26" spans="1:15" x14ac:dyDescent="0.25">
      <c r="D26" s="5"/>
    </row>
    <row r="27" spans="1:15" s="195" customFormat="1" ht="31.2" x14ac:dyDescent="0.25">
      <c r="A27" s="194" t="s">
        <v>623</v>
      </c>
      <c r="B27" s="194" t="s">
        <v>444</v>
      </c>
      <c r="C27" s="194" t="s">
        <v>398</v>
      </c>
      <c r="D27" s="165" t="s">
        <v>1250</v>
      </c>
      <c r="E27" s="165" t="s">
        <v>1061</v>
      </c>
      <c r="F27" s="165" t="s">
        <v>1059</v>
      </c>
      <c r="G27" s="165" t="s">
        <v>1060</v>
      </c>
      <c r="H27" s="165" t="s">
        <v>1058</v>
      </c>
    </row>
    <row r="28" spans="1:15" x14ac:dyDescent="0.25">
      <c r="A28" s="4">
        <v>1</v>
      </c>
      <c r="B28" s="4">
        <v>1613000522</v>
      </c>
      <c r="C28" s="4" t="s">
        <v>175</v>
      </c>
      <c r="D28" s="29">
        <v>0</v>
      </c>
      <c r="E28" s="29">
        <v>2</v>
      </c>
      <c r="F28" s="29">
        <v>0</v>
      </c>
      <c r="G28" s="29">
        <v>2</v>
      </c>
      <c r="H28" s="29">
        <v>2</v>
      </c>
      <c r="M28" s="1"/>
      <c r="N28" s="1"/>
      <c r="O28" s="1"/>
    </row>
    <row r="29" spans="1:15" x14ac:dyDescent="0.25">
      <c r="A29" s="4">
        <v>2</v>
      </c>
      <c r="B29" s="4">
        <v>1617000522</v>
      </c>
      <c r="C29" s="4" t="s">
        <v>187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L29" s="1"/>
      <c r="M29" s="1"/>
      <c r="N29" s="1"/>
      <c r="O29" s="1"/>
    </row>
    <row r="30" spans="1:15" x14ac:dyDescent="0.25">
      <c r="A30" s="4">
        <v>3</v>
      </c>
      <c r="B30" s="4">
        <v>1621000522</v>
      </c>
      <c r="C30" s="4" t="s">
        <v>187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M30" s="1"/>
    </row>
    <row r="31" spans="1:15" x14ac:dyDescent="0.25">
      <c r="A31" s="101"/>
      <c r="B31" s="548" t="s">
        <v>433</v>
      </c>
      <c r="C31" s="548"/>
      <c r="D31" s="147">
        <f t="shared" ref="D31:H31" si="3">SUM(D28:D30)</f>
        <v>0</v>
      </c>
      <c r="E31" s="147">
        <f t="shared" si="3"/>
        <v>2</v>
      </c>
      <c r="F31" s="147">
        <f t="shared" si="3"/>
        <v>0</v>
      </c>
      <c r="G31" s="147">
        <f t="shared" si="3"/>
        <v>2</v>
      </c>
      <c r="H31" s="147">
        <f t="shared" si="3"/>
        <v>2</v>
      </c>
    </row>
    <row r="32" spans="1:15" x14ac:dyDescent="0.25">
      <c r="D32" s="5"/>
    </row>
    <row r="34" spans="5:6" ht="20.399999999999999" x14ac:dyDescent="0.35">
      <c r="F34" s="48"/>
    </row>
    <row r="39" spans="5:6" ht="17.399999999999999" x14ac:dyDescent="0.3">
      <c r="E39" s="6"/>
    </row>
  </sheetData>
  <sheetProtection algorithmName="SHA-512" hashValue="Vav8eRwd6Eg1m8nZlmGRlaWUWr6kie8IYBRZKCKCBpb5jUat7o0YeB5Q5/JaRgguC2q1dDB1XXJPArzF6VLU6w==" saltValue="qqIeL5bCOVYIQHvZLxSdOQ==" spinCount="100000" sheet="1" objects="1" scenarios="1"/>
  <mergeCells count="8">
    <mergeCell ref="B6:C6"/>
    <mergeCell ref="B16:C16"/>
    <mergeCell ref="B23:C23"/>
    <mergeCell ref="B31:C31"/>
    <mergeCell ref="C2:H2"/>
    <mergeCell ref="C9:H9"/>
    <mergeCell ref="C19:H19"/>
    <mergeCell ref="C25:H25"/>
  </mergeCells>
  <pageMargins left="0.27559055118110237" right="0.39370078740157483" top="0.74803149606299213" bottom="0.74803149606299213" header="0.31496062992125984" footer="0.31496062992125984"/>
  <pageSetup paperSize="9" firstPageNumber="12" fitToWidth="0" orientation="portrait" useFirstPageNumber="1" r:id="rId1"/>
  <headerFooter>
    <oddFooter>עמוד &amp;P</oddFooter>
  </headerFooter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O110"/>
  <sheetViews>
    <sheetView rightToLeft="1" topLeftCell="A93" zoomScale="110" zoomScaleNormal="110" zoomScaleSheetLayoutView="65" workbookViewId="0">
      <selection activeCell="F11" sqref="F11"/>
    </sheetView>
  </sheetViews>
  <sheetFormatPr defaultRowHeight="13.8" x14ac:dyDescent="0.25"/>
  <cols>
    <col min="1" max="1" width="4.09765625" customWidth="1"/>
    <col min="2" max="2" width="12.59765625" bestFit="1" customWidth="1"/>
    <col min="3" max="3" width="25.19921875" customWidth="1"/>
    <col min="4" max="4" width="12.69921875" customWidth="1"/>
    <col min="5" max="5" width="16.19921875" customWidth="1"/>
    <col min="6" max="6" width="14.59765625" style="37" customWidth="1"/>
    <col min="7" max="7" width="13.5" customWidth="1"/>
    <col min="8" max="8" width="13.59765625" customWidth="1"/>
    <col min="9" max="9" width="20.8984375" customWidth="1"/>
    <col min="10" max="13" width="8.796875" customWidth="1"/>
    <col min="14" max="14" width="6.59765625" customWidth="1"/>
    <col min="15" max="15" width="12.09765625" customWidth="1"/>
  </cols>
  <sheetData>
    <row r="2" spans="1:15" ht="22.8" x14ac:dyDescent="0.4">
      <c r="B2" s="24">
        <v>840</v>
      </c>
      <c r="C2" s="560" t="s">
        <v>486</v>
      </c>
      <c r="D2" s="560"/>
      <c r="E2" s="560"/>
      <c r="F2" s="560"/>
      <c r="G2" s="560"/>
      <c r="H2" s="560"/>
      <c r="I2" s="530"/>
      <c r="J2" s="530"/>
      <c r="K2" s="530"/>
      <c r="L2" s="530"/>
      <c r="M2" s="530"/>
      <c r="N2" s="530"/>
      <c r="O2" s="530"/>
    </row>
    <row r="3" spans="1:15" ht="19.95" customHeight="1" x14ac:dyDescent="0.25">
      <c r="D3" s="203"/>
      <c r="E3" s="204"/>
      <c r="F3" s="203"/>
      <c r="G3" s="203"/>
      <c r="H3" s="203"/>
      <c r="I3" s="203"/>
      <c r="J3" s="203"/>
      <c r="K3" s="203"/>
      <c r="L3" s="203"/>
      <c r="M3" s="203"/>
      <c r="N3" s="203"/>
      <c r="O3" s="203"/>
    </row>
    <row r="4" spans="1:15" s="195" customFormat="1" ht="47.4" customHeight="1" x14ac:dyDescent="0.25">
      <c r="A4" s="194" t="s">
        <v>623</v>
      </c>
      <c r="B4" s="194" t="s">
        <v>1251</v>
      </c>
      <c r="C4" s="194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5" x14ac:dyDescent="0.25">
      <c r="A5" s="4">
        <v>1</v>
      </c>
      <c r="B5" s="4">
        <v>1841020840</v>
      </c>
      <c r="C5" s="4" t="s">
        <v>60</v>
      </c>
      <c r="D5" s="90">
        <v>0</v>
      </c>
      <c r="E5" s="90">
        <v>136</v>
      </c>
      <c r="F5" s="131">
        <v>0</v>
      </c>
      <c r="G5" s="131">
        <v>136</v>
      </c>
      <c r="H5" s="4">
        <v>136</v>
      </c>
    </row>
    <row r="6" spans="1:15" x14ac:dyDescent="0.25">
      <c r="A6" s="4">
        <v>2</v>
      </c>
      <c r="B6" s="4">
        <v>1841050840</v>
      </c>
      <c r="C6" s="4" t="s">
        <v>902</v>
      </c>
      <c r="D6" s="90">
        <v>0</v>
      </c>
      <c r="E6" s="90">
        <v>121.04</v>
      </c>
      <c r="F6" s="131">
        <v>0</v>
      </c>
      <c r="G6" s="131">
        <v>219</v>
      </c>
      <c r="H6" s="4">
        <v>219</v>
      </c>
    </row>
    <row r="7" spans="1:15" x14ac:dyDescent="0.25">
      <c r="A7" s="4">
        <v>3</v>
      </c>
      <c r="B7" s="4">
        <v>1841200840</v>
      </c>
      <c r="C7" s="4" t="s">
        <v>61</v>
      </c>
      <c r="D7" s="90">
        <f>2+13+8</f>
        <v>23</v>
      </c>
      <c r="E7" s="90">
        <v>454.24</v>
      </c>
      <c r="F7" s="131">
        <v>0</v>
      </c>
      <c r="G7" s="131">
        <v>454</v>
      </c>
      <c r="H7" s="4">
        <v>454</v>
      </c>
    </row>
    <row r="8" spans="1:15" x14ac:dyDescent="0.25">
      <c r="A8" s="4">
        <v>4</v>
      </c>
      <c r="B8" s="4">
        <v>1841300840</v>
      </c>
      <c r="C8" s="4" t="s">
        <v>1124</v>
      </c>
      <c r="D8" s="90">
        <v>60</v>
      </c>
      <c r="E8" s="90">
        <v>40.800000000000004</v>
      </c>
      <c r="F8" s="131">
        <v>40</v>
      </c>
      <c r="G8" s="131">
        <v>73</v>
      </c>
      <c r="H8" s="4">
        <v>73</v>
      </c>
    </row>
    <row r="9" spans="1:15" x14ac:dyDescent="0.25">
      <c r="A9" s="4">
        <v>5</v>
      </c>
      <c r="B9" s="4">
        <v>1842210840</v>
      </c>
      <c r="C9" s="4" t="s">
        <v>62</v>
      </c>
      <c r="D9" s="90">
        <v>712</v>
      </c>
      <c r="E9" s="90">
        <v>504.56</v>
      </c>
      <c r="F9" s="131">
        <v>9</v>
      </c>
      <c r="G9" s="131">
        <v>467</v>
      </c>
      <c r="H9" s="4">
        <v>467</v>
      </c>
    </row>
    <row r="10" spans="1:15" x14ac:dyDescent="0.25">
      <c r="A10" s="4">
        <v>6</v>
      </c>
      <c r="B10" s="4">
        <v>1842220840</v>
      </c>
      <c r="C10" s="4" t="s">
        <v>336</v>
      </c>
      <c r="D10" s="90">
        <v>170</v>
      </c>
      <c r="E10" s="90">
        <v>176.79999999999998</v>
      </c>
      <c r="F10" s="131">
        <v>97</v>
      </c>
      <c r="G10" s="131">
        <v>89</v>
      </c>
      <c r="H10" s="4">
        <v>89</v>
      </c>
    </row>
    <row r="11" spans="1:15" x14ac:dyDescent="0.25">
      <c r="A11" s="4">
        <v>7</v>
      </c>
      <c r="B11" s="4">
        <v>1842240840</v>
      </c>
      <c r="C11" s="4" t="s">
        <v>337</v>
      </c>
      <c r="D11" s="90">
        <v>223</v>
      </c>
      <c r="E11" s="90">
        <v>122.39999999999999</v>
      </c>
      <c r="F11" s="131">
        <v>98</v>
      </c>
      <c r="G11" s="131">
        <v>204</v>
      </c>
      <c r="H11" s="4">
        <v>204</v>
      </c>
    </row>
    <row r="12" spans="1:15" x14ac:dyDescent="0.25">
      <c r="A12" s="4">
        <v>8</v>
      </c>
      <c r="B12" s="4">
        <v>1842290840</v>
      </c>
      <c r="C12" s="4" t="s">
        <v>65</v>
      </c>
      <c r="D12" s="90">
        <f>13+12</f>
        <v>25</v>
      </c>
      <c r="E12" s="90">
        <v>54.4</v>
      </c>
      <c r="F12" s="131">
        <v>29</v>
      </c>
      <c r="G12" s="446">
        <f>51.3-0.3</f>
        <v>51</v>
      </c>
      <c r="H12" s="163">
        <v>51</v>
      </c>
    </row>
    <row r="13" spans="1:15" s="30" customFormat="1" x14ac:dyDescent="0.25">
      <c r="A13" s="4">
        <v>9</v>
      </c>
      <c r="B13" s="4">
        <v>1842292840</v>
      </c>
      <c r="C13" s="4" t="s">
        <v>894</v>
      </c>
      <c r="D13" s="90">
        <v>21</v>
      </c>
      <c r="E13" s="90">
        <v>130.56</v>
      </c>
      <c r="F13" s="131">
        <v>38</v>
      </c>
      <c r="G13" s="131">
        <v>114</v>
      </c>
      <c r="H13" s="163">
        <v>114</v>
      </c>
    </row>
    <row r="14" spans="1:15" s="30" customFormat="1" x14ac:dyDescent="0.25">
      <c r="A14" s="4">
        <v>10</v>
      </c>
      <c r="B14" s="4">
        <v>1842293840</v>
      </c>
      <c r="C14" s="4" t="s">
        <v>903</v>
      </c>
      <c r="D14" s="90">
        <v>0</v>
      </c>
      <c r="E14" s="90">
        <v>40.800000000000004</v>
      </c>
      <c r="F14" s="131">
        <v>0</v>
      </c>
      <c r="G14" s="131">
        <v>41</v>
      </c>
      <c r="H14" s="163">
        <v>41</v>
      </c>
    </row>
    <row r="15" spans="1:15" x14ac:dyDescent="0.25">
      <c r="A15" s="4">
        <v>11</v>
      </c>
      <c r="B15" s="4">
        <v>1842410840</v>
      </c>
      <c r="C15" s="4" t="s">
        <v>338</v>
      </c>
      <c r="D15" s="90">
        <v>50</v>
      </c>
      <c r="E15" s="90">
        <v>178.16</v>
      </c>
      <c r="F15" s="131">
        <v>0</v>
      </c>
      <c r="G15" s="131">
        <v>178</v>
      </c>
      <c r="H15" s="4">
        <v>178</v>
      </c>
    </row>
    <row r="16" spans="1:15" x14ac:dyDescent="0.25">
      <c r="A16" s="4">
        <v>12</v>
      </c>
      <c r="B16" s="4">
        <v>1842420840</v>
      </c>
      <c r="C16" s="4" t="s">
        <v>339</v>
      </c>
      <c r="D16" s="90">
        <v>38</v>
      </c>
      <c r="E16" s="90">
        <v>88</v>
      </c>
      <c r="F16" s="131">
        <v>6</v>
      </c>
      <c r="G16" s="131">
        <v>143</v>
      </c>
      <c r="H16" s="4">
        <v>143</v>
      </c>
    </row>
    <row r="17" spans="1:8" x14ac:dyDescent="0.25">
      <c r="A17" s="4">
        <v>13</v>
      </c>
      <c r="B17" s="4">
        <v>1842430840</v>
      </c>
      <c r="C17" s="4" t="s">
        <v>69</v>
      </c>
      <c r="D17" s="90">
        <v>11</v>
      </c>
      <c r="E17" s="90">
        <v>363.12000000000006</v>
      </c>
      <c r="F17" s="131">
        <v>0</v>
      </c>
      <c r="G17" s="131">
        <v>363</v>
      </c>
      <c r="H17" s="4">
        <v>363</v>
      </c>
    </row>
    <row r="18" spans="1:8" x14ac:dyDescent="0.25">
      <c r="A18" s="4">
        <v>14</v>
      </c>
      <c r="B18" s="4">
        <v>1842431840</v>
      </c>
      <c r="C18" s="4" t="s">
        <v>340</v>
      </c>
      <c r="D18" s="90">
        <v>17</v>
      </c>
      <c r="E18" s="90">
        <v>32.64</v>
      </c>
      <c r="F18" s="131">
        <v>0</v>
      </c>
      <c r="G18" s="131">
        <v>33</v>
      </c>
      <c r="H18" s="4">
        <v>33</v>
      </c>
    </row>
    <row r="19" spans="1:8" x14ac:dyDescent="0.25">
      <c r="A19" s="4">
        <v>15</v>
      </c>
      <c r="B19" s="4">
        <v>1842432840</v>
      </c>
      <c r="C19" s="4" t="s">
        <v>341</v>
      </c>
      <c r="D19" s="90">
        <v>52</v>
      </c>
      <c r="E19" s="90">
        <v>346.8</v>
      </c>
      <c r="F19" s="131">
        <v>29</v>
      </c>
      <c r="G19" s="131">
        <v>151</v>
      </c>
      <c r="H19" s="4">
        <v>151</v>
      </c>
    </row>
    <row r="20" spans="1:8" x14ac:dyDescent="0.25">
      <c r="A20" s="4">
        <v>16</v>
      </c>
      <c r="B20" s="4">
        <v>1842433840</v>
      </c>
      <c r="C20" s="4" t="s">
        <v>71</v>
      </c>
      <c r="D20" s="90">
        <v>134</v>
      </c>
      <c r="E20" s="90">
        <v>16.32</v>
      </c>
      <c r="F20" s="131">
        <v>15</v>
      </c>
      <c r="G20" s="131">
        <v>17</v>
      </c>
      <c r="H20" s="4">
        <v>17</v>
      </c>
    </row>
    <row r="21" spans="1:8" x14ac:dyDescent="0.25">
      <c r="A21" s="4">
        <v>17</v>
      </c>
      <c r="B21" s="4">
        <v>1842441840</v>
      </c>
      <c r="C21" s="4" t="s">
        <v>73</v>
      </c>
      <c r="D21" s="90">
        <v>175</v>
      </c>
      <c r="E21" s="90">
        <v>261.12</v>
      </c>
      <c r="F21" s="131">
        <v>41</v>
      </c>
      <c r="G21" s="131">
        <v>261</v>
      </c>
      <c r="H21" s="4">
        <v>261</v>
      </c>
    </row>
    <row r="22" spans="1:8" s="30" customFormat="1" x14ac:dyDescent="0.25">
      <c r="A22" s="4">
        <v>18</v>
      </c>
      <c r="B22" s="4">
        <v>1842451840</v>
      </c>
      <c r="C22" s="4" t="s">
        <v>895</v>
      </c>
      <c r="D22" s="90">
        <v>11</v>
      </c>
      <c r="E22" s="90">
        <v>34</v>
      </c>
      <c r="F22" s="131">
        <v>0</v>
      </c>
      <c r="G22" s="131">
        <v>34</v>
      </c>
      <c r="H22" s="163">
        <v>34</v>
      </c>
    </row>
    <row r="23" spans="1:8" s="30" customFormat="1" x14ac:dyDescent="0.25">
      <c r="A23" s="4">
        <v>19</v>
      </c>
      <c r="B23" s="233">
        <v>1842452840</v>
      </c>
      <c r="C23" s="233" t="s">
        <v>1109</v>
      </c>
      <c r="D23" s="243">
        <v>0</v>
      </c>
      <c r="E23" s="243">
        <v>372</v>
      </c>
      <c r="F23" s="244">
        <v>-55</v>
      </c>
      <c r="G23" s="131">
        <v>372</v>
      </c>
      <c r="H23" s="163">
        <v>372</v>
      </c>
    </row>
    <row r="24" spans="1:8" s="246" customFormat="1" x14ac:dyDescent="0.25">
      <c r="A24" s="4">
        <v>20</v>
      </c>
      <c r="B24" s="233">
        <v>1842453840</v>
      </c>
      <c r="C24" s="233" t="s">
        <v>1125</v>
      </c>
      <c r="D24" s="90">
        <v>0</v>
      </c>
      <c r="E24" s="243">
        <v>72</v>
      </c>
      <c r="F24" s="244">
        <v>2</v>
      </c>
      <c r="G24" s="244">
        <v>72</v>
      </c>
      <c r="H24" s="279">
        <v>72</v>
      </c>
    </row>
    <row r="25" spans="1:8" x14ac:dyDescent="0.25">
      <c r="A25" s="4">
        <v>21</v>
      </c>
      <c r="B25" s="4">
        <v>1843501840</v>
      </c>
      <c r="C25" s="4" t="s">
        <v>365</v>
      </c>
      <c r="D25" s="90">
        <v>0</v>
      </c>
      <c r="E25" s="90">
        <v>9.5200000000000014</v>
      </c>
      <c r="F25" s="131">
        <v>4</v>
      </c>
      <c r="G25" s="131">
        <v>24</v>
      </c>
      <c r="H25" s="4">
        <v>24</v>
      </c>
    </row>
    <row r="26" spans="1:8" x14ac:dyDescent="0.25">
      <c r="A26" s="4">
        <v>22</v>
      </c>
      <c r="B26" s="4">
        <v>1843502840</v>
      </c>
      <c r="C26" s="4" t="s">
        <v>613</v>
      </c>
      <c r="D26" s="90">
        <v>0</v>
      </c>
      <c r="E26" s="90">
        <v>304.64000000000004</v>
      </c>
      <c r="F26" s="131">
        <v>73</v>
      </c>
      <c r="G26" s="131">
        <v>299</v>
      </c>
      <c r="H26" s="4">
        <v>299</v>
      </c>
    </row>
    <row r="27" spans="1:8" x14ac:dyDescent="0.25">
      <c r="A27" s="4">
        <v>23</v>
      </c>
      <c r="B27" s="4">
        <v>1843510840</v>
      </c>
      <c r="C27" s="4" t="s">
        <v>78</v>
      </c>
      <c r="D27" s="90">
        <v>399</v>
      </c>
      <c r="E27" s="90">
        <v>344.08</v>
      </c>
      <c r="F27" s="131">
        <v>236</v>
      </c>
      <c r="G27" s="131">
        <v>387</v>
      </c>
      <c r="H27" s="4">
        <v>387</v>
      </c>
    </row>
    <row r="28" spans="1:8" x14ac:dyDescent="0.25">
      <c r="A28" s="4">
        <v>24</v>
      </c>
      <c r="B28" s="4">
        <v>1843520840</v>
      </c>
      <c r="C28" s="4" t="s">
        <v>342</v>
      </c>
      <c r="D28" s="90">
        <v>10</v>
      </c>
      <c r="E28" s="90">
        <v>164.56</v>
      </c>
      <c r="F28" s="131">
        <v>0</v>
      </c>
      <c r="G28" s="131">
        <v>165</v>
      </c>
      <c r="H28" s="4">
        <v>165</v>
      </c>
    </row>
    <row r="29" spans="1:8" x14ac:dyDescent="0.25">
      <c r="A29" s="4">
        <v>25</v>
      </c>
      <c r="B29" s="4">
        <v>1843530840</v>
      </c>
      <c r="C29" s="4" t="s">
        <v>80</v>
      </c>
      <c r="D29" s="90">
        <v>752</v>
      </c>
      <c r="E29" s="90">
        <v>761.6</v>
      </c>
      <c r="F29" s="131">
        <v>359</v>
      </c>
      <c r="G29" s="131">
        <v>623</v>
      </c>
      <c r="H29" s="4">
        <v>623</v>
      </c>
    </row>
    <row r="30" spans="1:8" x14ac:dyDescent="0.25">
      <c r="A30" s="4">
        <v>26</v>
      </c>
      <c r="B30" s="4">
        <v>1843532840</v>
      </c>
      <c r="C30" s="4" t="s">
        <v>343</v>
      </c>
      <c r="D30" s="90">
        <v>0</v>
      </c>
      <c r="E30" s="90">
        <v>13.6</v>
      </c>
      <c r="F30" s="131">
        <v>0</v>
      </c>
      <c r="G30" s="131">
        <v>14</v>
      </c>
      <c r="H30" s="4">
        <v>14</v>
      </c>
    </row>
    <row r="31" spans="1:8" x14ac:dyDescent="0.25">
      <c r="A31" s="4">
        <v>27</v>
      </c>
      <c r="B31" s="4">
        <v>1843540840</v>
      </c>
      <c r="C31" s="4" t="s">
        <v>81</v>
      </c>
      <c r="D31" s="90">
        <v>10</v>
      </c>
      <c r="E31" s="90">
        <v>239.36</v>
      </c>
      <c r="F31" s="131">
        <v>0</v>
      </c>
      <c r="G31" s="131">
        <v>230</v>
      </c>
      <c r="H31" s="4">
        <v>230</v>
      </c>
    </row>
    <row r="32" spans="1:8" x14ac:dyDescent="0.25">
      <c r="A32" s="4">
        <v>28</v>
      </c>
      <c r="B32" s="4">
        <v>1843550840</v>
      </c>
      <c r="C32" s="4" t="s">
        <v>82</v>
      </c>
      <c r="D32" s="90">
        <f>309-13</f>
        <v>296</v>
      </c>
      <c r="E32" s="90">
        <v>492.32</v>
      </c>
      <c r="F32" s="131">
        <v>17</v>
      </c>
      <c r="G32" s="131">
        <v>604</v>
      </c>
      <c r="H32" s="4">
        <v>604</v>
      </c>
    </row>
    <row r="33" spans="1:8" x14ac:dyDescent="0.25">
      <c r="A33" s="4">
        <v>29</v>
      </c>
      <c r="B33" s="4">
        <v>1843551840</v>
      </c>
      <c r="C33" s="4" t="s">
        <v>83</v>
      </c>
      <c r="D33" s="90">
        <v>43</v>
      </c>
      <c r="E33" s="90">
        <v>136</v>
      </c>
      <c r="F33" s="131">
        <v>166</v>
      </c>
      <c r="G33" s="131">
        <v>437</v>
      </c>
      <c r="H33" s="4">
        <v>437</v>
      </c>
    </row>
    <row r="34" spans="1:8" s="30" customFormat="1" x14ac:dyDescent="0.25">
      <c r="A34" s="4">
        <v>30</v>
      </c>
      <c r="B34" s="4">
        <v>1843552840</v>
      </c>
      <c r="C34" s="4" t="s">
        <v>898</v>
      </c>
      <c r="D34" s="90">
        <v>1</v>
      </c>
      <c r="E34" s="90">
        <v>48.96</v>
      </c>
      <c r="F34" s="131">
        <v>3</v>
      </c>
      <c r="G34" s="131">
        <v>130</v>
      </c>
      <c r="H34" s="163">
        <v>130</v>
      </c>
    </row>
    <row r="35" spans="1:8" s="30" customFormat="1" x14ac:dyDescent="0.25">
      <c r="A35" s="4">
        <v>31</v>
      </c>
      <c r="B35" s="4">
        <v>1843553840</v>
      </c>
      <c r="C35" s="4" t="s">
        <v>904</v>
      </c>
      <c r="D35" s="90">
        <v>0</v>
      </c>
      <c r="E35" s="90">
        <v>216.24</v>
      </c>
      <c r="F35" s="131">
        <v>0</v>
      </c>
      <c r="G35" s="131">
        <v>216</v>
      </c>
      <c r="H35" s="163">
        <v>216</v>
      </c>
    </row>
    <row r="36" spans="1:8" s="30" customFormat="1" x14ac:dyDescent="0.25">
      <c r="A36" s="4">
        <v>32</v>
      </c>
      <c r="B36" s="4">
        <v>1843581840</v>
      </c>
      <c r="C36" s="4" t="s">
        <v>1126</v>
      </c>
      <c r="D36" s="90">
        <v>0</v>
      </c>
      <c r="E36" s="90">
        <v>1</v>
      </c>
      <c r="F36" s="131">
        <v>1</v>
      </c>
      <c r="G36" s="131">
        <v>1</v>
      </c>
      <c r="H36" s="163">
        <v>1</v>
      </c>
    </row>
    <row r="37" spans="1:8" x14ac:dyDescent="0.25">
      <c r="A37" s="4">
        <v>33</v>
      </c>
      <c r="B37" s="4">
        <v>1843810840</v>
      </c>
      <c r="C37" s="4" t="s">
        <v>84</v>
      </c>
      <c r="D37" s="90">
        <v>4449</v>
      </c>
      <c r="E37" s="90">
        <v>4108.5600000000004</v>
      </c>
      <c r="F37" s="131">
        <v>2339</v>
      </c>
      <c r="G37" s="131">
        <v>4325</v>
      </c>
      <c r="H37" s="163">
        <v>4325</v>
      </c>
    </row>
    <row r="38" spans="1:8" x14ac:dyDescent="0.25">
      <c r="A38" s="4">
        <v>34</v>
      </c>
      <c r="B38" s="4">
        <v>1843820840</v>
      </c>
      <c r="C38" s="4" t="s">
        <v>85</v>
      </c>
      <c r="D38" s="90">
        <v>130</v>
      </c>
      <c r="E38" s="90">
        <v>127.83999999999999</v>
      </c>
      <c r="F38" s="131">
        <v>35</v>
      </c>
      <c r="G38" s="131">
        <v>128</v>
      </c>
      <c r="H38" s="163">
        <v>128</v>
      </c>
    </row>
    <row r="39" spans="1:8" x14ac:dyDescent="0.25">
      <c r="A39" s="4">
        <v>35</v>
      </c>
      <c r="B39" s="4">
        <v>1843910840</v>
      </c>
      <c r="C39" s="4" t="s">
        <v>86</v>
      </c>
      <c r="D39" s="90">
        <v>1047</v>
      </c>
      <c r="E39" s="90">
        <v>977.84</v>
      </c>
      <c r="F39" s="131">
        <v>546</v>
      </c>
      <c r="G39" s="131">
        <v>978</v>
      </c>
      <c r="H39" s="163">
        <v>978</v>
      </c>
    </row>
    <row r="40" spans="1:8" x14ac:dyDescent="0.25">
      <c r="A40" s="4">
        <v>36</v>
      </c>
      <c r="B40" s="4">
        <v>1844310840</v>
      </c>
      <c r="C40" s="4" t="s">
        <v>344</v>
      </c>
      <c r="D40" s="90">
        <v>4242</v>
      </c>
      <c r="E40" s="90">
        <v>2774.4</v>
      </c>
      <c r="F40" s="131">
        <v>2041</v>
      </c>
      <c r="G40" s="131">
        <v>2774</v>
      </c>
      <c r="H40" s="163">
        <v>2774</v>
      </c>
    </row>
    <row r="41" spans="1:8" x14ac:dyDescent="0.25">
      <c r="A41" s="4">
        <v>37</v>
      </c>
      <c r="B41" s="4">
        <v>1844413840</v>
      </c>
      <c r="C41" s="4" t="s">
        <v>609</v>
      </c>
      <c r="D41" s="90">
        <v>5</v>
      </c>
      <c r="E41" s="90">
        <v>5</v>
      </c>
      <c r="F41" s="131">
        <v>5</v>
      </c>
      <c r="G41" s="131">
        <v>5</v>
      </c>
      <c r="H41" s="163">
        <v>5</v>
      </c>
    </row>
    <row r="42" spans="1:8" x14ac:dyDescent="0.25">
      <c r="A42" s="4">
        <v>38</v>
      </c>
      <c r="B42" s="4">
        <v>1844414840</v>
      </c>
      <c r="C42" s="4" t="s">
        <v>88</v>
      </c>
      <c r="D42" s="90">
        <v>0</v>
      </c>
      <c r="E42" s="90">
        <v>288.32</v>
      </c>
      <c r="F42" s="131">
        <v>82</v>
      </c>
      <c r="G42" s="131">
        <v>49</v>
      </c>
      <c r="H42" s="163">
        <v>49</v>
      </c>
    </row>
    <row r="43" spans="1:8" x14ac:dyDescent="0.25">
      <c r="A43" s="4">
        <v>39</v>
      </c>
      <c r="B43" s="4">
        <v>1844418840</v>
      </c>
      <c r="C43" s="4" t="s">
        <v>1110</v>
      </c>
      <c r="D43" s="90">
        <v>108</v>
      </c>
      <c r="E43" s="90">
        <f>1510+61</f>
        <v>1571</v>
      </c>
      <c r="F43" s="131">
        <f>445+2</f>
        <v>447</v>
      </c>
      <c r="G43" s="131">
        <v>1510</v>
      </c>
      <c r="H43" s="163">
        <v>1510</v>
      </c>
    </row>
    <row r="44" spans="1:8" x14ac:dyDescent="0.25">
      <c r="A44" s="4">
        <v>40</v>
      </c>
      <c r="B44" s="4">
        <v>1844420840</v>
      </c>
      <c r="C44" s="233" t="s">
        <v>345</v>
      </c>
      <c r="D44" s="90">
        <f>27+327</f>
        <v>354</v>
      </c>
      <c r="E44" s="90">
        <f>39+442</f>
        <v>481</v>
      </c>
      <c r="F44" s="131">
        <v>27</v>
      </c>
      <c r="G44" s="131">
        <v>39</v>
      </c>
      <c r="H44" s="163">
        <v>39</v>
      </c>
    </row>
    <row r="45" spans="1:8" x14ac:dyDescent="0.25">
      <c r="A45" s="4">
        <v>41</v>
      </c>
      <c r="B45" s="4">
        <v>1844425840</v>
      </c>
      <c r="C45" s="4" t="s">
        <v>873</v>
      </c>
      <c r="D45" s="90">
        <v>21</v>
      </c>
      <c r="E45" s="90">
        <v>21.76</v>
      </c>
      <c r="F45" s="131">
        <v>0</v>
      </c>
      <c r="G45" s="131">
        <v>22</v>
      </c>
      <c r="H45" s="163">
        <v>22</v>
      </c>
    </row>
    <row r="46" spans="1:8" x14ac:dyDescent="0.25">
      <c r="A46" s="4">
        <v>42</v>
      </c>
      <c r="B46" s="4">
        <v>1844440840</v>
      </c>
      <c r="C46" s="233" t="s">
        <v>346</v>
      </c>
      <c r="D46" s="90">
        <v>130</v>
      </c>
      <c r="E46" s="90">
        <v>112.88</v>
      </c>
      <c r="F46" s="131">
        <v>50</v>
      </c>
      <c r="G46" s="131">
        <v>48</v>
      </c>
      <c r="H46" s="163">
        <v>48</v>
      </c>
    </row>
    <row r="47" spans="1:8" x14ac:dyDescent="0.25">
      <c r="A47" s="4">
        <v>43</v>
      </c>
      <c r="B47" s="4">
        <v>1844470840</v>
      </c>
      <c r="C47" s="4" t="s">
        <v>92</v>
      </c>
      <c r="D47" s="90">
        <f>836+42</f>
        <v>878</v>
      </c>
      <c r="E47" s="90">
        <f>661+71</f>
        <v>732</v>
      </c>
      <c r="F47" s="131">
        <v>412</v>
      </c>
      <c r="G47" s="131">
        <v>656</v>
      </c>
      <c r="H47" s="163">
        <v>656</v>
      </c>
    </row>
    <row r="48" spans="1:8" x14ac:dyDescent="0.25">
      <c r="A48" s="4">
        <v>44</v>
      </c>
      <c r="B48" s="4">
        <v>1844491840</v>
      </c>
      <c r="C48" s="4" t="s">
        <v>610</v>
      </c>
      <c r="D48" s="90">
        <v>5</v>
      </c>
      <c r="E48" s="90">
        <v>5</v>
      </c>
      <c r="F48" s="131">
        <v>5</v>
      </c>
      <c r="G48" s="131">
        <v>5</v>
      </c>
      <c r="H48" s="163">
        <v>5</v>
      </c>
    </row>
    <row r="49" spans="1:8" s="30" customFormat="1" x14ac:dyDescent="0.25">
      <c r="A49" s="4">
        <v>45</v>
      </c>
      <c r="B49" s="4">
        <v>1844495840</v>
      </c>
      <c r="C49" s="4" t="s">
        <v>905</v>
      </c>
      <c r="D49" s="90">
        <v>0</v>
      </c>
      <c r="E49" s="90">
        <v>291.04000000000002</v>
      </c>
      <c r="F49" s="131">
        <v>0</v>
      </c>
      <c r="G49" s="131">
        <v>291</v>
      </c>
      <c r="H49" s="163">
        <v>291</v>
      </c>
    </row>
    <row r="50" spans="1:8" x14ac:dyDescent="0.25">
      <c r="A50" s="4">
        <v>46</v>
      </c>
      <c r="B50" s="4">
        <v>1844511840</v>
      </c>
      <c r="C50" s="4" t="s">
        <v>98</v>
      </c>
      <c r="D50" s="90">
        <v>416</v>
      </c>
      <c r="E50" s="90">
        <v>499.12000000000006</v>
      </c>
      <c r="F50" s="131">
        <v>0</v>
      </c>
      <c r="G50" s="131">
        <v>499</v>
      </c>
      <c r="H50" s="4">
        <v>499</v>
      </c>
    </row>
    <row r="51" spans="1:8" x14ac:dyDescent="0.25">
      <c r="A51" s="4">
        <v>47</v>
      </c>
      <c r="B51" s="4">
        <v>1845100840</v>
      </c>
      <c r="C51" s="4" t="s">
        <v>100</v>
      </c>
      <c r="D51" s="243">
        <f>1+5</f>
        <v>6</v>
      </c>
      <c r="E51" s="243">
        <f>7+14</f>
        <v>21</v>
      </c>
      <c r="F51" s="131">
        <v>1</v>
      </c>
      <c r="G51" s="131">
        <v>8</v>
      </c>
      <c r="H51" s="4">
        <v>8</v>
      </c>
    </row>
    <row r="52" spans="1:8" x14ac:dyDescent="0.25">
      <c r="A52" s="4">
        <v>48</v>
      </c>
      <c r="B52" s="4">
        <v>1845101840</v>
      </c>
      <c r="C52" s="4" t="s">
        <v>1111</v>
      </c>
      <c r="D52" s="90">
        <v>0</v>
      </c>
      <c r="E52" s="90">
        <v>0</v>
      </c>
      <c r="F52" s="131">
        <v>238</v>
      </c>
      <c r="G52" s="244">
        <v>653</v>
      </c>
      <c r="H52" s="233">
        <v>653</v>
      </c>
    </row>
    <row r="53" spans="1:8" x14ac:dyDescent="0.25">
      <c r="A53" s="4">
        <v>49</v>
      </c>
      <c r="B53" s="4">
        <v>1845111840</v>
      </c>
      <c r="C53" s="233" t="s">
        <v>102</v>
      </c>
      <c r="D53" s="90">
        <f>175+76</f>
        <v>251</v>
      </c>
      <c r="E53" s="90">
        <f>175+80</f>
        <v>255</v>
      </c>
      <c r="F53" s="131">
        <v>89</v>
      </c>
      <c r="G53" s="131">
        <v>176</v>
      </c>
      <c r="H53" s="4">
        <v>176</v>
      </c>
    </row>
    <row r="54" spans="1:8" x14ac:dyDescent="0.25">
      <c r="A54" s="4">
        <v>50</v>
      </c>
      <c r="B54" s="4">
        <v>1845112840</v>
      </c>
      <c r="C54" s="4" t="s">
        <v>103</v>
      </c>
      <c r="D54" s="90">
        <v>163</v>
      </c>
      <c r="E54" s="90">
        <v>128</v>
      </c>
      <c r="F54" s="131">
        <v>98</v>
      </c>
      <c r="G54" s="131">
        <v>128</v>
      </c>
      <c r="H54" s="4">
        <v>128</v>
      </c>
    </row>
    <row r="55" spans="1:8" x14ac:dyDescent="0.25">
      <c r="A55" s="4">
        <v>51</v>
      </c>
      <c r="B55" s="4">
        <v>1845120840</v>
      </c>
      <c r="C55" s="4" t="s">
        <v>348</v>
      </c>
      <c r="D55" s="90">
        <v>24</v>
      </c>
      <c r="E55" s="90">
        <v>13.6</v>
      </c>
      <c r="F55" s="131">
        <v>12</v>
      </c>
      <c r="G55" s="131">
        <v>22</v>
      </c>
      <c r="H55" s="4">
        <v>22</v>
      </c>
    </row>
    <row r="56" spans="1:8" x14ac:dyDescent="0.25">
      <c r="A56" s="4">
        <v>52</v>
      </c>
      <c r="B56" s="4">
        <v>1845121840</v>
      </c>
      <c r="C56" s="4" t="s">
        <v>105</v>
      </c>
      <c r="D56" s="90">
        <v>55</v>
      </c>
      <c r="E56" s="90">
        <v>28.560000000000002</v>
      </c>
      <c r="F56" s="131">
        <v>22</v>
      </c>
      <c r="G56" s="131">
        <v>56</v>
      </c>
      <c r="H56" s="4">
        <v>56</v>
      </c>
    </row>
    <row r="57" spans="1:8" x14ac:dyDescent="0.25">
      <c r="A57" s="4">
        <v>53</v>
      </c>
      <c r="B57" s="4">
        <v>1845122840</v>
      </c>
      <c r="C57" s="4" t="s">
        <v>750</v>
      </c>
      <c r="D57" s="90">
        <v>0</v>
      </c>
      <c r="E57" s="90">
        <v>4.08</v>
      </c>
      <c r="F57" s="131">
        <v>0</v>
      </c>
      <c r="G57" s="131">
        <v>4</v>
      </c>
      <c r="H57" s="4">
        <v>4</v>
      </c>
    </row>
    <row r="58" spans="1:8" x14ac:dyDescent="0.25">
      <c r="A58" s="4">
        <v>54</v>
      </c>
      <c r="B58" s="4">
        <v>1845130840</v>
      </c>
      <c r="C58" s="4" t="s">
        <v>349</v>
      </c>
      <c r="D58" s="90">
        <v>7448</v>
      </c>
      <c r="E58" s="90">
        <v>7575.2000000000007</v>
      </c>
      <c r="F58" s="131">
        <v>3845</v>
      </c>
      <c r="G58" s="131">
        <v>7575</v>
      </c>
      <c r="H58" s="4">
        <v>7575</v>
      </c>
    </row>
    <row r="59" spans="1:8" x14ac:dyDescent="0.25">
      <c r="A59" s="4">
        <v>55</v>
      </c>
      <c r="B59" s="4">
        <v>1845150840</v>
      </c>
      <c r="C59" s="4" t="s">
        <v>107</v>
      </c>
      <c r="D59" s="90">
        <v>4331</v>
      </c>
      <c r="E59" s="90">
        <v>6103.68</v>
      </c>
      <c r="F59" s="131">
        <v>2282</v>
      </c>
      <c r="G59" s="131">
        <v>6104</v>
      </c>
      <c r="H59" s="4">
        <v>6104</v>
      </c>
    </row>
    <row r="60" spans="1:8" x14ac:dyDescent="0.25">
      <c r="A60" s="4">
        <v>56</v>
      </c>
      <c r="B60" s="4">
        <v>1845160840</v>
      </c>
      <c r="C60" s="4" t="s">
        <v>350</v>
      </c>
      <c r="D60" s="90">
        <v>216</v>
      </c>
      <c r="E60" s="90">
        <v>197.20000000000002</v>
      </c>
      <c r="F60" s="131">
        <v>129</v>
      </c>
      <c r="G60" s="131">
        <v>193</v>
      </c>
      <c r="H60" s="4">
        <v>193</v>
      </c>
    </row>
    <row r="61" spans="1:8" x14ac:dyDescent="0.25">
      <c r="A61" s="4">
        <v>57</v>
      </c>
      <c r="B61" s="4">
        <v>1845170840</v>
      </c>
      <c r="C61" s="4" t="s">
        <v>109</v>
      </c>
      <c r="D61" s="90">
        <v>152</v>
      </c>
      <c r="E61" s="90">
        <v>176.79999999999998</v>
      </c>
      <c r="F61" s="131">
        <v>131</v>
      </c>
      <c r="G61" s="131">
        <v>206</v>
      </c>
      <c r="H61" s="4">
        <v>206</v>
      </c>
    </row>
    <row r="62" spans="1:8" x14ac:dyDescent="0.25">
      <c r="A62" s="4">
        <v>58</v>
      </c>
      <c r="B62" s="4">
        <v>1845180840</v>
      </c>
      <c r="C62" s="4" t="s">
        <v>351</v>
      </c>
      <c r="D62" s="90">
        <v>667</v>
      </c>
      <c r="E62" s="90">
        <v>591.6</v>
      </c>
      <c r="F62" s="131">
        <v>55</v>
      </c>
      <c r="G62" s="131">
        <v>653</v>
      </c>
      <c r="H62" s="4">
        <v>653</v>
      </c>
    </row>
    <row r="63" spans="1:8" x14ac:dyDescent="0.25">
      <c r="A63" s="4">
        <v>59</v>
      </c>
      <c r="B63" s="4">
        <v>1845190840</v>
      </c>
      <c r="C63" s="4" t="s">
        <v>111</v>
      </c>
      <c r="D63" s="90">
        <v>102</v>
      </c>
      <c r="E63" s="90">
        <f>39+45</f>
        <v>84</v>
      </c>
      <c r="F63" s="131">
        <v>46</v>
      </c>
      <c r="G63" s="131">
        <v>67</v>
      </c>
      <c r="H63" s="4">
        <v>67</v>
      </c>
    </row>
    <row r="64" spans="1:8" x14ac:dyDescent="0.25">
      <c r="A64" s="4">
        <v>60</v>
      </c>
      <c r="B64" s="4">
        <v>1845200840</v>
      </c>
      <c r="C64" s="4" t="s">
        <v>352</v>
      </c>
      <c r="D64" s="90">
        <v>1333</v>
      </c>
      <c r="E64" s="90">
        <v>1146.48</v>
      </c>
      <c r="F64" s="131">
        <v>550</v>
      </c>
      <c r="G64" s="131">
        <v>1146</v>
      </c>
      <c r="H64" s="4">
        <v>1146</v>
      </c>
    </row>
    <row r="65" spans="1:8" x14ac:dyDescent="0.25">
      <c r="A65" s="4">
        <v>61</v>
      </c>
      <c r="B65" s="4">
        <v>1845210840</v>
      </c>
      <c r="C65" s="4" t="s">
        <v>353</v>
      </c>
      <c r="D65" s="90">
        <v>2</v>
      </c>
      <c r="E65" s="90">
        <v>5</v>
      </c>
      <c r="F65" s="131">
        <v>2</v>
      </c>
      <c r="G65" s="131">
        <v>5</v>
      </c>
      <c r="H65" s="4">
        <v>5</v>
      </c>
    </row>
    <row r="66" spans="1:8" x14ac:dyDescent="0.25">
      <c r="A66" s="4">
        <v>62</v>
      </c>
      <c r="B66" s="4">
        <v>1845220840</v>
      </c>
      <c r="C66" s="4" t="s">
        <v>354</v>
      </c>
      <c r="D66" s="90">
        <v>1252</v>
      </c>
      <c r="E66" s="90">
        <v>1015.9200000000001</v>
      </c>
      <c r="F66" s="131">
        <v>733</v>
      </c>
      <c r="G66" s="131">
        <v>1089</v>
      </c>
      <c r="H66" s="4">
        <v>1089</v>
      </c>
    </row>
    <row r="67" spans="1:8" x14ac:dyDescent="0.25">
      <c r="A67" s="4">
        <v>63</v>
      </c>
      <c r="B67" s="4">
        <v>1845230840</v>
      </c>
      <c r="C67" s="4" t="s">
        <v>116</v>
      </c>
      <c r="D67" s="90">
        <v>417</v>
      </c>
      <c r="E67" s="90">
        <v>331.84</v>
      </c>
      <c r="F67" s="131">
        <v>182</v>
      </c>
      <c r="G67" s="131">
        <v>330</v>
      </c>
      <c r="H67" s="4">
        <v>330</v>
      </c>
    </row>
    <row r="68" spans="1:8" x14ac:dyDescent="0.25">
      <c r="A68" s="4">
        <v>64</v>
      </c>
      <c r="B68" s="4">
        <v>1845320840</v>
      </c>
      <c r="C68" s="4" t="s">
        <v>355</v>
      </c>
      <c r="D68" s="90">
        <v>288</v>
      </c>
      <c r="E68" s="90">
        <v>189.04</v>
      </c>
      <c r="F68" s="131">
        <v>196</v>
      </c>
      <c r="G68" s="131">
        <v>217</v>
      </c>
      <c r="H68" s="4">
        <v>217</v>
      </c>
    </row>
    <row r="69" spans="1:8" x14ac:dyDescent="0.25">
      <c r="A69" s="4">
        <v>65</v>
      </c>
      <c r="B69" s="4">
        <v>1845340840</v>
      </c>
      <c r="C69" s="4" t="s">
        <v>356</v>
      </c>
      <c r="D69" s="90">
        <v>65</v>
      </c>
      <c r="E69" s="90">
        <v>39.440000000000005</v>
      </c>
      <c r="F69" s="131">
        <v>86</v>
      </c>
      <c r="G69" s="131">
        <v>55</v>
      </c>
      <c r="H69" s="4">
        <v>55</v>
      </c>
    </row>
    <row r="70" spans="1:8" x14ac:dyDescent="0.25">
      <c r="A70" s="4">
        <v>66</v>
      </c>
      <c r="B70" s="4">
        <v>1845350840</v>
      </c>
      <c r="C70" s="4" t="s">
        <v>1147</v>
      </c>
      <c r="D70" s="90">
        <v>0</v>
      </c>
      <c r="E70" s="90">
        <v>0</v>
      </c>
      <c r="F70" s="131">
        <v>0</v>
      </c>
      <c r="G70" s="131">
        <v>3</v>
      </c>
      <c r="H70" s="4">
        <v>3</v>
      </c>
    </row>
    <row r="71" spans="1:8" x14ac:dyDescent="0.25">
      <c r="A71" s="4">
        <v>67</v>
      </c>
      <c r="B71" s="4">
        <v>1846300840</v>
      </c>
      <c r="C71" s="4" t="s">
        <v>119</v>
      </c>
      <c r="D71" s="90">
        <v>215</v>
      </c>
      <c r="E71" s="90">
        <v>213.52</v>
      </c>
      <c r="F71" s="131">
        <v>142</v>
      </c>
      <c r="G71" s="131">
        <v>213</v>
      </c>
      <c r="H71" s="4">
        <v>213</v>
      </c>
    </row>
    <row r="72" spans="1:8" x14ac:dyDescent="0.25">
      <c r="A72" s="4">
        <v>68</v>
      </c>
      <c r="B72" s="4">
        <v>1846500840</v>
      </c>
      <c r="C72" s="4" t="s">
        <v>120</v>
      </c>
      <c r="D72" s="90">
        <v>7036</v>
      </c>
      <c r="E72" s="90">
        <v>5920.0800000000008</v>
      </c>
      <c r="F72" s="131">
        <v>3705</v>
      </c>
      <c r="G72" s="131">
        <v>6202</v>
      </c>
      <c r="H72" s="4">
        <v>6202</v>
      </c>
    </row>
    <row r="73" spans="1:8" x14ac:dyDescent="0.25">
      <c r="A73" s="4">
        <v>69</v>
      </c>
      <c r="B73" s="4">
        <v>1846510840</v>
      </c>
      <c r="C73" s="4" t="s">
        <v>357</v>
      </c>
      <c r="D73" s="90">
        <v>277</v>
      </c>
      <c r="E73" s="90">
        <v>280.16000000000003</v>
      </c>
      <c r="F73" s="131">
        <v>114</v>
      </c>
      <c r="G73" s="131">
        <v>281</v>
      </c>
      <c r="H73" s="4">
        <v>281</v>
      </c>
    </row>
    <row r="74" spans="1:8" x14ac:dyDescent="0.25">
      <c r="A74" s="4">
        <v>70</v>
      </c>
      <c r="B74" s="4">
        <v>1846610840</v>
      </c>
      <c r="C74" s="4" t="s">
        <v>122</v>
      </c>
      <c r="D74" s="90">
        <v>668</v>
      </c>
      <c r="E74" s="90">
        <v>481.44</v>
      </c>
      <c r="F74" s="131">
        <v>334</v>
      </c>
      <c r="G74" s="131">
        <v>513</v>
      </c>
      <c r="H74" s="4">
        <v>513</v>
      </c>
    </row>
    <row r="75" spans="1:8" x14ac:dyDescent="0.25">
      <c r="A75" s="4">
        <v>71</v>
      </c>
      <c r="B75" s="4">
        <v>1846620840</v>
      </c>
      <c r="C75" s="4" t="s">
        <v>358</v>
      </c>
      <c r="D75" s="90">
        <v>464</v>
      </c>
      <c r="E75" s="90">
        <v>364.48</v>
      </c>
      <c r="F75" s="131">
        <v>347</v>
      </c>
      <c r="G75" s="131">
        <v>477</v>
      </c>
      <c r="H75" s="4">
        <v>477</v>
      </c>
    </row>
    <row r="76" spans="1:8" x14ac:dyDescent="0.25">
      <c r="A76" s="4">
        <v>72</v>
      </c>
      <c r="B76" s="4">
        <v>1846630840</v>
      </c>
      <c r="C76" s="4" t="s">
        <v>1149</v>
      </c>
      <c r="D76" s="90">
        <v>0</v>
      </c>
      <c r="E76" s="90">
        <v>216</v>
      </c>
      <c r="F76" s="131">
        <v>0</v>
      </c>
      <c r="G76" s="131">
        <v>216</v>
      </c>
      <c r="H76" s="4">
        <v>216</v>
      </c>
    </row>
    <row r="77" spans="1:8" x14ac:dyDescent="0.25">
      <c r="A77" s="4">
        <v>73</v>
      </c>
      <c r="B77" s="4">
        <v>1846640840</v>
      </c>
      <c r="C77" s="4" t="s">
        <v>906</v>
      </c>
      <c r="D77" s="90">
        <v>266</v>
      </c>
      <c r="E77" s="90">
        <v>216.24</v>
      </c>
      <c r="F77" s="131">
        <f>54+40</f>
        <v>94</v>
      </c>
      <c r="G77" s="131">
        <v>267</v>
      </c>
      <c r="H77" s="4">
        <v>267</v>
      </c>
    </row>
    <row r="78" spans="1:8" x14ac:dyDescent="0.25">
      <c r="A78" s="4">
        <v>74</v>
      </c>
      <c r="B78" s="233">
        <v>1846710840</v>
      </c>
      <c r="C78" s="4" t="s">
        <v>359</v>
      </c>
      <c r="D78" s="90">
        <v>2013</v>
      </c>
      <c r="E78" s="90">
        <v>1096.1600000000001</v>
      </c>
      <c r="F78" s="131">
        <f>780+447</f>
        <v>1227</v>
      </c>
      <c r="G78" s="131">
        <v>1510</v>
      </c>
      <c r="H78" s="4">
        <v>1510</v>
      </c>
    </row>
    <row r="79" spans="1:8" x14ac:dyDescent="0.25">
      <c r="A79" s="4">
        <v>75</v>
      </c>
      <c r="B79" s="4">
        <v>1846711840</v>
      </c>
      <c r="C79" s="4" t="s">
        <v>360</v>
      </c>
      <c r="D79" s="90">
        <v>0</v>
      </c>
      <c r="E79" s="90">
        <v>229.84</v>
      </c>
      <c r="F79" s="131">
        <v>112</v>
      </c>
      <c r="G79" s="131">
        <v>220</v>
      </c>
      <c r="H79" s="4">
        <v>200</v>
      </c>
    </row>
    <row r="80" spans="1:8" x14ac:dyDescent="0.25">
      <c r="A80" s="4">
        <v>76</v>
      </c>
      <c r="B80" s="4">
        <v>1846730840</v>
      </c>
      <c r="C80" s="4" t="s">
        <v>127</v>
      </c>
      <c r="D80" s="90">
        <v>147</v>
      </c>
      <c r="E80" s="90">
        <v>163.20000000000002</v>
      </c>
      <c r="F80" s="131">
        <v>87</v>
      </c>
      <c r="G80" s="131">
        <v>128</v>
      </c>
      <c r="H80" s="4">
        <v>128</v>
      </c>
    </row>
    <row r="81" spans="1:8" x14ac:dyDescent="0.25">
      <c r="A81" s="4">
        <v>77</v>
      </c>
      <c r="B81" s="4">
        <v>1846750840</v>
      </c>
      <c r="C81" s="4" t="s">
        <v>128</v>
      </c>
      <c r="D81" s="90">
        <v>211</v>
      </c>
      <c r="E81" s="90">
        <v>205.36</v>
      </c>
      <c r="F81" s="131">
        <v>100</v>
      </c>
      <c r="G81" s="131">
        <v>127</v>
      </c>
      <c r="H81" s="4">
        <v>127</v>
      </c>
    </row>
    <row r="82" spans="1:8" x14ac:dyDescent="0.25">
      <c r="A82" s="4">
        <v>78</v>
      </c>
      <c r="B82" s="4">
        <v>1846761840</v>
      </c>
      <c r="C82" s="4" t="s">
        <v>612</v>
      </c>
      <c r="D82" s="90">
        <v>76</v>
      </c>
      <c r="E82" s="90">
        <v>398.48</v>
      </c>
      <c r="F82" s="131">
        <v>7</v>
      </c>
      <c r="G82" s="131">
        <v>398</v>
      </c>
      <c r="H82" s="4">
        <v>398</v>
      </c>
    </row>
    <row r="83" spans="1:8" x14ac:dyDescent="0.25">
      <c r="A83" s="4">
        <v>79</v>
      </c>
      <c r="B83" s="4">
        <v>1846780840</v>
      </c>
      <c r="C83" s="4" t="s">
        <v>751</v>
      </c>
      <c r="D83" s="90">
        <v>0</v>
      </c>
      <c r="E83" s="90">
        <v>639.20000000000005</v>
      </c>
      <c r="F83" s="131">
        <v>0</v>
      </c>
      <c r="G83" s="131">
        <v>639</v>
      </c>
      <c r="H83" s="4">
        <v>639</v>
      </c>
    </row>
    <row r="84" spans="1:8" x14ac:dyDescent="0.25">
      <c r="A84" s="4">
        <v>80</v>
      </c>
      <c r="B84" s="4">
        <v>1846790840</v>
      </c>
      <c r="C84" s="4" t="s">
        <v>131</v>
      </c>
      <c r="D84" s="90">
        <v>0</v>
      </c>
      <c r="E84" s="90">
        <v>352.24</v>
      </c>
      <c r="F84" s="131">
        <v>15</v>
      </c>
      <c r="G84" s="131">
        <v>950</v>
      </c>
      <c r="H84" s="4">
        <v>500</v>
      </c>
    </row>
    <row r="85" spans="1:8" x14ac:dyDescent="0.25">
      <c r="A85" s="4">
        <v>81</v>
      </c>
      <c r="B85" s="4">
        <v>1846791840</v>
      </c>
      <c r="C85" s="4" t="s">
        <v>907</v>
      </c>
      <c r="D85" s="90">
        <v>0</v>
      </c>
      <c r="E85" s="90">
        <v>32.64</v>
      </c>
      <c r="F85" s="131">
        <v>24</v>
      </c>
      <c r="G85" s="131">
        <v>57</v>
      </c>
      <c r="H85" s="4">
        <v>57</v>
      </c>
    </row>
    <row r="86" spans="1:8" x14ac:dyDescent="0.25">
      <c r="A86" s="4">
        <v>82</v>
      </c>
      <c r="B86" s="4">
        <v>1846820840</v>
      </c>
      <c r="C86" s="4" t="s">
        <v>132</v>
      </c>
      <c r="D86" s="90">
        <v>616</v>
      </c>
      <c r="E86" s="90">
        <v>10.88</v>
      </c>
      <c r="F86" s="131">
        <v>8</v>
      </c>
      <c r="G86" s="131">
        <v>15</v>
      </c>
      <c r="H86" s="4">
        <v>15</v>
      </c>
    </row>
    <row r="87" spans="1:8" x14ac:dyDescent="0.25">
      <c r="A87" s="4">
        <v>83</v>
      </c>
      <c r="B87" s="4">
        <v>1846830840</v>
      </c>
      <c r="C87" s="4" t="s">
        <v>133</v>
      </c>
      <c r="D87" s="90">
        <v>0</v>
      </c>
      <c r="E87" s="90">
        <v>131.91999999999999</v>
      </c>
      <c r="F87" s="131">
        <v>0</v>
      </c>
      <c r="G87" s="131">
        <v>132</v>
      </c>
      <c r="H87" s="4">
        <v>132</v>
      </c>
    </row>
    <row r="88" spans="1:8" x14ac:dyDescent="0.25">
      <c r="A88" s="4">
        <v>84</v>
      </c>
      <c r="B88" s="4">
        <v>1846840840</v>
      </c>
      <c r="C88" s="4" t="s">
        <v>751</v>
      </c>
      <c r="D88" s="90">
        <v>0</v>
      </c>
      <c r="E88" s="90">
        <v>580</v>
      </c>
      <c r="F88" s="131">
        <v>387</v>
      </c>
      <c r="G88" s="131">
        <v>580</v>
      </c>
      <c r="H88" s="4">
        <v>580</v>
      </c>
    </row>
    <row r="89" spans="1:8" x14ac:dyDescent="0.25">
      <c r="A89" s="4">
        <v>85</v>
      </c>
      <c r="B89" s="4">
        <v>1847100840</v>
      </c>
      <c r="C89" s="4" t="s">
        <v>134</v>
      </c>
      <c r="D89" s="90">
        <v>225</v>
      </c>
      <c r="E89" s="90">
        <v>204</v>
      </c>
      <c r="F89" s="244">
        <v>92</v>
      </c>
      <c r="G89" s="131">
        <v>204</v>
      </c>
      <c r="H89" s="4">
        <v>204</v>
      </c>
    </row>
    <row r="90" spans="1:8" x14ac:dyDescent="0.25">
      <c r="A90" s="4">
        <v>86</v>
      </c>
      <c r="B90" s="4">
        <v>1847110840</v>
      </c>
      <c r="C90" s="4" t="s">
        <v>135</v>
      </c>
      <c r="D90" s="90">
        <v>0</v>
      </c>
      <c r="E90" s="90">
        <v>233.92</v>
      </c>
      <c r="F90" s="131">
        <v>0</v>
      </c>
      <c r="G90" s="131">
        <v>234</v>
      </c>
      <c r="H90" s="4">
        <v>234</v>
      </c>
    </row>
    <row r="91" spans="1:8" x14ac:dyDescent="0.25">
      <c r="A91" s="4">
        <v>87</v>
      </c>
      <c r="B91" s="4">
        <v>1847130840</v>
      </c>
      <c r="C91" s="4" t="s">
        <v>136</v>
      </c>
      <c r="D91" s="90">
        <v>16</v>
      </c>
      <c r="E91" s="90">
        <v>14.96</v>
      </c>
      <c r="F91" s="131">
        <v>6</v>
      </c>
      <c r="G91" s="131">
        <v>14</v>
      </c>
      <c r="H91" s="4">
        <v>14</v>
      </c>
    </row>
    <row r="92" spans="1:8" x14ac:dyDescent="0.25">
      <c r="A92" s="4">
        <v>88</v>
      </c>
      <c r="B92" s="4">
        <v>1847140840</v>
      </c>
      <c r="C92" s="4" t="s">
        <v>361</v>
      </c>
      <c r="D92" s="90">
        <v>13</v>
      </c>
      <c r="E92" s="90">
        <v>20.400000000000002</v>
      </c>
      <c r="F92" s="131">
        <v>17</v>
      </c>
      <c r="G92" s="131">
        <v>20</v>
      </c>
      <c r="H92" s="4">
        <v>20</v>
      </c>
    </row>
    <row r="93" spans="1:8" s="30" customFormat="1" x14ac:dyDescent="0.25">
      <c r="A93" s="4">
        <v>89</v>
      </c>
      <c r="B93" s="4">
        <v>1847160840</v>
      </c>
      <c r="C93" s="4" t="s">
        <v>1112</v>
      </c>
      <c r="D93" s="90">
        <v>0</v>
      </c>
      <c r="E93" s="90">
        <v>0</v>
      </c>
      <c r="F93" s="131">
        <v>0</v>
      </c>
      <c r="G93" s="131">
        <v>18</v>
      </c>
      <c r="H93" s="163">
        <v>18</v>
      </c>
    </row>
    <row r="94" spans="1:8" s="30" customFormat="1" x14ac:dyDescent="0.25">
      <c r="A94" s="4">
        <v>90</v>
      </c>
      <c r="B94" s="4">
        <v>1847170840</v>
      </c>
      <c r="C94" s="4" t="s">
        <v>908</v>
      </c>
      <c r="D94" s="90">
        <v>0</v>
      </c>
      <c r="E94" s="90">
        <v>10.88</v>
      </c>
      <c r="F94" s="131">
        <v>1</v>
      </c>
      <c r="G94" s="131">
        <v>11</v>
      </c>
      <c r="H94" s="163">
        <v>11</v>
      </c>
    </row>
    <row r="95" spans="1:8" x14ac:dyDescent="0.25">
      <c r="A95" s="4">
        <v>91</v>
      </c>
      <c r="B95" s="4">
        <v>1847180840</v>
      </c>
      <c r="C95" s="4" t="s">
        <v>745</v>
      </c>
      <c r="D95" s="90">
        <v>78</v>
      </c>
      <c r="E95" s="90">
        <v>73.44</v>
      </c>
      <c r="F95" s="131">
        <v>71</v>
      </c>
      <c r="G95" s="131">
        <v>77</v>
      </c>
      <c r="H95" s="4">
        <v>77</v>
      </c>
    </row>
    <row r="96" spans="1:8" x14ac:dyDescent="0.25">
      <c r="A96" s="4">
        <v>92</v>
      </c>
      <c r="B96" s="4">
        <v>1847200840</v>
      </c>
      <c r="C96" s="4" t="s">
        <v>872</v>
      </c>
      <c r="D96" s="90">
        <v>277</v>
      </c>
      <c r="E96" s="90">
        <v>344.08</v>
      </c>
      <c r="F96" s="131">
        <v>279</v>
      </c>
      <c r="G96" s="131">
        <v>344</v>
      </c>
      <c r="H96" s="4">
        <v>344</v>
      </c>
    </row>
    <row r="97" spans="1:8" x14ac:dyDescent="0.25">
      <c r="A97" s="4">
        <v>93</v>
      </c>
      <c r="B97" s="4">
        <v>1847210840</v>
      </c>
      <c r="C97" s="4" t="s">
        <v>1145</v>
      </c>
      <c r="D97" s="90">
        <v>0</v>
      </c>
      <c r="E97" s="90">
        <v>0</v>
      </c>
      <c r="F97" s="131">
        <v>0</v>
      </c>
      <c r="G97" s="131">
        <v>130</v>
      </c>
      <c r="H97" s="4">
        <v>130</v>
      </c>
    </row>
    <row r="98" spans="1:8" x14ac:dyDescent="0.25">
      <c r="A98" s="4">
        <v>94</v>
      </c>
      <c r="B98" s="4">
        <v>1847311840</v>
      </c>
      <c r="C98" s="4" t="s">
        <v>362</v>
      </c>
      <c r="D98" s="90">
        <v>42</v>
      </c>
      <c r="E98" s="90">
        <v>13.6</v>
      </c>
      <c r="F98" s="131">
        <v>0</v>
      </c>
      <c r="G98" s="131">
        <v>36</v>
      </c>
      <c r="H98" s="4">
        <v>36</v>
      </c>
    </row>
    <row r="99" spans="1:8" s="30" customFormat="1" x14ac:dyDescent="0.25">
      <c r="A99" s="4">
        <v>95</v>
      </c>
      <c r="B99" s="4">
        <v>1847341840</v>
      </c>
      <c r="C99" s="4" t="s">
        <v>1212</v>
      </c>
      <c r="D99" s="90">
        <v>-12</v>
      </c>
      <c r="E99" s="90">
        <v>82.96</v>
      </c>
      <c r="F99" s="131">
        <f>7+22</f>
        <v>29</v>
      </c>
      <c r="G99" s="131">
        <v>73</v>
      </c>
      <c r="H99" s="163">
        <v>73</v>
      </c>
    </row>
    <row r="100" spans="1:8" x14ac:dyDescent="0.25">
      <c r="A100" s="4">
        <v>96</v>
      </c>
      <c r="B100" s="4">
        <v>1848211840</v>
      </c>
      <c r="C100" s="4" t="s">
        <v>363</v>
      </c>
      <c r="D100" s="90">
        <v>5</v>
      </c>
      <c r="E100" s="90">
        <v>4.08</v>
      </c>
      <c r="F100" s="131">
        <v>0</v>
      </c>
      <c r="G100" s="131">
        <v>4</v>
      </c>
      <c r="H100" s="4">
        <v>4</v>
      </c>
    </row>
    <row r="101" spans="1:8" x14ac:dyDescent="0.25">
      <c r="A101" s="4">
        <v>97</v>
      </c>
      <c r="B101" s="4">
        <v>1848310840</v>
      </c>
      <c r="C101" s="4" t="s">
        <v>364</v>
      </c>
      <c r="D101" s="90">
        <f>39+110+9</f>
        <v>158</v>
      </c>
      <c r="E101" s="90">
        <v>39.440000000000005</v>
      </c>
      <c r="F101" s="131">
        <v>13</v>
      </c>
      <c r="G101" s="131">
        <v>28</v>
      </c>
      <c r="H101" s="4">
        <v>28</v>
      </c>
    </row>
    <row r="102" spans="1:8" x14ac:dyDescent="0.25">
      <c r="A102" s="4">
        <v>98</v>
      </c>
      <c r="B102" s="4">
        <v>1848312840</v>
      </c>
      <c r="C102" s="4" t="s">
        <v>142</v>
      </c>
      <c r="D102" s="90">
        <v>4</v>
      </c>
      <c r="E102" s="90">
        <v>1.36</v>
      </c>
      <c r="F102" s="131">
        <v>0</v>
      </c>
      <c r="G102" s="131">
        <v>2</v>
      </c>
      <c r="H102" s="4">
        <v>2</v>
      </c>
    </row>
    <row r="103" spans="1:8" x14ac:dyDescent="0.25">
      <c r="A103" s="4">
        <v>99</v>
      </c>
      <c r="B103" s="4">
        <v>1849050840</v>
      </c>
      <c r="C103" s="4" t="s">
        <v>144</v>
      </c>
      <c r="D103" s="90">
        <v>39</v>
      </c>
      <c r="E103" s="90">
        <v>28.560000000000002</v>
      </c>
      <c r="F103" s="131">
        <v>12</v>
      </c>
      <c r="G103" s="131">
        <v>27</v>
      </c>
      <c r="H103" s="4">
        <v>27</v>
      </c>
    </row>
    <row r="104" spans="1:8" x14ac:dyDescent="0.25">
      <c r="A104" s="4">
        <v>100</v>
      </c>
      <c r="B104" s="4">
        <v>1849060840</v>
      </c>
      <c r="C104" s="4" t="s">
        <v>366</v>
      </c>
      <c r="D104" s="90">
        <v>0</v>
      </c>
      <c r="E104" s="90">
        <v>44.88</v>
      </c>
      <c r="F104" s="131">
        <v>0</v>
      </c>
      <c r="G104" s="131">
        <v>45</v>
      </c>
      <c r="H104" s="4">
        <v>45</v>
      </c>
    </row>
    <row r="105" spans="1:8" x14ac:dyDescent="0.25">
      <c r="A105" s="4">
        <v>101</v>
      </c>
      <c r="B105" s="4">
        <v>1849080840</v>
      </c>
      <c r="C105" s="233" t="s">
        <v>367</v>
      </c>
      <c r="D105" s="90">
        <v>10</v>
      </c>
      <c r="E105" s="90">
        <v>14.96</v>
      </c>
      <c r="F105" s="131">
        <v>3</v>
      </c>
      <c r="G105" s="131">
        <v>15</v>
      </c>
      <c r="H105" s="4">
        <v>15</v>
      </c>
    </row>
    <row r="106" spans="1:8" x14ac:dyDescent="0.25">
      <c r="A106" s="4">
        <v>102</v>
      </c>
      <c r="B106" s="4">
        <v>1849090840</v>
      </c>
      <c r="C106" s="4" t="s">
        <v>148</v>
      </c>
      <c r="D106" s="90">
        <v>0</v>
      </c>
      <c r="E106" s="90">
        <v>145.52000000000001</v>
      </c>
      <c r="F106" s="131">
        <v>0</v>
      </c>
      <c r="G106" s="131">
        <v>146</v>
      </c>
      <c r="H106" s="4">
        <v>146</v>
      </c>
    </row>
    <row r="107" spans="1:8" x14ac:dyDescent="0.25">
      <c r="A107" s="4">
        <v>103</v>
      </c>
      <c r="B107" s="4">
        <v>1849130840</v>
      </c>
      <c r="C107" s="4" t="s">
        <v>875</v>
      </c>
      <c r="D107" s="90">
        <v>24</v>
      </c>
      <c r="E107" s="90">
        <v>40.800000000000004</v>
      </c>
      <c r="F107" s="131">
        <v>6</v>
      </c>
      <c r="G107" s="131">
        <v>27</v>
      </c>
      <c r="H107" s="4">
        <v>27</v>
      </c>
    </row>
    <row r="108" spans="1:8" x14ac:dyDescent="0.25">
      <c r="A108" s="4">
        <v>104</v>
      </c>
      <c r="B108" s="4">
        <v>1849140840</v>
      </c>
      <c r="C108" s="4" t="s">
        <v>901</v>
      </c>
      <c r="D108" s="90">
        <v>0</v>
      </c>
      <c r="E108" s="90">
        <v>29.92</v>
      </c>
      <c r="F108" s="131">
        <v>0</v>
      </c>
      <c r="G108" s="131">
        <v>30</v>
      </c>
      <c r="H108" s="4">
        <v>30</v>
      </c>
    </row>
    <row r="109" spans="1:8" x14ac:dyDescent="0.25">
      <c r="A109" s="4">
        <v>105</v>
      </c>
      <c r="B109" s="4">
        <v>1849200840</v>
      </c>
      <c r="C109" s="4" t="s">
        <v>150</v>
      </c>
      <c r="D109" s="90">
        <v>20</v>
      </c>
      <c r="E109" s="90">
        <v>27.2</v>
      </c>
      <c r="F109" s="131">
        <v>6</v>
      </c>
      <c r="G109" s="131">
        <v>27</v>
      </c>
      <c r="H109" s="4">
        <v>27</v>
      </c>
    </row>
    <row r="110" spans="1:8" x14ac:dyDescent="0.25">
      <c r="A110" s="101"/>
      <c r="B110" s="548" t="s">
        <v>433</v>
      </c>
      <c r="C110" s="548"/>
      <c r="D110" s="149">
        <f t="shared" ref="D110:H110" si="0">SUM(D5:D109)</f>
        <v>44678</v>
      </c>
      <c r="E110" s="149">
        <f t="shared" si="0"/>
        <v>49086.639999999992</v>
      </c>
      <c r="F110" s="149">
        <f t="shared" si="0"/>
        <v>23132</v>
      </c>
      <c r="G110" s="149">
        <f t="shared" si="0"/>
        <v>51058</v>
      </c>
      <c r="H110" s="149">
        <f t="shared" si="0"/>
        <v>50588</v>
      </c>
    </row>
  </sheetData>
  <sheetProtection algorithmName="SHA-512" hashValue="PMORkfFzoxIkXKfsr3M6Zr2Wky8UUFD1vcwYog+Ztia88DEg4TiEfQnpTVaaOjiBbT8iuHO31go84U9XHrsjVQ==" saltValue="pZ4/ZOX2lyDBjhAvwPVESQ==" spinCount="100000" sheet="1" objects="1" scenarios="1"/>
  <mergeCells count="2">
    <mergeCell ref="B110:C110"/>
    <mergeCell ref="C2:H2"/>
  </mergeCells>
  <pageMargins left="0.47244094488188981" right="0.59055118110236227" top="0.59055118110236227" bottom="0.27559055118110237" header="0.31496062992125984" footer="0.31496062992125984"/>
  <pageSetup paperSize="9" scale="57" firstPageNumber="13" fitToHeight="0" orientation="portrait" useFirstPageNumber="1" r:id="rId1"/>
  <headerFooter>
    <oddFooter>עמוד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13"/>
  <sheetViews>
    <sheetView rightToLeft="1" zoomScale="110" zoomScaleNormal="110" workbookViewId="0">
      <selection activeCell="A2" sqref="A2:H2"/>
    </sheetView>
  </sheetViews>
  <sheetFormatPr defaultRowHeight="13.8" x14ac:dyDescent="0.25"/>
  <cols>
    <col min="1" max="1" width="5.59765625" customWidth="1"/>
    <col min="2" max="2" width="12.09765625" customWidth="1"/>
    <col min="3" max="3" width="16" customWidth="1"/>
    <col min="4" max="4" width="11.5" customWidth="1"/>
    <col min="5" max="5" width="14" customWidth="1"/>
    <col min="6" max="6" width="13.09765625" customWidth="1"/>
    <col min="7" max="7" width="13.8984375" customWidth="1"/>
    <col min="8" max="8" width="12.5" customWidth="1"/>
    <col min="12" max="12" width="11.8984375" customWidth="1"/>
  </cols>
  <sheetData>
    <row r="2" spans="1:10" ht="22.8" x14ac:dyDescent="0.25">
      <c r="A2" s="560" t="s">
        <v>1165</v>
      </c>
      <c r="B2" s="560"/>
      <c r="C2" s="560"/>
      <c r="D2" s="560"/>
      <c r="E2" s="560"/>
      <c r="F2" s="560"/>
      <c r="G2" s="560"/>
      <c r="H2" s="560"/>
      <c r="I2" s="530"/>
    </row>
    <row r="3" spans="1:10" x14ac:dyDescent="0.25">
      <c r="C3" s="27"/>
    </row>
    <row r="4" spans="1:10" s="195" customFormat="1" ht="31.2" x14ac:dyDescent="0.25">
      <c r="A4" s="165" t="s">
        <v>627</v>
      </c>
      <c r="B4" s="165" t="s">
        <v>0</v>
      </c>
      <c r="C4" s="165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0" s="7" customFormat="1" x14ac:dyDescent="0.25">
      <c r="A5" s="245">
        <v>1</v>
      </c>
      <c r="B5" s="245">
        <v>1772000782</v>
      </c>
      <c r="C5" s="316" t="s">
        <v>1034</v>
      </c>
      <c r="D5" s="510">
        <v>20</v>
      </c>
      <c r="E5" s="510">
        <v>55</v>
      </c>
      <c r="F5" s="511">
        <v>30</v>
      </c>
      <c r="G5" s="511">
        <v>59</v>
      </c>
      <c r="H5" s="511">
        <v>59</v>
      </c>
      <c r="I5"/>
      <c r="J5"/>
    </row>
    <row r="6" spans="1:10" s="7" customFormat="1" x14ac:dyDescent="0.25">
      <c r="A6" s="245">
        <v>2</v>
      </c>
      <c r="B6" s="245">
        <v>1772000470</v>
      </c>
      <c r="C6" s="316" t="s">
        <v>933</v>
      </c>
      <c r="D6" s="510">
        <v>9</v>
      </c>
      <c r="E6" s="510">
        <v>10</v>
      </c>
      <c r="F6" s="511">
        <v>2</v>
      </c>
      <c r="G6" s="511">
        <v>6</v>
      </c>
      <c r="H6" s="511">
        <v>6</v>
      </c>
    </row>
    <row r="7" spans="1:10" s="7" customFormat="1" x14ac:dyDescent="0.25">
      <c r="A7" s="245">
        <v>3</v>
      </c>
      <c r="B7" s="245">
        <v>1772000511</v>
      </c>
      <c r="C7" s="316" t="s">
        <v>448</v>
      </c>
      <c r="D7" s="510">
        <v>13</v>
      </c>
      <c r="E7" s="510">
        <v>20</v>
      </c>
      <c r="F7" s="511">
        <v>14</v>
      </c>
      <c r="G7" s="511">
        <v>26</v>
      </c>
      <c r="H7" s="511">
        <v>23</v>
      </c>
    </row>
    <row r="8" spans="1:10" s="337" customFormat="1" ht="24" customHeight="1" x14ac:dyDescent="0.25">
      <c r="A8" s="335">
        <v>4</v>
      </c>
      <c r="B8" s="335">
        <v>1772000810</v>
      </c>
      <c r="C8" s="336" t="s">
        <v>934</v>
      </c>
      <c r="D8" s="511">
        <v>42</v>
      </c>
      <c r="E8" s="511">
        <v>170</v>
      </c>
      <c r="F8" s="511">
        <v>87</v>
      </c>
      <c r="G8" s="511">
        <v>170</v>
      </c>
      <c r="H8" s="511">
        <v>170</v>
      </c>
    </row>
    <row r="9" spans="1:10" s="7" customFormat="1" x14ac:dyDescent="0.25">
      <c r="A9" s="245">
        <v>5</v>
      </c>
      <c r="B9" s="245">
        <v>1772110781</v>
      </c>
      <c r="C9" s="316" t="s">
        <v>935</v>
      </c>
      <c r="D9" s="510">
        <v>6</v>
      </c>
      <c r="E9" s="510">
        <v>13.5</v>
      </c>
      <c r="F9" s="511">
        <v>11</v>
      </c>
      <c r="G9" s="511">
        <v>15</v>
      </c>
      <c r="H9" s="511">
        <v>15</v>
      </c>
    </row>
    <row r="10" spans="1:10" s="7" customFormat="1" x14ac:dyDescent="0.25">
      <c r="A10" s="245">
        <v>6</v>
      </c>
      <c r="B10" s="245">
        <v>1772300781</v>
      </c>
      <c r="C10" s="316" t="s">
        <v>936</v>
      </c>
      <c r="D10" s="510">
        <v>5</v>
      </c>
      <c r="E10" s="510">
        <v>6.5</v>
      </c>
      <c r="F10" s="511">
        <v>1</v>
      </c>
      <c r="G10" s="511">
        <v>7</v>
      </c>
      <c r="H10" s="511">
        <v>7</v>
      </c>
    </row>
    <row r="11" spans="1:10" s="7" customFormat="1" ht="16.2" customHeight="1" x14ac:dyDescent="0.25">
      <c r="A11" s="245">
        <v>7</v>
      </c>
      <c r="B11" s="245">
        <v>1772500781</v>
      </c>
      <c r="C11" s="316" t="s">
        <v>937</v>
      </c>
      <c r="D11" s="510">
        <v>2</v>
      </c>
      <c r="E11" s="510">
        <v>0</v>
      </c>
      <c r="F11" s="511">
        <v>0</v>
      </c>
      <c r="G11" s="511">
        <v>0</v>
      </c>
      <c r="H11" s="511">
        <v>0</v>
      </c>
    </row>
    <row r="12" spans="1:10" s="7" customFormat="1" x14ac:dyDescent="0.25">
      <c r="A12" s="245">
        <v>8</v>
      </c>
      <c r="B12" s="245">
        <v>1772600781</v>
      </c>
      <c r="C12" s="316" t="s">
        <v>1086</v>
      </c>
      <c r="D12" s="510">
        <v>4</v>
      </c>
      <c r="E12" s="510">
        <v>0</v>
      </c>
      <c r="F12" s="511">
        <v>5</v>
      </c>
      <c r="G12" s="511">
        <v>0</v>
      </c>
      <c r="H12" s="511">
        <v>0</v>
      </c>
    </row>
    <row r="13" spans="1:10" x14ac:dyDescent="0.25">
      <c r="A13" s="233"/>
      <c r="B13" s="561" t="s">
        <v>468</v>
      </c>
      <c r="C13" s="562"/>
      <c r="D13" s="164">
        <f t="shared" ref="D13:H13" si="0">SUM(D5:D12)</f>
        <v>101</v>
      </c>
      <c r="E13" s="164">
        <f t="shared" si="0"/>
        <v>275</v>
      </c>
      <c r="F13" s="164">
        <f t="shared" si="0"/>
        <v>150</v>
      </c>
      <c r="G13" s="164">
        <f t="shared" si="0"/>
        <v>283</v>
      </c>
      <c r="H13" s="164">
        <f t="shared" si="0"/>
        <v>280</v>
      </c>
    </row>
  </sheetData>
  <sheetProtection algorithmName="SHA-512" hashValue="lfoV7haS+zsLH8IZsTwEEFhYREXS8Rva3XkUp41TMYEu92cVgyNM8BdJnPJqRMSft6g5QzfskCdzH4ZTvrzu/A==" saltValue="85I6szK4uMq1hg8ZV1e8tg==" spinCount="100000" sheet="1" objects="1" scenarios="1"/>
  <mergeCells count="2">
    <mergeCell ref="B13:C13"/>
    <mergeCell ref="A2:H2"/>
  </mergeCells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r:id="rId1"/>
  <headerFooter>
    <oddFooter>עמוד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24"/>
  <sheetViews>
    <sheetView rightToLeft="1" zoomScale="110" zoomScaleNormal="110" zoomScaleSheetLayoutView="100" workbookViewId="0">
      <selection activeCell="E19" sqref="E19"/>
    </sheetView>
  </sheetViews>
  <sheetFormatPr defaultRowHeight="13.8" x14ac:dyDescent="0.25"/>
  <cols>
    <col min="1" max="1" width="4.59765625" customWidth="1"/>
    <col min="2" max="2" width="10.8984375" bestFit="1" customWidth="1"/>
    <col min="3" max="3" width="24.09765625" bestFit="1" customWidth="1"/>
    <col min="4" max="4" width="11.19921875" style="27" customWidth="1"/>
    <col min="5" max="5" width="10.8984375" customWidth="1"/>
    <col min="6" max="6" width="13" customWidth="1"/>
    <col min="7" max="7" width="14.19921875" customWidth="1"/>
    <col min="8" max="8" width="12.3984375" customWidth="1"/>
  </cols>
  <sheetData>
    <row r="2" spans="1:9" ht="22.8" x14ac:dyDescent="0.25">
      <c r="A2" s="556" t="s">
        <v>1128</v>
      </c>
      <c r="B2" s="556"/>
      <c r="C2" s="556"/>
      <c r="D2" s="556"/>
      <c r="E2" s="556"/>
      <c r="F2" s="556"/>
      <c r="G2" s="556"/>
      <c r="H2" s="556"/>
      <c r="I2" s="556"/>
    </row>
    <row r="3" spans="1:9" x14ac:dyDescent="0.25">
      <c r="B3" s="14" t="s">
        <v>487</v>
      </c>
    </row>
    <row r="4" spans="1:9" s="195" customFormat="1" ht="46.8" x14ac:dyDescent="0.25">
      <c r="A4" s="194" t="s">
        <v>623</v>
      </c>
      <c r="B4" s="194" t="s">
        <v>0</v>
      </c>
      <c r="C4" s="194" t="s">
        <v>1</v>
      </c>
      <c r="D4" s="165" t="s">
        <v>1070</v>
      </c>
      <c r="E4" s="165" t="s">
        <v>1250</v>
      </c>
      <c r="F4" s="165" t="s">
        <v>1061</v>
      </c>
      <c r="G4" s="165" t="s">
        <v>1059</v>
      </c>
      <c r="H4" s="165" t="s">
        <v>1060</v>
      </c>
      <c r="I4" s="165" t="s">
        <v>1058</v>
      </c>
    </row>
    <row r="5" spans="1:9" x14ac:dyDescent="0.25">
      <c r="A5" s="4">
        <v>1</v>
      </c>
      <c r="B5" s="4">
        <v>1229999910</v>
      </c>
      <c r="C5" s="4" t="s">
        <v>595</v>
      </c>
      <c r="D5" s="45">
        <v>0</v>
      </c>
      <c r="E5" s="32">
        <v>1282</v>
      </c>
      <c r="F5" s="32">
        <v>926</v>
      </c>
      <c r="G5" s="32">
        <v>150</v>
      </c>
      <c r="H5" s="32">
        <v>481</v>
      </c>
      <c r="I5" s="32">
        <v>0</v>
      </c>
    </row>
    <row r="6" spans="1:9" x14ac:dyDescent="0.25">
      <c r="A6" s="4">
        <v>2</v>
      </c>
      <c r="B6" s="4">
        <v>1229999911</v>
      </c>
      <c r="C6" s="4" t="s">
        <v>599</v>
      </c>
      <c r="D6" s="45">
        <v>93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</row>
    <row r="7" spans="1:9" x14ac:dyDescent="0.25">
      <c r="A7" s="4">
        <v>3</v>
      </c>
      <c r="B7" s="4">
        <v>1229999990</v>
      </c>
      <c r="C7" s="4" t="s">
        <v>1094</v>
      </c>
      <c r="D7" s="45">
        <v>0</v>
      </c>
      <c r="E7" s="234">
        <v>33</v>
      </c>
      <c r="F7" s="234">
        <v>0</v>
      </c>
      <c r="G7" s="234">
        <v>0</v>
      </c>
      <c r="H7" s="42">
        <v>0</v>
      </c>
      <c r="I7" s="22">
        <v>0</v>
      </c>
    </row>
    <row r="8" spans="1:9" x14ac:dyDescent="0.25">
      <c r="A8" s="101"/>
      <c r="B8" s="548" t="s">
        <v>885</v>
      </c>
      <c r="C8" s="548"/>
      <c r="D8" s="106">
        <f>SUM(D5:D7)</f>
        <v>93</v>
      </c>
      <c r="E8" s="106">
        <f t="shared" ref="E8" si="0">SUM(E5:E7)</f>
        <v>1315</v>
      </c>
      <c r="F8" s="106">
        <f>SUM(F5:F7)</f>
        <v>926</v>
      </c>
      <c r="G8" s="106">
        <f>SUM(G5:G7)</f>
        <v>150</v>
      </c>
      <c r="H8" s="106">
        <f>SUM(H5:H7)</f>
        <v>481</v>
      </c>
      <c r="I8" s="106">
        <f>SUM(I5:I7)</f>
        <v>0</v>
      </c>
    </row>
    <row r="9" spans="1:9" x14ac:dyDescent="0.25">
      <c r="B9" s="11"/>
      <c r="C9" s="11"/>
      <c r="D9" s="43"/>
      <c r="E9" s="43"/>
      <c r="H9" s="18"/>
    </row>
    <row r="10" spans="1:9" ht="17.25" customHeight="1" x14ac:dyDescent="0.25">
      <c r="B10" s="14" t="s">
        <v>488</v>
      </c>
      <c r="D10" s="44"/>
      <c r="E10" s="27"/>
      <c r="H10" s="18"/>
    </row>
    <row r="11" spans="1:9" s="195" customFormat="1" ht="63" customHeight="1" x14ac:dyDescent="0.25">
      <c r="A11" s="194" t="s">
        <v>623</v>
      </c>
      <c r="B11" s="194" t="s">
        <v>0</v>
      </c>
      <c r="C11" s="194" t="s">
        <v>1</v>
      </c>
      <c r="D11" s="165" t="s">
        <v>1070</v>
      </c>
      <c r="E11" s="165" t="s">
        <v>1250</v>
      </c>
      <c r="F11" s="165" t="s">
        <v>1061</v>
      </c>
      <c r="G11" s="165" t="s">
        <v>1059</v>
      </c>
      <c r="H11" s="165" t="s">
        <v>1060</v>
      </c>
      <c r="I11" s="165" t="s">
        <v>1058</v>
      </c>
    </row>
    <row r="12" spans="1:9" x14ac:dyDescent="0.25">
      <c r="A12" s="4">
        <v>1</v>
      </c>
      <c r="B12" s="4">
        <v>1729998110</v>
      </c>
      <c r="C12" s="4" t="s">
        <v>596</v>
      </c>
      <c r="D12" s="41"/>
      <c r="E12" s="235">
        <f>39.5+39.5+38+79+270</f>
        <v>466</v>
      </c>
      <c r="F12" s="150">
        <v>0</v>
      </c>
      <c r="G12" s="32">
        <v>0</v>
      </c>
      <c r="H12" s="32">
        <v>0</v>
      </c>
      <c r="I12" s="32">
        <v>0</v>
      </c>
    </row>
    <row r="13" spans="1:9" x14ac:dyDescent="0.25">
      <c r="A13" s="4">
        <v>2</v>
      </c>
      <c r="B13" s="4">
        <v>1729999110</v>
      </c>
      <c r="C13" s="4" t="s">
        <v>881</v>
      </c>
      <c r="D13" s="41"/>
      <c r="E13" s="235">
        <v>0</v>
      </c>
      <c r="F13" s="150">
        <v>0</v>
      </c>
      <c r="G13" s="42">
        <v>0</v>
      </c>
      <c r="H13" s="42">
        <v>0</v>
      </c>
      <c r="I13" s="22">
        <v>0</v>
      </c>
    </row>
    <row r="14" spans="1:9" x14ac:dyDescent="0.25">
      <c r="A14" s="101"/>
      <c r="B14" s="548" t="s">
        <v>433</v>
      </c>
      <c r="C14" s="548"/>
      <c r="D14" s="106">
        <f>SUM(D12:D13)</f>
        <v>0</v>
      </c>
      <c r="E14" s="91">
        <f>SUM(E12:E13)</f>
        <v>466</v>
      </c>
      <c r="F14" s="151">
        <f>SUM(F12:F13)</f>
        <v>0</v>
      </c>
      <c r="G14" s="151">
        <f t="shared" ref="G14:H14" si="1">SUM(G12:G13)</f>
        <v>0</v>
      </c>
      <c r="H14" s="151">
        <f t="shared" si="1"/>
        <v>0</v>
      </c>
      <c r="I14" s="106">
        <f>SUM(I12:I13)</f>
        <v>0</v>
      </c>
    </row>
    <row r="15" spans="1:9" x14ac:dyDescent="0.25">
      <c r="D15" s="44"/>
      <c r="E15" s="27"/>
      <c r="H15" s="18"/>
    </row>
    <row r="16" spans="1:9" s="195" customFormat="1" ht="46.8" x14ac:dyDescent="0.25">
      <c r="A16" s="194" t="s">
        <v>623</v>
      </c>
      <c r="B16" s="194" t="s">
        <v>0</v>
      </c>
      <c r="C16" s="194" t="s">
        <v>1</v>
      </c>
      <c r="D16" s="165" t="s">
        <v>1070</v>
      </c>
      <c r="E16" s="165" t="s">
        <v>1250</v>
      </c>
      <c r="F16" s="165" t="s">
        <v>1061</v>
      </c>
      <c r="G16" s="165" t="s">
        <v>1059</v>
      </c>
      <c r="H16" s="165" t="s">
        <v>1060</v>
      </c>
      <c r="I16" s="165" t="s">
        <v>1058</v>
      </c>
    </row>
    <row r="17" spans="1:9" x14ac:dyDescent="0.25">
      <c r="A17" s="4">
        <v>1</v>
      </c>
      <c r="B17" s="4">
        <v>1729999550</v>
      </c>
      <c r="C17" s="4" t="s">
        <v>597</v>
      </c>
      <c r="D17" s="45">
        <v>87</v>
      </c>
      <c r="E17" s="32">
        <v>100</v>
      </c>
      <c r="F17" s="4">
        <v>0</v>
      </c>
      <c r="G17" s="4">
        <v>0</v>
      </c>
      <c r="H17" s="4">
        <v>0</v>
      </c>
      <c r="I17" s="4">
        <v>0</v>
      </c>
    </row>
    <row r="18" spans="1:9" s="7" customFormat="1" x14ac:dyDescent="0.25">
      <c r="A18" s="58">
        <v>2</v>
      </c>
      <c r="B18" s="58">
        <v>1729999930</v>
      </c>
      <c r="C18" s="59" t="s">
        <v>882</v>
      </c>
      <c r="D18" s="133">
        <v>305</v>
      </c>
      <c r="E18" s="236">
        <f>107+39+19.2+79+38.5+39-E17-4.75</f>
        <v>216.95</v>
      </c>
      <c r="F18" s="134">
        <v>130</v>
      </c>
      <c r="G18" s="134">
        <v>103</v>
      </c>
      <c r="H18" s="134">
        <v>130</v>
      </c>
      <c r="I18" s="134">
        <v>0</v>
      </c>
    </row>
    <row r="19" spans="1:9" s="7" customFormat="1" x14ac:dyDescent="0.25">
      <c r="A19" s="58">
        <v>3</v>
      </c>
      <c r="B19" s="58">
        <v>1729999931</v>
      </c>
      <c r="C19" s="59" t="s">
        <v>880</v>
      </c>
      <c r="D19" s="133">
        <v>0</v>
      </c>
      <c r="E19" s="134">
        <v>0</v>
      </c>
      <c r="F19" s="345">
        <v>726</v>
      </c>
      <c r="G19" s="345">
        <v>651</v>
      </c>
      <c r="H19" s="345">
        <v>651</v>
      </c>
      <c r="I19" s="345">
        <v>0</v>
      </c>
    </row>
    <row r="20" spans="1:9" x14ac:dyDescent="0.25">
      <c r="A20" s="4">
        <v>4</v>
      </c>
      <c r="B20" s="4">
        <v>1729999933</v>
      </c>
      <c r="C20" s="4" t="s">
        <v>598</v>
      </c>
      <c r="D20" s="45">
        <v>94</v>
      </c>
      <c r="E20" s="32">
        <v>77</v>
      </c>
      <c r="F20" s="346">
        <v>0</v>
      </c>
      <c r="G20" s="346">
        <v>0</v>
      </c>
      <c r="H20" s="346">
        <v>0</v>
      </c>
      <c r="I20" s="346">
        <v>0</v>
      </c>
    </row>
    <row r="21" spans="1:9" x14ac:dyDescent="0.25">
      <c r="A21" s="4">
        <v>5</v>
      </c>
      <c r="B21" s="4">
        <v>1729999932</v>
      </c>
      <c r="C21" s="4" t="s">
        <v>883</v>
      </c>
      <c r="D21" s="45">
        <v>558</v>
      </c>
      <c r="E21" s="32">
        <v>96</v>
      </c>
      <c r="F21" s="346">
        <v>100</v>
      </c>
      <c r="G21" s="346">
        <v>60</v>
      </c>
      <c r="H21" s="346">
        <v>60</v>
      </c>
      <c r="I21" s="346">
        <v>0</v>
      </c>
    </row>
    <row r="22" spans="1:9" x14ac:dyDescent="0.25">
      <c r="A22" s="101"/>
      <c r="B22" s="548" t="s">
        <v>433</v>
      </c>
      <c r="C22" s="548"/>
      <c r="D22" s="106">
        <f t="shared" ref="D22:E22" si="2">SUM(D17:D21)</f>
        <v>1044</v>
      </c>
      <c r="E22" s="106">
        <f t="shared" si="2"/>
        <v>489.95</v>
      </c>
      <c r="F22" s="106">
        <f>SUM(F17:F21)</f>
        <v>956</v>
      </c>
      <c r="G22" s="106">
        <f>SUM(G17:G21)</f>
        <v>814</v>
      </c>
      <c r="H22" s="106">
        <f>SUM(H17:H21)</f>
        <v>841</v>
      </c>
      <c r="I22" s="106">
        <f>SUM(I17:I21)</f>
        <v>0</v>
      </c>
    </row>
    <row r="23" spans="1:9" x14ac:dyDescent="0.25">
      <c r="E23" s="44"/>
      <c r="F23" s="27"/>
      <c r="H23" s="18"/>
    </row>
    <row r="24" spans="1:9" x14ac:dyDescent="0.25">
      <c r="A24" s="101"/>
      <c r="B24" s="548" t="s">
        <v>884</v>
      </c>
      <c r="C24" s="548"/>
      <c r="D24" s="106">
        <f>D22+D14+D8</f>
        <v>1137</v>
      </c>
      <c r="E24" s="106">
        <f>E22+E14+E8</f>
        <v>2270.9499999999998</v>
      </c>
      <c r="F24" s="106">
        <f t="shared" ref="F24:G24" si="3">F22+F14+F8</f>
        <v>1882</v>
      </c>
      <c r="G24" s="106">
        <f t="shared" si="3"/>
        <v>964</v>
      </c>
      <c r="H24" s="106">
        <f>H22+H14</f>
        <v>841</v>
      </c>
      <c r="I24" s="106">
        <f>I8+I14+I22</f>
        <v>0</v>
      </c>
    </row>
  </sheetData>
  <sheetProtection algorithmName="SHA-512" hashValue="inw7fEEJ8bII0U0bClx4OzWalXDcucrluDM1GlKZKAmD5HAoWIxsIHS4eknyfy68lqVvLsXyYUM2twO918q2Ow==" saltValue="KwaoKnsipjvf3mvdjrp8cA==" spinCount="100000" sheet="1" objects="1" scenarios="1"/>
  <mergeCells count="5">
    <mergeCell ref="B24:C24"/>
    <mergeCell ref="B8:C8"/>
    <mergeCell ref="B14:C14"/>
    <mergeCell ref="B22:C22"/>
    <mergeCell ref="A2:I2"/>
  </mergeCells>
  <pageMargins left="0.70866141732283472" right="0.70866141732283472" top="0.74803149606299213" bottom="0.74803149606299213" header="0.31496062992125984" footer="0.31496062992125984"/>
  <pageSetup paperSize="9" scale="82" firstPageNumber="17" orientation="portrait" useFirstPageNumber="1" r:id="rId1"/>
  <headerFooter>
    <oddFooter>עמוד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I57"/>
  <sheetViews>
    <sheetView rightToLeft="1" topLeftCell="A35" zoomScale="120" zoomScaleNormal="120" zoomScaleSheetLayoutView="79" workbookViewId="0">
      <selection activeCell="C44" sqref="C44:H44"/>
    </sheetView>
  </sheetViews>
  <sheetFormatPr defaultRowHeight="13.8" x14ac:dyDescent="0.25"/>
  <cols>
    <col min="1" max="1" width="3.09765625" customWidth="1"/>
    <col min="2" max="2" width="11.8984375" customWidth="1"/>
    <col min="3" max="3" width="23.296875" customWidth="1"/>
    <col min="4" max="4" width="10.8984375" customWidth="1"/>
    <col min="5" max="5" width="14.09765625" customWidth="1"/>
    <col min="6" max="7" width="13.8984375" customWidth="1"/>
    <col min="8" max="8" width="11.8984375" customWidth="1"/>
  </cols>
  <sheetData>
    <row r="2" spans="1:8" ht="22.8" x14ac:dyDescent="0.4">
      <c r="B2" s="9">
        <v>470</v>
      </c>
      <c r="C2" s="551" t="s">
        <v>502</v>
      </c>
      <c r="D2" s="551"/>
      <c r="E2" s="551"/>
      <c r="F2" s="551"/>
      <c r="G2" s="551"/>
      <c r="H2" s="551"/>
    </row>
    <row r="4" spans="1:8" s="195" customFormat="1" ht="31.2" x14ac:dyDescent="0.25">
      <c r="A4" s="194" t="s">
        <v>626</v>
      </c>
      <c r="B4" s="194" t="s">
        <v>444</v>
      </c>
      <c r="C4" s="194" t="s">
        <v>398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80" t="s">
        <v>1058</v>
      </c>
    </row>
    <row r="5" spans="1:8" x14ac:dyDescent="0.25">
      <c r="A5" s="4">
        <v>1</v>
      </c>
      <c r="B5" s="4">
        <v>1611000470</v>
      </c>
      <c r="C5" s="4" t="s">
        <v>161</v>
      </c>
      <c r="D5" s="96">
        <f>29+1</f>
        <v>30</v>
      </c>
      <c r="E5" s="29">
        <f>2.5*12+10</f>
        <v>40</v>
      </c>
      <c r="F5" s="4">
        <v>10</v>
      </c>
      <c r="G5" s="4">
        <v>40</v>
      </c>
      <c r="H5" s="4">
        <v>40</v>
      </c>
    </row>
    <row r="6" spans="1:8" x14ac:dyDescent="0.25">
      <c r="A6" s="4">
        <v>3</v>
      </c>
      <c r="B6" s="4">
        <v>1612000470</v>
      </c>
      <c r="C6" s="4" t="s">
        <v>168</v>
      </c>
      <c r="D6" s="96">
        <v>2</v>
      </c>
      <c r="E6" s="85">
        <v>40</v>
      </c>
      <c r="F6" s="4">
        <v>5</v>
      </c>
      <c r="G6" s="163">
        <v>40</v>
      </c>
      <c r="H6" s="163">
        <v>40</v>
      </c>
    </row>
    <row r="7" spans="1:8" x14ac:dyDescent="0.25">
      <c r="A7" s="4">
        <v>4</v>
      </c>
      <c r="B7" s="4">
        <v>1613000470</v>
      </c>
      <c r="C7" s="4" t="s">
        <v>173</v>
      </c>
      <c r="D7" s="96">
        <v>351</v>
      </c>
      <c r="E7" s="29">
        <f>27.5*12</f>
        <v>330</v>
      </c>
      <c r="F7" s="4">
        <v>197</v>
      </c>
      <c r="G7" s="163">
        <v>330</v>
      </c>
      <c r="H7" s="163">
        <v>330</v>
      </c>
    </row>
    <row r="8" spans="1:8" x14ac:dyDescent="0.25">
      <c r="A8" s="4">
        <v>5</v>
      </c>
      <c r="B8" s="4">
        <v>1613100470</v>
      </c>
      <c r="C8" s="4" t="s">
        <v>490</v>
      </c>
      <c r="D8" s="96">
        <v>92</v>
      </c>
      <c r="E8" s="85">
        <v>70</v>
      </c>
      <c r="F8" s="4">
        <v>43</v>
      </c>
      <c r="G8" s="163">
        <f>66+14</f>
        <v>80</v>
      </c>
      <c r="H8" s="163">
        <v>70</v>
      </c>
    </row>
    <row r="9" spans="1:8" x14ac:dyDescent="0.25">
      <c r="A9" s="4">
        <v>6</v>
      </c>
      <c r="B9" s="4">
        <v>1617000470</v>
      </c>
      <c r="C9" s="4" t="s">
        <v>192</v>
      </c>
      <c r="D9" s="96">
        <v>7</v>
      </c>
      <c r="E9" s="85">
        <v>7</v>
      </c>
      <c r="F9" s="4">
        <v>3</v>
      </c>
      <c r="G9" s="163">
        <v>7</v>
      </c>
      <c r="H9" s="163">
        <v>7</v>
      </c>
    </row>
    <row r="10" spans="1:8" x14ac:dyDescent="0.25">
      <c r="A10" s="4">
        <v>7</v>
      </c>
      <c r="B10" s="4">
        <v>1617100470</v>
      </c>
      <c r="C10" s="4" t="s">
        <v>192</v>
      </c>
      <c r="D10" s="96">
        <v>2</v>
      </c>
      <c r="E10" s="85">
        <v>3</v>
      </c>
      <c r="F10" s="4">
        <v>2</v>
      </c>
      <c r="G10" s="4">
        <v>3</v>
      </c>
      <c r="H10" s="4">
        <v>3</v>
      </c>
    </row>
    <row r="11" spans="1:8" x14ac:dyDescent="0.25">
      <c r="A11" s="4">
        <v>8</v>
      </c>
      <c r="B11" s="4">
        <v>1621000470</v>
      </c>
      <c r="C11" s="4" t="s">
        <v>193</v>
      </c>
      <c r="D11" s="96">
        <v>25</v>
      </c>
      <c r="E11" s="96">
        <f>1.67*12</f>
        <v>20.04</v>
      </c>
      <c r="F11" s="4">
        <v>12</v>
      </c>
      <c r="G11" s="4">
        <v>20</v>
      </c>
      <c r="H11" s="4">
        <v>20</v>
      </c>
    </row>
    <row r="12" spans="1:8" x14ac:dyDescent="0.25">
      <c r="A12" s="4">
        <v>9</v>
      </c>
      <c r="B12" s="4">
        <v>1621300470</v>
      </c>
      <c r="C12" s="4" t="s">
        <v>198</v>
      </c>
      <c r="D12" s="96">
        <v>10</v>
      </c>
      <c r="E12" s="85">
        <v>12</v>
      </c>
      <c r="F12" s="4">
        <v>7</v>
      </c>
      <c r="G12" s="4">
        <v>12</v>
      </c>
      <c r="H12" s="4">
        <v>12</v>
      </c>
    </row>
    <row r="13" spans="1:8" x14ac:dyDescent="0.25">
      <c r="A13" s="4">
        <v>10</v>
      </c>
      <c r="B13" s="4">
        <v>1621310470</v>
      </c>
      <c r="C13" s="4" t="s">
        <v>198</v>
      </c>
      <c r="D13" s="96">
        <v>5</v>
      </c>
      <c r="E13" s="85">
        <v>6</v>
      </c>
      <c r="F13" s="4">
        <v>1</v>
      </c>
      <c r="G13" s="4">
        <v>6</v>
      </c>
      <c r="H13" s="4">
        <v>6</v>
      </c>
    </row>
    <row r="14" spans="1:8" x14ac:dyDescent="0.25">
      <c r="A14" s="4">
        <v>11</v>
      </c>
      <c r="B14" s="4">
        <v>1623000470</v>
      </c>
      <c r="C14" s="4" t="s">
        <v>201</v>
      </c>
      <c r="D14" s="96">
        <v>37</v>
      </c>
      <c r="E14" s="85">
        <v>24</v>
      </c>
      <c r="F14" s="4">
        <v>15</v>
      </c>
      <c r="G14" s="4">
        <v>24</v>
      </c>
      <c r="H14" s="4">
        <v>24</v>
      </c>
    </row>
    <row r="15" spans="1:8" x14ac:dyDescent="0.25">
      <c r="A15" s="4">
        <v>12</v>
      </c>
      <c r="B15" s="4">
        <v>1711000470</v>
      </c>
      <c r="C15" s="4" t="s">
        <v>207</v>
      </c>
      <c r="D15" s="96">
        <v>19</v>
      </c>
      <c r="E15" s="29">
        <f>12*1.5</f>
        <v>18</v>
      </c>
      <c r="F15" s="4">
        <v>11</v>
      </c>
      <c r="G15" s="4">
        <v>18</v>
      </c>
      <c r="H15" s="4">
        <v>18</v>
      </c>
    </row>
    <row r="16" spans="1:8" x14ac:dyDescent="0.25">
      <c r="A16" s="4">
        <v>13</v>
      </c>
      <c r="B16" s="4">
        <v>1721000470</v>
      </c>
      <c r="C16" s="4" t="s">
        <v>226</v>
      </c>
      <c r="D16" s="96">
        <v>11</v>
      </c>
      <c r="E16" s="29">
        <f>0.75*12</f>
        <v>9</v>
      </c>
      <c r="F16" s="4">
        <v>3</v>
      </c>
      <c r="G16" s="4">
        <v>9</v>
      </c>
      <c r="H16" s="4">
        <v>9</v>
      </c>
    </row>
    <row r="17" spans="1:8" x14ac:dyDescent="0.25">
      <c r="A17" s="4">
        <v>14</v>
      </c>
      <c r="B17" s="4">
        <v>1722100470</v>
      </c>
      <c r="C17" s="4" t="s">
        <v>1043</v>
      </c>
      <c r="D17" s="96">
        <v>1</v>
      </c>
      <c r="E17" s="85">
        <v>2</v>
      </c>
      <c r="F17" s="4">
        <v>2</v>
      </c>
      <c r="G17" s="4">
        <v>2</v>
      </c>
      <c r="H17" s="4">
        <v>2</v>
      </c>
    </row>
    <row r="18" spans="1:8" x14ac:dyDescent="0.25">
      <c r="A18" s="4">
        <v>15</v>
      </c>
      <c r="B18" s="4">
        <v>1731000470</v>
      </c>
      <c r="C18" s="4" t="s">
        <v>238</v>
      </c>
      <c r="D18" s="96">
        <v>37</v>
      </c>
      <c r="E18" s="85">
        <v>42</v>
      </c>
      <c r="F18" s="4">
        <v>17</v>
      </c>
      <c r="G18" s="4">
        <v>42</v>
      </c>
      <c r="H18" s="4">
        <v>42</v>
      </c>
    </row>
    <row r="19" spans="1:8" x14ac:dyDescent="0.25">
      <c r="A19" s="4">
        <v>16</v>
      </c>
      <c r="B19" s="4">
        <v>1731100470</v>
      </c>
      <c r="C19" s="4" t="s">
        <v>238</v>
      </c>
      <c r="D19" s="96">
        <v>2</v>
      </c>
      <c r="E19" s="85">
        <v>4</v>
      </c>
      <c r="F19" s="4">
        <v>4</v>
      </c>
      <c r="G19" s="4">
        <v>4</v>
      </c>
      <c r="H19" s="4">
        <v>4</v>
      </c>
    </row>
    <row r="20" spans="1:8" x14ac:dyDescent="0.25">
      <c r="A20" s="4">
        <v>17</v>
      </c>
      <c r="B20" s="4">
        <v>1732000470</v>
      </c>
      <c r="C20" s="4" t="s">
        <v>244</v>
      </c>
      <c r="D20" s="131">
        <v>0</v>
      </c>
      <c r="E20" s="89">
        <v>1</v>
      </c>
      <c r="F20" s="4">
        <v>0</v>
      </c>
      <c r="G20" s="4">
        <v>1</v>
      </c>
      <c r="H20" s="4">
        <v>1</v>
      </c>
    </row>
    <row r="21" spans="1:8" x14ac:dyDescent="0.25">
      <c r="A21" s="4">
        <v>18</v>
      </c>
      <c r="B21" s="4">
        <v>1746000470</v>
      </c>
      <c r="C21" s="4" t="s">
        <v>250</v>
      </c>
      <c r="D21" s="131">
        <v>3</v>
      </c>
      <c r="E21" s="131">
        <v>0</v>
      </c>
      <c r="F21" s="4">
        <v>2</v>
      </c>
      <c r="G21" s="4">
        <v>2</v>
      </c>
      <c r="H21" s="4">
        <v>2</v>
      </c>
    </row>
    <row r="22" spans="1:8" x14ac:dyDescent="0.25">
      <c r="A22" s="4">
        <v>19</v>
      </c>
      <c r="B22" s="4">
        <v>1770000470</v>
      </c>
      <c r="C22" s="4" t="s">
        <v>268</v>
      </c>
      <c r="D22" s="131">
        <v>0</v>
      </c>
      <c r="E22" s="89">
        <v>1</v>
      </c>
      <c r="F22" s="4">
        <v>0</v>
      </c>
      <c r="G22" s="4">
        <v>1</v>
      </c>
      <c r="H22" s="4">
        <v>1</v>
      </c>
    </row>
    <row r="23" spans="1:8" x14ac:dyDescent="0.25">
      <c r="A23" s="4">
        <v>20</v>
      </c>
      <c r="B23" s="4">
        <v>1772000470</v>
      </c>
      <c r="C23" s="4" t="s">
        <v>1045</v>
      </c>
      <c r="D23" s="131">
        <v>9</v>
      </c>
      <c r="E23" s="89">
        <v>10</v>
      </c>
      <c r="F23" s="4">
        <v>2</v>
      </c>
      <c r="G23" s="4">
        <v>10</v>
      </c>
      <c r="H23" s="4">
        <v>10</v>
      </c>
    </row>
    <row r="24" spans="1:8" x14ac:dyDescent="0.25">
      <c r="A24" s="4">
        <v>21</v>
      </c>
      <c r="B24" s="4">
        <v>1782000470</v>
      </c>
      <c r="C24" s="4" t="s">
        <v>272</v>
      </c>
      <c r="D24" s="131">
        <v>0</v>
      </c>
      <c r="E24" s="89">
        <v>1</v>
      </c>
      <c r="F24" s="4">
        <v>0</v>
      </c>
      <c r="G24" s="4">
        <v>0</v>
      </c>
      <c r="H24" s="4">
        <v>0</v>
      </c>
    </row>
    <row r="25" spans="1:8" x14ac:dyDescent="0.25">
      <c r="A25" s="4">
        <v>22</v>
      </c>
      <c r="B25" s="4">
        <v>1811000470</v>
      </c>
      <c r="C25" s="4" t="s">
        <v>273</v>
      </c>
      <c r="D25" s="131">
        <v>28</v>
      </c>
      <c r="E25" s="89">
        <v>24</v>
      </c>
      <c r="F25" s="4">
        <v>13</v>
      </c>
      <c r="G25" s="4">
        <v>24</v>
      </c>
      <c r="H25" s="4">
        <v>24</v>
      </c>
    </row>
    <row r="26" spans="1:8" x14ac:dyDescent="0.25">
      <c r="A26" s="4">
        <v>23</v>
      </c>
      <c r="B26" s="4">
        <v>1813210470</v>
      </c>
      <c r="C26" s="4" t="s">
        <v>492</v>
      </c>
      <c r="D26" s="131">
        <v>6</v>
      </c>
      <c r="E26" s="89">
        <v>4</v>
      </c>
      <c r="F26" s="4">
        <v>0</v>
      </c>
      <c r="G26" s="4">
        <v>4</v>
      </c>
      <c r="H26" s="4">
        <v>4</v>
      </c>
    </row>
    <row r="27" spans="1:8" x14ac:dyDescent="0.25">
      <c r="A27" s="4">
        <v>24</v>
      </c>
      <c r="B27" s="4">
        <v>1813700470</v>
      </c>
      <c r="C27" s="4" t="s">
        <v>294</v>
      </c>
      <c r="D27" s="131">
        <v>2</v>
      </c>
      <c r="E27" s="131">
        <v>0</v>
      </c>
      <c r="F27" s="4">
        <v>1</v>
      </c>
      <c r="G27" s="4">
        <v>1</v>
      </c>
      <c r="H27" s="4">
        <v>1</v>
      </c>
    </row>
    <row r="28" spans="1:8" x14ac:dyDescent="0.25">
      <c r="A28" s="4">
        <v>25</v>
      </c>
      <c r="B28" s="4">
        <v>1815500470</v>
      </c>
      <c r="C28" s="4" t="s">
        <v>493</v>
      </c>
      <c r="D28" s="131">
        <v>0</v>
      </c>
      <c r="E28" s="89">
        <v>1</v>
      </c>
      <c r="F28" s="4">
        <v>0</v>
      </c>
      <c r="G28" s="4">
        <v>1</v>
      </c>
      <c r="H28" s="4">
        <v>1</v>
      </c>
    </row>
    <row r="29" spans="1:8" x14ac:dyDescent="0.25">
      <c r="A29" s="4">
        <v>26</v>
      </c>
      <c r="B29" s="4">
        <v>1815510470</v>
      </c>
      <c r="C29" s="4" t="s">
        <v>493</v>
      </c>
      <c r="D29" s="131">
        <v>10</v>
      </c>
      <c r="E29" s="89">
        <v>14</v>
      </c>
      <c r="F29" s="4">
        <v>4</v>
      </c>
      <c r="G29" s="163">
        <f>13-7</f>
        <v>6</v>
      </c>
      <c r="H29" s="163">
        <v>6</v>
      </c>
    </row>
    <row r="30" spans="1:8" x14ac:dyDescent="0.25">
      <c r="A30" s="4">
        <v>27</v>
      </c>
      <c r="B30" s="4">
        <v>1817300470</v>
      </c>
      <c r="C30" s="4" t="s">
        <v>299</v>
      </c>
      <c r="D30" s="131">
        <v>7</v>
      </c>
      <c r="E30" s="89">
        <v>4</v>
      </c>
      <c r="F30" s="4">
        <v>2</v>
      </c>
      <c r="G30" s="4">
        <v>4</v>
      </c>
      <c r="H30" s="4">
        <v>4</v>
      </c>
    </row>
    <row r="31" spans="1:8" x14ac:dyDescent="0.25">
      <c r="A31" s="4">
        <v>28</v>
      </c>
      <c r="B31" s="4">
        <v>1822110470</v>
      </c>
      <c r="C31" s="4" t="s">
        <v>1044</v>
      </c>
      <c r="D31" s="131">
        <v>2</v>
      </c>
      <c r="E31" s="89">
        <v>1</v>
      </c>
      <c r="F31" s="4">
        <v>1</v>
      </c>
      <c r="G31" s="4">
        <v>1</v>
      </c>
      <c r="H31" s="4">
        <v>1</v>
      </c>
    </row>
    <row r="32" spans="1:8" x14ac:dyDescent="0.25">
      <c r="A32" s="4">
        <v>29</v>
      </c>
      <c r="B32" s="4">
        <v>1822200470</v>
      </c>
      <c r="C32" s="4" t="s">
        <v>308</v>
      </c>
      <c r="D32" s="131">
        <v>6</v>
      </c>
      <c r="E32" s="89">
        <v>3</v>
      </c>
      <c r="F32" s="4">
        <v>3</v>
      </c>
      <c r="G32" s="4">
        <v>3</v>
      </c>
      <c r="H32" s="4">
        <v>3</v>
      </c>
    </row>
    <row r="33" spans="1:9" x14ac:dyDescent="0.25">
      <c r="A33" s="4">
        <v>30</v>
      </c>
      <c r="B33" s="4">
        <v>1823000470</v>
      </c>
      <c r="C33" s="4" t="s">
        <v>316</v>
      </c>
      <c r="D33" s="131">
        <v>4</v>
      </c>
      <c r="E33" s="89">
        <v>3</v>
      </c>
      <c r="F33" s="4">
        <v>3</v>
      </c>
      <c r="G33" s="4">
        <v>3</v>
      </c>
      <c r="H33" s="4">
        <v>3</v>
      </c>
    </row>
    <row r="34" spans="1:9" x14ac:dyDescent="0.25">
      <c r="A34" s="4">
        <v>31</v>
      </c>
      <c r="B34" s="4">
        <v>1826100470</v>
      </c>
      <c r="C34" s="4" t="s">
        <v>494</v>
      </c>
      <c r="D34" s="131">
        <v>6</v>
      </c>
      <c r="E34" s="89">
        <v>6</v>
      </c>
      <c r="F34" s="4">
        <v>12</v>
      </c>
      <c r="G34" s="4">
        <v>12</v>
      </c>
      <c r="H34" s="4">
        <v>12</v>
      </c>
    </row>
    <row r="35" spans="1:9" x14ac:dyDescent="0.25">
      <c r="A35" s="4">
        <v>32</v>
      </c>
      <c r="B35" s="4">
        <v>1828200470</v>
      </c>
      <c r="C35" s="4" t="s">
        <v>326</v>
      </c>
      <c r="D35" s="131">
        <v>7</v>
      </c>
      <c r="E35" s="89">
        <v>10</v>
      </c>
      <c r="F35" s="4">
        <v>2</v>
      </c>
      <c r="G35" s="4">
        <v>10</v>
      </c>
      <c r="H35" s="4">
        <v>10</v>
      </c>
    </row>
    <row r="36" spans="1:9" x14ac:dyDescent="0.25">
      <c r="A36" s="4">
        <v>33</v>
      </c>
      <c r="B36" s="4">
        <v>1841000470</v>
      </c>
      <c r="C36" s="4" t="s">
        <v>330</v>
      </c>
      <c r="D36" s="131">
        <v>18</v>
      </c>
      <c r="E36" s="89">
        <v>20</v>
      </c>
      <c r="F36" s="4">
        <v>8</v>
      </c>
      <c r="G36" s="4">
        <v>20</v>
      </c>
      <c r="H36" s="4">
        <v>20</v>
      </c>
    </row>
    <row r="37" spans="1:9" hidden="1" x14ac:dyDescent="0.25">
      <c r="A37" s="4">
        <v>34</v>
      </c>
      <c r="B37" s="4">
        <v>1844400470</v>
      </c>
      <c r="C37" s="4" t="s">
        <v>330</v>
      </c>
      <c r="D37" s="131">
        <v>0</v>
      </c>
      <c r="E37" s="131">
        <v>0</v>
      </c>
      <c r="F37" s="4"/>
      <c r="G37" s="4"/>
      <c r="H37" s="4"/>
    </row>
    <row r="38" spans="1:9" x14ac:dyDescent="0.25">
      <c r="A38" s="4">
        <v>35</v>
      </c>
      <c r="B38" s="4">
        <v>1860000470</v>
      </c>
      <c r="C38" s="4" t="s">
        <v>369</v>
      </c>
      <c r="D38" s="131">
        <v>3</v>
      </c>
      <c r="E38" s="89">
        <v>4</v>
      </c>
      <c r="F38" s="4">
        <v>3</v>
      </c>
      <c r="G38" s="4">
        <v>4</v>
      </c>
      <c r="H38" s="4">
        <v>4</v>
      </c>
    </row>
    <row r="39" spans="1:9" x14ac:dyDescent="0.25">
      <c r="A39" s="4">
        <v>36</v>
      </c>
      <c r="B39" s="4">
        <v>1913000470</v>
      </c>
      <c r="C39" s="4" t="s">
        <v>372</v>
      </c>
      <c r="D39" s="131">
        <v>2</v>
      </c>
      <c r="E39" s="89">
        <v>3</v>
      </c>
      <c r="F39" s="4">
        <v>1</v>
      </c>
      <c r="G39" s="4">
        <v>3</v>
      </c>
      <c r="H39" s="4">
        <v>3</v>
      </c>
    </row>
    <row r="40" spans="1:9" x14ac:dyDescent="0.25">
      <c r="A40" s="4">
        <v>37</v>
      </c>
      <c r="B40" s="4">
        <v>1933000470</v>
      </c>
      <c r="C40" s="4" t="s">
        <v>376</v>
      </c>
      <c r="D40" s="131">
        <v>9</v>
      </c>
      <c r="E40" s="89">
        <v>13</v>
      </c>
      <c r="F40" s="4">
        <v>2</v>
      </c>
      <c r="G40" s="4">
        <v>13</v>
      </c>
      <c r="H40" s="4">
        <v>13</v>
      </c>
    </row>
    <row r="41" spans="1:9" x14ac:dyDescent="0.25">
      <c r="A41" s="4">
        <v>38</v>
      </c>
      <c r="B41" s="4">
        <v>1943000470</v>
      </c>
      <c r="C41" s="233" t="s">
        <v>380</v>
      </c>
      <c r="D41" s="244">
        <v>1</v>
      </c>
      <c r="E41" s="160">
        <v>3</v>
      </c>
      <c r="F41" s="233">
        <v>2</v>
      </c>
      <c r="G41" s="4">
        <v>3</v>
      </c>
      <c r="H41" s="4">
        <v>3</v>
      </c>
    </row>
    <row r="42" spans="1:9" x14ac:dyDescent="0.25">
      <c r="A42" s="101"/>
      <c r="B42" s="548" t="s">
        <v>433</v>
      </c>
      <c r="C42" s="548"/>
      <c r="D42" s="143">
        <f t="shared" ref="D42:H42" si="0">SUM(D5:D41)</f>
        <v>754</v>
      </c>
      <c r="E42" s="143">
        <f t="shared" si="0"/>
        <v>753.04</v>
      </c>
      <c r="F42" s="143">
        <f t="shared" si="0"/>
        <v>393</v>
      </c>
      <c r="G42" s="143">
        <f t="shared" si="0"/>
        <v>763</v>
      </c>
      <c r="H42" s="143">
        <f t="shared" si="0"/>
        <v>753</v>
      </c>
    </row>
    <row r="43" spans="1:9" x14ac:dyDescent="0.25">
      <c r="B43" s="17"/>
      <c r="C43" s="17"/>
      <c r="D43" s="191"/>
      <c r="E43" s="18"/>
    </row>
    <row r="44" spans="1:9" ht="22.8" x14ac:dyDescent="0.4">
      <c r="B44" s="9">
        <v>511</v>
      </c>
      <c r="C44" s="551" t="s">
        <v>447</v>
      </c>
      <c r="D44" s="551"/>
      <c r="E44" s="551"/>
      <c r="F44" s="551"/>
      <c r="G44" s="551"/>
      <c r="H44" s="551"/>
    </row>
    <row r="46" spans="1:9" s="195" customFormat="1" ht="31.2" x14ac:dyDescent="0.25">
      <c r="A46" s="194" t="s">
        <v>626</v>
      </c>
      <c r="B46" s="194" t="s">
        <v>444</v>
      </c>
      <c r="C46" s="194" t="s">
        <v>398</v>
      </c>
      <c r="D46" s="165" t="s">
        <v>1250</v>
      </c>
      <c r="E46" s="165" t="s">
        <v>1061</v>
      </c>
      <c r="F46" s="165" t="s">
        <v>1059</v>
      </c>
      <c r="G46" s="165" t="s">
        <v>1060</v>
      </c>
      <c r="H46" s="165" t="s">
        <v>1058</v>
      </c>
      <c r="I46" s="205"/>
    </row>
    <row r="47" spans="1:9" x14ac:dyDescent="0.25">
      <c r="A47" s="4">
        <v>1</v>
      </c>
      <c r="B47" s="4">
        <v>1611000511</v>
      </c>
      <c r="C47" s="4" t="s">
        <v>162</v>
      </c>
      <c r="D47" s="96">
        <v>10</v>
      </c>
      <c r="E47" s="85">
        <v>12</v>
      </c>
      <c r="F47" s="4">
        <v>14</v>
      </c>
      <c r="G47" s="4">
        <v>18</v>
      </c>
      <c r="H47" s="4">
        <v>12</v>
      </c>
      <c r="I47" s="79"/>
    </row>
    <row r="48" spans="1:9" x14ac:dyDescent="0.25">
      <c r="A48" s="4">
        <v>2</v>
      </c>
      <c r="B48" s="4">
        <v>1613000511</v>
      </c>
      <c r="C48" s="233" t="s">
        <v>174</v>
      </c>
      <c r="D48" s="96">
        <v>94</v>
      </c>
      <c r="E48" s="85">
        <f>7*12</f>
        <v>84</v>
      </c>
      <c r="F48" s="4">
        <v>78</v>
      </c>
      <c r="G48" s="4">
        <v>107</v>
      </c>
      <c r="H48" s="4">
        <v>84</v>
      </c>
      <c r="I48" s="79"/>
    </row>
    <row r="49" spans="1:9" x14ac:dyDescent="0.25">
      <c r="A49" s="4">
        <v>3</v>
      </c>
      <c r="B49" s="4">
        <v>1617000511</v>
      </c>
      <c r="C49" s="4" t="s">
        <v>186</v>
      </c>
      <c r="D49" s="96">
        <v>1</v>
      </c>
      <c r="E49" s="85">
        <v>1</v>
      </c>
      <c r="F49" s="4">
        <v>1</v>
      </c>
      <c r="G49" s="4">
        <v>1</v>
      </c>
      <c r="H49" s="4">
        <v>1</v>
      </c>
      <c r="I49" s="79"/>
    </row>
    <row r="50" spans="1:9" x14ac:dyDescent="0.25">
      <c r="A50" s="4">
        <v>4</v>
      </c>
      <c r="B50" s="4">
        <v>1621000511</v>
      </c>
      <c r="C50" s="4" t="s">
        <v>194</v>
      </c>
      <c r="D50" s="96">
        <v>3</v>
      </c>
      <c r="E50" s="85">
        <v>3</v>
      </c>
      <c r="F50" s="4">
        <v>2</v>
      </c>
      <c r="G50" s="4">
        <v>3</v>
      </c>
      <c r="H50" s="4">
        <v>3</v>
      </c>
      <c r="I50" s="79"/>
    </row>
    <row r="51" spans="1:9" x14ac:dyDescent="0.25">
      <c r="A51" s="4">
        <v>5</v>
      </c>
      <c r="B51" s="4">
        <v>1621300511</v>
      </c>
      <c r="C51" s="4" t="s">
        <v>199</v>
      </c>
      <c r="D51" s="96">
        <v>1</v>
      </c>
      <c r="E51" s="85">
        <v>1</v>
      </c>
      <c r="F51" s="4">
        <v>2</v>
      </c>
      <c r="G51" s="4">
        <v>1</v>
      </c>
      <c r="H51" s="4">
        <v>1</v>
      </c>
      <c r="I51" s="79"/>
    </row>
    <row r="52" spans="1:9" x14ac:dyDescent="0.25">
      <c r="A52" s="4">
        <v>6</v>
      </c>
      <c r="B52" s="4">
        <v>1623000511</v>
      </c>
      <c r="C52" s="4" t="s">
        <v>202</v>
      </c>
      <c r="D52" s="131">
        <v>0</v>
      </c>
      <c r="E52" s="89">
        <v>1</v>
      </c>
      <c r="F52" s="4">
        <v>0</v>
      </c>
      <c r="G52" s="4">
        <v>1</v>
      </c>
      <c r="H52" s="4">
        <v>1</v>
      </c>
      <c r="I52" s="79"/>
    </row>
    <row r="53" spans="1:9" x14ac:dyDescent="0.25">
      <c r="A53" s="4">
        <v>7</v>
      </c>
      <c r="B53" s="4">
        <v>1711000511</v>
      </c>
      <c r="C53" s="4" t="s">
        <v>208</v>
      </c>
      <c r="D53" s="131">
        <v>0</v>
      </c>
      <c r="E53" s="89">
        <v>1</v>
      </c>
      <c r="F53" s="4">
        <v>0</v>
      </c>
      <c r="G53" s="4">
        <v>1</v>
      </c>
      <c r="H53" s="4">
        <v>1</v>
      </c>
      <c r="I53" s="79"/>
    </row>
    <row r="54" spans="1:9" x14ac:dyDescent="0.25">
      <c r="A54" s="4">
        <v>8</v>
      </c>
      <c r="B54" s="4">
        <v>1731000511</v>
      </c>
      <c r="C54" s="4" t="s">
        <v>239</v>
      </c>
      <c r="D54" s="131">
        <v>1</v>
      </c>
      <c r="E54" s="89">
        <v>1</v>
      </c>
      <c r="F54" s="4">
        <v>0</v>
      </c>
      <c r="G54" s="4">
        <v>1</v>
      </c>
      <c r="H54" s="4">
        <v>0</v>
      </c>
    </row>
    <row r="55" spans="1:9" x14ac:dyDescent="0.25">
      <c r="A55" s="4">
        <v>9</v>
      </c>
      <c r="B55" s="4">
        <v>1772000511</v>
      </c>
      <c r="C55" s="4" t="s">
        <v>1127</v>
      </c>
      <c r="D55" s="131">
        <v>13</v>
      </c>
      <c r="E55" s="131">
        <v>20</v>
      </c>
      <c r="F55" s="4">
        <v>15</v>
      </c>
      <c r="G55" s="4">
        <v>20</v>
      </c>
      <c r="H55" s="4">
        <v>20</v>
      </c>
    </row>
    <row r="56" spans="1:9" x14ac:dyDescent="0.25">
      <c r="A56" s="4">
        <v>10</v>
      </c>
      <c r="B56" s="4">
        <v>1841000511</v>
      </c>
      <c r="C56" s="4" t="s">
        <v>331</v>
      </c>
      <c r="D56" s="131">
        <v>0</v>
      </c>
      <c r="E56" s="131">
        <v>0</v>
      </c>
      <c r="F56" s="4">
        <v>0</v>
      </c>
      <c r="G56" s="4">
        <v>7</v>
      </c>
      <c r="H56" s="4">
        <v>17</v>
      </c>
    </row>
    <row r="57" spans="1:9" x14ac:dyDescent="0.25">
      <c r="A57" s="101"/>
      <c r="B57" s="548" t="s">
        <v>433</v>
      </c>
      <c r="C57" s="548"/>
      <c r="D57" s="143">
        <f t="shared" ref="D57:H57" si="1">SUM(D47:D56)</f>
        <v>123</v>
      </c>
      <c r="E57" s="143">
        <f t="shared" si="1"/>
        <v>124</v>
      </c>
      <c r="F57" s="143">
        <f t="shared" si="1"/>
        <v>112</v>
      </c>
      <c r="G57" s="143">
        <f t="shared" si="1"/>
        <v>160</v>
      </c>
      <c r="H57" s="143">
        <f t="shared" si="1"/>
        <v>140</v>
      </c>
    </row>
  </sheetData>
  <sheetProtection algorithmName="SHA-512" hashValue="S2454ibCbcjGe9fhDjxP7cripPuCemPIItt/QEVF+swejySgVIN6p+eKSAjcEvEhx1F9/YqwHPvNX6+lELf4fQ==" saltValue="/IOef/9AucWoh6TyAyjumA==" spinCount="100000" sheet="1" objects="1" scenarios="1"/>
  <mergeCells count="4">
    <mergeCell ref="B42:C42"/>
    <mergeCell ref="B57:C57"/>
    <mergeCell ref="C2:H2"/>
    <mergeCell ref="C44:H44"/>
  </mergeCells>
  <pageMargins left="0.15748031496062992" right="0.31496062992125984" top="0.74803149606299213" bottom="0.74803149606299213" header="0.31496062992125984" footer="0.31496062992125984"/>
  <pageSetup paperSize="9" firstPageNumber="18" fitToHeight="0" orientation="portrait" useFirstPageNumber="1" r:id="rId1"/>
  <headerFooter>
    <oddFooter>עמוד &amp;P</oddFooter>
  </headerFooter>
  <rowBreaks count="1" manualBreakCount="1">
    <brk id="43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S36"/>
  <sheetViews>
    <sheetView rightToLeft="1" zoomScale="110" zoomScaleNormal="110" zoomScaleSheetLayoutView="85" workbookViewId="0">
      <selection activeCell="J33" sqref="J33"/>
    </sheetView>
  </sheetViews>
  <sheetFormatPr defaultRowHeight="13.8" x14ac:dyDescent="0.25"/>
  <cols>
    <col min="1" max="1" width="3.09765625" customWidth="1"/>
    <col min="2" max="2" width="14.59765625" customWidth="1"/>
    <col min="3" max="3" width="27.59765625" customWidth="1"/>
    <col min="4" max="4" width="10.69921875" style="34" customWidth="1"/>
    <col min="5" max="5" width="13.796875" customWidth="1"/>
    <col min="6" max="6" width="14" customWidth="1"/>
    <col min="7" max="7" width="12.59765625" customWidth="1"/>
    <col min="8" max="8" width="15.59765625" customWidth="1"/>
    <col min="9" max="9" width="11.09765625" bestFit="1" customWidth="1"/>
  </cols>
  <sheetData>
    <row r="2" spans="1:11" ht="22.8" x14ac:dyDescent="0.25">
      <c r="B2" s="206" t="s">
        <v>1085</v>
      </c>
      <c r="C2" s="556" t="s">
        <v>442</v>
      </c>
      <c r="D2" s="556"/>
      <c r="E2" s="556"/>
      <c r="F2" s="556"/>
      <c r="G2" s="556"/>
      <c r="H2" s="556"/>
    </row>
    <row r="3" spans="1:11" ht="17.399999999999999" x14ac:dyDescent="0.3">
      <c r="B3" s="6"/>
      <c r="C3" s="6"/>
    </row>
    <row r="4" spans="1:11" s="195" customFormat="1" ht="31.2" x14ac:dyDescent="0.25">
      <c r="A4" s="194" t="s">
        <v>623</v>
      </c>
      <c r="B4" s="194" t="s">
        <v>1251</v>
      </c>
      <c r="C4" s="194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1" s="207" customFormat="1" x14ac:dyDescent="0.25">
      <c r="A5" s="213">
        <v>1</v>
      </c>
      <c r="B5" s="250">
        <v>1613000430</v>
      </c>
      <c r="C5" s="250" t="s">
        <v>1163</v>
      </c>
      <c r="D5" s="269">
        <f>2734+2</f>
        <v>2736</v>
      </c>
      <c r="E5" s="269">
        <v>610</v>
      </c>
      <c r="F5" s="213">
        <f>1097+1</f>
        <v>1098</v>
      </c>
      <c r="G5" s="213">
        <v>2100</v>
      </c>
      <c r="H5" s="213">
        <v>2100</v>
      </c>
      <c r="J5" s="270"/>
      <c r="K5" s="271"/>
    </row>
    <row r="6" spans="1:11" x14ac:dyDescent="0.25">
      <c r="A6" s="4">
        <v>2</v>
      </c>
      <c r="B6" s="4">
        <v>1617000430</v>
      </c>
      <c r="C6" s="4" t="s">
        <v>185</v>
      </c>
      <c r="D6" s="89">
        <v>1</v>
      </c>
      <c r="E6" s="89">
        <v>1</v>
      </c>
      <c r="F6" s="4">
        <v>1</v>
      </c>
      <c r="G6" s="4">
        <v>1</v>
      </c>
      <c r="H6" s="4">
        <v>0</v>
      </c>
      <c r="I6" s="1"/>
      <c r="J6" s="1"/>
      <c r="K6" s="79"/>
    </row>
    <row r="7" spans="1:11" x14ac:dyDescent="0.25">
      <c r="A7" s="213">
        <v>3</v>
      </c>
      <c r="B7" s="4">
        <v>1715000430</v>
      </c>
      <c r="C7" s="4" t="s">
        <v>225</v>
      </c>
      <c r="D7" s="89">
        <v>1</v>
      </c>
      <c r="E7" s="89">
        <v>1</v>
      </c>
      <c r="F7" s="4">
        <v>0</v>
      </c>
      <c r="G7" s="4">
        <v>0</v>
      </c>
      <c r="H7" s="4">
        <v>0</v>
      </c>
      <c r="I7" s="1"/>
      <c r="J7" s="1"/>
      <c r="K7" s="79"/>
    </row>
    <row r="8" spans="1:11" x14ac:dyDescent="0.25">
      <c r="A8" s="4">
        <v>4</v>
      </c>
      <c r="B8" s="4">
        <v>1723000430</v>
      </c>
      <c r="C8" s="4" t="s">
        <v>912</v>
      </c>
      <c r="D8" s="89">
        <v>53</v>
      </c>
      <c r="E8" s="89">
        <v>24</v>
      </c>
      <c r="F8" s="4">
        <v>30</v>
      </c>
      <c r="G8" s="4">
        <v>24</v>
      </c>
      <c r="H8" s="4">
        <v>14</v>
      </c>
      <c r="I8" s="1"/>
      <c r="K8" s="79"/>
    </row>
    <row r="9" spans="1:11" x14ac:dyDescent="0.25">
      <c r="A9" s="213">
        <v>5</v>
      </c>
      <c r="B9" s="4">
        <v>1723100430</v>
      </c>
      <c r="C9" s="4" t="s">
        <v>548</v>
      </c>
      <c r="D9" s="89">
        <v>63</v>
      </c>
      <c r="E9" s="89">
        <v>54</v>
      </c>
      <c r="F9" s="4">
        <v>54</v>
      </c>
      <c r="G9" s="4">
        <v>110</v>
      </c>
      <c r="H9" s="4">
        <v>110</v>
      </c>
      <c r="I9" s="1"/>
      <c r="K9" s="79"/>
    </row>
    <row r="10" spans="1:11" x14ac:dyDescent="0.25">
      <c r="A10" s="4">
        <v>6</v>
      </c>
      <c r="B10" s="4">
        <v>1812300430</v>
      </c>
      <c r="C10" s="4" t="s">
        <v>279</v>
      </c>
      <c r="D10" s="89">
        <v>561</v>
      </c>
      <c r="E10" s="89">
        <v>170</v>
      </c>
      <c r="F10" s="4">
        <v>289</v>
      </c>
      <c r="G10" s="4">
        <v>500</v>
      </c>
      <c r="H10" s="4">
        <v>500</v>
      </c>
      <c r="I10" s="1"/>
      <c r="J10" s="1"/>
      <c r="K10" s="79"/>
    </row>
    <row r="11" spans="1:11" x14ac:dyDescent="0.25">
      <c r="A11" s="213">
        <v>7</v>
      </c>
      <c r="B11" s="4">
        <v>1813210430</v>
      </c>
      <c r="C11" t="s">
        <v>1079</v>
      </c>
      <c r="D11" s="89">
        <v>78</v>
      </c>
      <c r="E11" s="89">
        <v>0</v>
      </c>
      <c r="F11" s="4">
        <v>80</v>
      </c>
      <c r="G11" s="233">
        <v>80</v>
      </c>
      <c r="H11" s="233">
        <v>0</v>
      </c>
      <c r="I11" s="563"/>
      <c r="J11" s="1"/>
      <c r="K11" s="79"/>
    </row>
    <row r="12" spans="1:11" x14ac:dyDescent="0.25">
      <c r="A12" s="4">
        <v>8</v>
      </c>
      <c r="B12" s="4">
        <v>1813213430</v>
      </c>
      <c r="C12" s="233" t="s">
        <v>283</v>
      </c>
      <c r="D12" s="160">
        <v>27</v>
      </c>
      <c r="E12" s="160">
        <v>4</v>
      </c>
      <c r="F12" s="233">
        <v>15</v>
      </c>
      <c r="G12" s="233">
        <v>27</v>
      </c>
      <c r="H12" s="233">
        <v>27</v>
      </c>
      <c r="I12" s="563"/>
      <c r="J12" s="1"/>
      <c r="K12" s="79"/>
    </row>
    <row r="13" spans="1:11" ht="13.95" customHeight="1" x14ac:dyDescent="0.25">
      <c r="A13" s="213">
        <v>9</v>
      </c>
      <c r="B13" s="4">
        <v>1813214430</v>
      </c>
      <c r="C13" s="4" t="s">
        <v>284</v>
      </c>
      <c r="D13" s="89">
        <v>13</v>
      </c>
      <c r="E13" s="89">
        <v>8</v>
      </c>
      <c r="F13" s="4">
        <v>13</v>
      </c>
      <c r="G13" s="233">
        <v>13</v>
      </c>
      <c r="H13" s="233">
        <v>13</v>
      </c>
      <c r="I13" s="563"/>
      <c r="K13" s="79"/>
    </row>
    <row r="14" spans="1:11" x14ac:dyDescent="0.25">
      <c r="A14" s="4">
        <v>10</v>
      </c>
      <c r="B14" s="4">
        <v>1813220430</v>
      </c>
      <c r="C14" s="4" t="s">
        <v>287</v>
      </c>
      <c r="D14" s="89">
        <v>2</v>
      </c>
      <c r="E14" s="89">
        <v>0</v>
      </c>
      <c r="F14" s="4">
        <v>1</v>
      </c>
      <c r="G14" s="233">
        <v>1</v>
      </c>
      <c r="H14" s="233">
        <v>0</v>
      </c>
      <c r="I14" s="563"/>
      <c r="K14" s="79"/>
    </row>
    <row r="15" spans="1:11" x14ac:dyDescent="0.25">
      <c r="A15" s="213">
        <v>11</v>
      </c>
      <c r="B15" s="4">
        <v>1813240430</v>
      </c>
      <c r="C15" s="233" t="s">
        <v>290</v>
      </c>
      <c r="D15" s="89">
        <v>32</v>
      </c>
      <c r="E15" s="89">
        <v>10</v>
      </c>
      <c r="F15" s="4">
        <v>12</v>
      </c>
      <c r="G15" s="233">
        <v>20</v>
      </c>
      <c r="H15" s="233">
        <v>20</v>
      </c>
      <c r="I15" s="563"/>
      <c r="K15" s="79"/>
    </row>
    <row r="16" spans="1:11" x14ac:dyDescent="0.25">
      <c r="A16" s="4">
        <v>12</v>
      </c>
      <c r="B16" s="4">
        <v>1813280430</v>
      </c>
      <c r="C16" s="4" t="s">
        <v>869</v>
      </c>
      <c r="D16" s="89">
        <v>22</v>
      </c>
      <c r="E16" s="89">
        <v>14</v>
      </c>
      <c r="F16" s="4">
        <v>14</v>
      </c>
      <c r="G16" s="233">
        <v>22</v>
      </c>
      <c r="H16" s="233">
        <v>22</v>
      </c>
      <c r="I16" s="563"/>
      <c r="K16" s="79"/>
    </row>
    <row r="17" spans="1:19" x14ac:dyDescent="0.25">
      <c r="A17" s="213">
        <v>13</v>
      </c>
      <c r="B17" s="4">
        <v>1815500430</v>
      </c>
      <c r="C17" s="4" t="s">
        <v>295</v>
      </c>
      <c r="D17" s="89">
        <v>53</v>
      </c>
      <c r="E17" s="89">
        <v>38</v>
      </c>
      <c r="F17" s="4">
        <v>10</v>
      </c>
      <c r="G17" s="233">
        <v>38</v>
      </c>
      <c r="H17" s="233">
        <v>38</v>
      </c>
      <c r="I17" s="563"/>
      <c r="J17" s="1"/>
      <c r="K17" s="79"/>
    </row>
    <row r="18" spans="1:19" x14ac:dyDescent="0.25">
      <c r="A18" s="4">
        <v>14</v>
      </c>
      <c r="B18" s="4">
        <v>1817300430</v>
      </c>
      <c r="C18" s="4" t="s">
        <v>298</v>
      </c>
      <c r="D18" s="89">
        <v>6</v>
      </c>
      <c r="E18" s="89">
        <v>0</v>
      </c>
      <c r="F18" s="4">
        <v>6</v>
      </c>
      <c r="G18" s="4">
        <v>10</v>
      </c>
      <c r="H18" s="4">
        <v>10</v>
      </c>
      <c r="I18" s="341"/>
      <c r="J18" s="1"/>
      <c r="K18" s="79"/>
    </row>
    <row r="19" spans="1:19" x14ac:dyDescent="0.25">
      <c r="A19" s="213">
        <v>15</v>
      </c>
      <c r="B19" s="4">
        <v>1823000430</v>
      </c>
      <c r="C19" s="4" t="s">
        <v>315</v>
      </c>
      <c r="D19" s="89">
        <v>4</v>
      </c>
      <c r="E19" s="89">
        <v>0</v>
      </c>
      <c r="F19" s="4">
        <v>2</v>
      </c>
      <c r="G19" s="4">
        <v>4</v>
      </c>
      <c r="H19" s="4">
        <v>4</v>
      </c>
      <c r="I19" s="341"/>
      <c r="K19" s="79"/>
    </row>
    <row r="20" spans="1:19" x14ac:dyDescent="0.25">
      <c r="A20" s="4">
        <v>16</v>
      </c>
      <c r="B20" s="4">
        <v>1841000430</v>
      </c>
      <c r="C20" s="4" t="s">
        <v>237</v>
      </c>
      <c r="D20" s="89">
        <v>39</v>
      </c>
      <c r="E20" s="89">
        <v>14</v>
      </c>
      <c r="F20" s="4">
        <v>10</v>
      </c>
      <c r="G20" s="4">
        <v>14</v>
      </c>
      <c r="H20" s="4">
        <v>14</v>
      </c>
      <c r="I20" s="341"/>
    </row>
    <row r="21" spans="1:19" x14ac:dyDescent="0.25">
      <c r="A21" s="213">
        <v>17</v>
      </c>
      <c r="B21" s="4">
        <v>1939000430</v>
      </c>
      <c r="C21" s="4" t="s">
        <v>378</v>
      </c>
      <c r="D21" s="89">
        <v>3</v>
      </c>
      <c r="E21" s="89">
        <v>2</v>
      </c>
      <c r="F21" s="4">
        <f>2-1</f>
        <v>1</v>
      </c>
      <c r="G21" s="4">
        <v>4</v>
      </c>
      <c r="H21" s="4">
        <v>4</v>
      </c>
      <c r="I21" s="341"/>
    </row>
    <row r="22" spans="1:19" x14ac:dyDescent="0.25">
      <c r="A22" s="101"/>
      <c r="B22" s="548" t="s">
        <v>433</v>
      </c>
      <c r="C22" s="548"/>
      <c r="D22" s="148">
        <f t="shared" ref="D22:H22" si="0">SUM(D5:D21)</f>
        <v>3694</v>
      </c>
      <c r="E22" s="148">
        <f t="shared" si="0"/>
        <v>950</v>
      </c>
      <c r="F22" s="148">
        <f t="shared" si="0"/>
        <v>1636</v>
      </c>
      <c r="G22" s="148">
        <f t="shared" si="0"/>
        <v>2968</v>
      </c>
      <c r="H22" s="148">
        <f t="shared" si="0"/>
        <v>2876</v>
      </c>
      <c r="I22" s="1"/>
    </row>
    <row r="23" spans="1:19" x14ac:dyDescent="0.25">
      <c r="I23" s="1"/>
    </row>
    <row r="24" spans="1:19" ht="31.2" x14ac:dyDescent="0.25">
      <c r="A24" s="194" t="s">
        <v>623</v>
      </c>
      <c r="B24" s="194" t="s">
        <v>1251</v>
      </c>
      <c r="C24" s="194" t="s">
        <v>1</v>
      </c>
      <c r="D24" s="165" t="s">
        <v>1250</v>
      </c>
      <c r="E24" s="165" t="s">
        <v>1061</v>
      </c>
      <c r="F24" s="165" t="s">
        <v>1059</v>
      </c>
      <c r="G24" s="165" t="s">
        <v>1060</v>
      </c>
      <c r="H24" s="165" t="s">
        <v>1058</v>
      </c>
      <c r="I24" s="1"/>
    </row>
    <row r="25" spans="1:19" x14ac:dyDescent="0.25">
      <c r="A25" s="4">
        <v>1</v>
      </c>
      <c r="B25" s="4">
        <v>1743000771</v>
      </c>
      <c r="C25" s="4" t="s">
        <v>665</v>
      </c>
      <c r="D25" s="89">
        <v>3001</v>
      </c>
      <c r="E25" s="89">
        <f>3500*0.88+170-324+40</f>
        <v>2966</v>
      </c>
      <c r="F25" s="4">
        <v>1195</v>
      </c>
      <c r="G25" s="4">
        <v>2400</v>
      </c>
      <c r="H25" s="233">
        <v>2400</v>
      </c>
      <c r="I25" s="1"/>
      <c r="J25" s="1"/>
      <c r="K25" s="79"/>
    </row>
    <row r="26" spans="1:19" x14ac:dyDescent="0.25">
      <c r="A26" s="101"/>
      <c r="B26" s="548" t="s">
        <v>433</v>
      </c>
      <c r="C26" s="548"/>
      <c r="D26" s="148">
        <f>D25</f>
        <v>3001</v>
      </c>
      <c r="E26" s="148">
        <f t="shared" ref="E26" si="1">E25</f>
        <v>2966</v>
      </c>
      <c r="F26" s="148">
        <f>SUM(F25)</f>
        <v>1195</v>
      </c>
      <c r="G26" s="148">
        <f>SUM(G25)</f>
        <v>2400</v>
      </c>
      <c r="H26" s="148">
        <f>SUM(H25)</f>
        <v>2400</v>
      </c>
      <c r="I26" s="1"/>
    </row>
    <row r="27" spans="1:19" x14ac:dyDescent="0.25">
      <c r="A27" s="36"/>
      <c r="B27" s="25"/>
      <c r="C27" s="25"/>
      <c r="D27" s="275"/>
      <c r="E27" s="275"/>
      <c r="F27" s="275"/>
      <c r="G27" s="188"/>
      <c r="H27" s="188"/>
      <c r="I27" s="1"/>
    </row>
    <row r="28" spans="1:19" x14ac:dyDescent="0.25">
      <c r="A28" s="101"/>
      <c r="B28" s="548" t="s">
        <v>1170</v>
      </c>
      <c r="C28" s="548"/>
      <c r="D28" s="276">
        <f t="shared" ref="D28:F28" si="2">D22+D26</f>
        <v>6695</v>
      </c>
      <c r="E28" s="276">
        <f t="shared" si="2"/>
        <v>3916</v>
      </c>
      <c r="F28" s="276">
        <f t="shared" si="2"/>
        <v>2831</v>
      </c>
      <c r="G28" s="276">
        <f>G22+G26</f>
        <v>5368</v>
      </c>
      <c r="H28" s="276">
        <f>H22+H26</f>
        <v>5276</v>
      </c>
      <c r="I28" s="1"/>
    </row>
    <row r="29" spans="1:19" s="40" customFormat="1" x14ac:dyDescent="0.25">
      <c r="B29" s="25"/>
      <c r="C29" s="25"/>
      <c r="D29" s="277"/>
      <c r="E29" s="277"/>
      <c r="F29" s="277"/>
      <c r="G29" s="277"/>
      <c r="H29" s="277"/>
      <c r="I29" s="278"/>
    </row>
    <row r="30" spans="1:19" x14ac:dyDescent="0.25">
      <c r="B30" s="15"/>
    </row>
    <row r="31" spans="1:19" ht="22.8" x14ac:dyDescent="0.25">
      <c r="B31" s="9">
        <v>720</v>
      </c>
      <c r="C31" s="560" t="s">
        <v>459</v>
      </c>
      <c r="D31" s="560"/>
      <c r="E31" s="560"/>
      <c r="F31" s="560"/>
      <c r="G31" s="560"/>
      <c r="H31" s="560"/>
      <c r="K31" s="34"/>
      <c r="Q31" s="1"/>
      <c r="R31" s="1"/>
      <c r="S31" s="1"/>
    </row>
    <row r="32" spans="1:19" ht="17.399999999999999" x14ac:dyDescent="0.3">
      <c r="B32" s="16"/>
      <c r="C32" s="16"/>
      <c r="D32"/>
      <c r="K32" s="34"/>
    </row>
    <row r="33" spans="1:18" ht="31.2" x14ac:dyDescent="0.25">
      <c r="A33" s="194" t="s">
        <v>626</v>
      </c>
      <c r="B33" s="194" t="s">
        <v>0</v>
      </c>
      <c r="C33" s="194" t="s">
        <v>1</v>
      </c>
      <c r="D33" s="165" t="s">
        <v>1250</v>
      </c>
      <c r="E33" s="165" t="s">
        <v>1061</v>
      </c>
      <c r="F33" s="165" t="s">
        <v>1059</v>
      </c>
      <c r="G33" s="165" t="s">
        <v>1060</v>
      </c>
      <c r="H33" s="165" t="s">
        <v>1058</v>
      </c>
      <c r="K33" s="34"/>
    </row>
    <row r="34" spans="1:18" x14ac:dyDescent="0.25">
      <c r="A34" s="4">
        <v>1</v>
      </c>
      <c r="B34" s="4">
        <v>1746000720</v>
      </c>
      <c r="C34" s="233" t="s">
        <v>255</v>
      </c>
      <c r="D34" s="137">
        <v>2697</v>
      </c>
      <c r="E34" s="137">
        <v>3980</v>
      </c>
      <c r="F34" s="160">
        <v>781</v>
      </c>
      <c r="G34" s="160">
        <f>781+709+610+196</f>
        <v>2296</v>
      </c>
      <c r="H34" s="160">
        <f>G34</f>
        <v>2296</v>
      </c>
      <c r="K34" s="34"/>
    </row>
    <row r="35" spans="1:18" x14ac:dyDescent="0.25">
      <c r="A35" s="101"/>
      <c r="B35" s="548" t="s">
        <v>433</v>
      </c>
      <c r="C35" s="548"/>
      <c r="D35" s="147">
        <f t="shared" ref="D35:H35" si="3">SUM(D34)</f>
        <v>2697</v>
      </c>
      <c r="E35" s="147">
        <f t="shared" si="3"/>
        <v>3980</v>
      </c>
      <c r="F35" s="148">
        <f t="shared" si="3"/>
        <v>781</v>
      </c>
      <c r="G35" s="148">
        <f t="shared" si="3"/>
        <v>2296</v>
      </c>
      <c r="H35" s="148">
        <f t="shared" si="3"/>
        <v>2296</v>
      </c>
      <c r="K35" s="34"/>
      <c r="P35" s="1"/>
      <c r="Q35" s="1"/>
      <c r="R35" s="1"/>
    </row>
    <row r="36" spans="1:18" x14ac:dyDescent="0.25">
      <c r="D36"/>
      <c r="K36" s="34"/>
    </row>
  </sheetData>
  <sheetProtection algorithmName="SHA-512" hashValue="OExHbtoUa0yHqNzIga8nU6OF1X7zbMpCJMH+YcpP72ODyrbQ5p9ThH2XfhEWAgc/1CxZ2+3tIGwK/WHylS4Vvw==" saltValue="4XSMpOzH0bWDiqdYCdQGlg==" spinCount="100000" sheet="1" objects="1" scenarios="1"/>
  <mergeCells count="7">
    <mergeCell ref="I11:I17"/>
    <mergeCell ref="B22:C22"/>
    <mergeCell ref="C2:H2"/>
    <mergeCell ref="B26:C26"/>
    <mergeCell ref="B35:C35"/>
    <mergeCell ref="C31:H31"/>
    <mergeCell ref="B28:C28"/>
  </mergeCells>
  <pageMargins left="0.70866141732283472" right="0.70866141732283472" top="0.74803149606299213" bottom="0.74803149606299213" header="0.31496062992125984" footer="0.31496062992125984"/>
  <pageSetup paperSize="9" firstPageNumber="20" fitToHeight="0" orientation="portrait" useFirstPageNumber="1" r:id="rId1"/>
  <headerFooter>
    <oddFooter>עמוד &amp;P</oddFooter>
  </headerFooter>
  <colBreaks count="1" manualBreakCount="1">
    <brk id="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38"/>
  <sheetViews>
    <sheetView rightToLeft="1" topLeftCell="B13" zoomScale="110" zoomScaleNormal="110" zoomScaleSheetLayoutView="130" workbookViewId="0">
      <selection activeCell="I29" sqref="I29"/>
    </sheetView>
  </sheetViews>
  <sheetFormatPr defaultRowHeight="13.8" x14ac:dyDescent="0.25"/>
  <cols>
    <col min="1" max="1" width="8.59765625" hidden="1" customWidth="1"/>
    <col min="2" max="2" width="4.09765625" customWidth="1"/>
    <col min="3" max="3" width="13.09765625" customWidth="1"/>
    <col min="4" max="4" width="25.59765625" customWidth="1"/>
    <col min="5" max="5" width="9.296875" customWidth="1"/>
    <col min="6" max="6" width="12.69921875" customWidth="1"/>
    <col min="7" max="7" width="14.8984375" customWidth="1"/>
    <col min="8" max="8" width="12.69921875" customWidth="1"/>
    <col min="9" max="9" width="12.09765625" customWidth="1"/>
    <col min="10" max="10" width="13.19921875" customWidth="1"/>
    <col min="11" max="11" width="13.69921875" customWidth="1"/>
    <col min="12" max="12" width="12.69921875" customWidth="1"/>
    <col min="14" max="14" width="22.5" bestFit="1" customWidth="1"/>
    <col min="15" max="16" width="10.09765625" bestFit="1" customWidth="1"/>
  </cols>
  <sheetData>
    <row r="2" spans="1:13" ht="22.8" x14ac:dyDescent="0.25">
      <c r="C2" s="206">
        <v>531</v>
      </c>
      <c r="D2" s="556" t="s">
        <v>449</v>
      </c>
      <c r="E2" s="556"/>
      <c r="F2" s="556"/>
      <c r="G2" s="556"/>
      <c r="H2" s="556"/>
      <c r="I2" s="556"/>
      <c r="J2" s="531"/>
      <c r="K2" s="531"/>
      <c r="L2" s="531"/>
      <c r="M2" s="531"/>
    </row>
    <row r="3" spans="1:13" x14ac:dyDescent="0.25">
      <c r="E3" s="5"/>
    </row>
    <row r="4" spans="1:13" s="195" customFormat="1" ht="51.6" customHeight="1" x14ac:dyDescent="0.25">
      <c r="A4" s="181"/>
      <c r="B4" s="307" t="s">
        <v>623</v>
      </c>
      <c r="C4" s="307" t="s">
        <v>0</v>
      </c>
      <c r="D4" s="307" t="s">
        <v>1</v>
      </c>
      <c r="E4" s="296" t="s">
        <v>1250</v>
      </c>
      <c r="F4" s="296" t="s">
        <v>1061</v>
      </c>
      <c r="G4" s="296" t="s">
        <v>1059</v>
      </c>
      <c r="H4" s="296" t="s">
        <v>1060</v>
      </c>
      <c r="I4" s="296" t="s">
        <v>1058</v>
      </c>
    </row>
    <row r="5" spans="1:13" x14ac:dyDescent="0.25">
      <c r="A5" s="4"/>
      <c r="B5" s="38">
        <v>1</v>
      </c>
      <c r="C5" s="38">
        <v>1611000531</v>
      </c>
      <c r="D5" s="38" t="s">
        <v>163</v>
      </c>
      <c r="E5" s="138">
        <v>66</v>
      </c>
      <c r="F5" s="244">
        <v>49</v>
      </c>
      <c r="G5" s="156">
        <v>34</v>
      </c>
      <c r="H5" s="156">
        <v>49</v>
      </c>
      <c r="I5" s="156">
        <v>49</v>
      </c>
      <c r="J5" s="79"/>
    </row>
    <row r="6" spans="1:13" x14ac:dyDescent="0.25">
      <c r="A6" s="4"/>
      <c r="B6" s="38">
        <v>2</v>
      </c>
      <c r="C6" s="38">
        <v>1612000531</v>
      </c>
      <c r="D6" s="38" t="s">
        <v>169</v>
      </c>
      <c r="E6" s="138">
        <v>11</v>
      </c>
      <c r="F6" s="244">
        <v>15</v>
      </c>
      <c r="G6" s="156">
        <v>5</v>
      </c>
      <c r="H6" s="156">
        <v>15</v>
      </c>
      <c r="I6" s="156">
        <v>15</v>
      </c>
      <c r="J6" s="79"/>
    </row>
    <row r="7" spans="1:13" x14ac:dyDescent="0.25">
      <c r="A7" s="4"/>
      <c r="B7" s="38">
        <v>3</v>
      </c>
      <c r="C7" s="308">
        <v>1613000531</v>
      </c>
      <c r="D7" s="308" t="s">
        <v>176</v>
      </c>
      <c r="E7" s="138">
        <v>20</v>
      </c>
      <c r="F7" s="244">
        <v>24</v>
      </c>
      <c r="G7" s="156">
        <v>9</v>
      </c>
      <c r="H7" s="156">
        <v>18</v>
      </c>
      <c r="I7" s="156">
        <v>18</v>
      </c>
      <c r="J7" s="79"/>
    </row>
    <row r="8" spans="1:13" x14ac:dyDescent="0.25">
      <c r="A8" s="4"/>
      <c r="B8" s="38">
        <v>4</v>
      </c>
      <c r="C8" s="38">
        <v>1617000531</v>
      </c>
      <c r="D8" s="38" t="s">
        <v>188</v>
      </c>
      <c r="E8" s="138">
        <v>6</v>
      </c>
      <c r="F8" s="244">
        <v>6</v>
      </c>
      <c r="G8" s="156">
        <v>0</v>
      </c>
      <c r="H8" s="156">
        <v>15</v>
      </c>
      <c r="I8" s="156">
        <v>15</v>
      </c>
      <c r="J8" s="79"/>
    </row>
    <row r="9" spans="1:13" x14ac:dyDescent="0.25">
      <c r="A9" s="4"/>
      <c r="B9" s="38">
        <v>5</v>
      </c>
      <c r="C9" s="308">
        <v>1621000531</v>
      </c>
      <c r="D9" s="308" t="s">
        <v>195</v>
      </c>
      <c r="E9" s="138">
        <v>14</v>
      </c>
      <c r="F9" s="244">
        <v>15</v>
      </c>
      <c r="G9" s="156">
        <v>10</v>
      </c>
      <c r="H9" s="156">
        <v>15</v>
      </c>
      <c r="I9" s="156">
        <v>15</v>
      </c>
      <c r="J9" s="79"/>
    </row>
    <row r="10" spans="1:13" x14ac:dyDescent="0.25">
      <c r="A10" s="4"/>
      <c r="B10" s="38">
        <v>6</v>
      </c>
      <c r="C10" s="38">
        <v>1711000531</v>
      </c>
      <c r="D10" s="38" t="s">
        <v>209</v>
      </c>
      <c r="E10" s="138">
        <v>192</v>
      </c>
      <c r="F10" s="244">
        <v>122</v>
      </c>
      <c r="G10" s="156">
        <v>125</v>
      </c>
      <c r="H10" s="156">
        <v>195</v>
      </c>
      <c r="I10" s="156">
        <v>195</v>
      </c>
      <c r="J10" s="79"/>
    </row>
    <row r="11" spans="1:13" x14ac:dyDescent="0.25">
      <c r="A11" s="4"/>
      <c r="B11" s="38">
        <v>7</v>
      </c>
      <c r="C11" s="38">
        <v>1712200531</v>
      </c>
      <c r="D11" s="38" t="s">
        <v>215</v>
      </c>
      <c r="E11" s="138">
        <v>163</v>
      </c>
      <c r="F11" s="244">
        <v>285</v>
      </c>
      <c r="G11" s="156">
        <v>76</v>
      </c>
      <c r="H11" s="156">
        <v>225</v>
      </c>
      <c r="I11" s="156">
        <v>225</v>
      </c>
      <c r="J11" s="79"/>
    </row>
    <row r="12" spans="1:13" x14ac:dyDescent="0.25">
      <c r="A12" s="4"/>
      <c r="B12" s="38">
        <v>8</v>
      </c>
      <c r="C12" s="38">
        <v>1712300531</v>
      </c>
      <c r="D12" s="38" t="s">
        <v>221</v>
      </c>
      <c r="E12" s="138">
        <v>499</v>
      </c>
      <c r="F12" s="244">
        <v>480</v>
      </c>
      <c r="G12" s="156">
        <f>337+15</f>
        <v>352</v>
      </c>
      <c r="H12" s="156">
        <v>620</v>
      </c>
      <c r="I12" s="156">
        <v>620</v>
      </c>
      <c r="J12" s="79"/>
    </row>
    <row r="13" spans="1:13" x14ac:dyDescent="0.25">
      <c r="A13" s="4"/>
      <c r="B13" s="38">
        <v>9</v>
      </c>
      <c r="C13" s="308">
        <v>1721000531</v>
      </c>
      <c r="D13" s="308" t="s">
        <v>227</v>
      </c>
      <c r="E13" s="138">
        <v>26</v>
      </c>
      <c r="F13" s="244">
        <v>43</v>
      </c>
      <c r="G13" s="156">
        <v>6</v>
      </c>
      <c r="H13" s="156">
        <v>15</v>
      </c>
      <c r="I13" s="156">
        <v>15</v>
      </c>
      <c r="J13" s="79"/>
    </row>
    <row r="14" spans="1:13" x14ac:dyDescent="0.25">
      <c r="A14" s="4"/>
      <c r="B14" s="38">
        <v>10</v>
      </c>
      <c r="C14" s="38">
        <v>1733000531</v>
      </c>
      <c r="D14" s="38" t="s">
        <v>245</v>
      </c>
      <c r="E14" s="138">
        <v>5</v>
      </c>
      <c r="F14" s="244">
        <v>9</v>
      </c>
      <c r="G14" s="156">
        <v>7</v>
      </c>
      <c r="H14" s="156">
        <v>16</v>
      </c>
      <c r="I14" s="156">
        <v>23</v>
      </c>
      <c r="J14" s="79"/>
    </row>
    <row r="15" spans="1:13" x14ac:dyDescent="0.25">
      <c r="A15" s="4"/>
      <c r="B15" s="38">
        <v>11</v>
      </c>
      <c r="C15" s="38">
        <v>1746000531</v>
      </c>
      <c r="D15" s="38" t="s">
        <v>251</v>
      </c>
      <c r="E15" s="138">
        <v>71</v>
      </c>
      <c r="F15" s="244">
        <v>62</v>
      </c>
      <c r="G15" s="156">
        <v>33</v>
      </c>
      <c r="H15" s="156">
        <v>62</v>
      </c>
      <c r="I15" s="156">
        <v>62</v>
      </c>
      <c r="J15" s="79"/>
    </row>
    <row r="16" spans="1:13" x14ac:dyDescent="0.25">
      <c r="A16" s="4"/>
      <c r="B16" s="38">
        <v>12</v>
      </c>
      <c r="C16" s="38">
        <v>1811000531</v>
      </c>
      <c r="D16" s="38" t="s">
        <v>274</v>
      </c>
      <c r="E16" s="138">
        <v>25</v>
      </c>
      <c r="F16" s="244">
        <v>35</v>
      </c>
      <c r="G16" s="156">
        <v>13</v>
      </c>
      <c r="H16" s="156">
        <v>35</v>
      </c>
      <c r="I16" s="156">
        <v>35</v>
      </c>
      <c r="J16" s="79"/>
    </row>
    <row r="17" spans="1:13" x14ac:dyDescent="0.25">
      <c r="A17" s="4"/>
      <c r="B17" s="38">
        <v>13</v>
      </c>
      <c r="C17" s="38">
        <v>1817910531</v>
      </c>
      <c r="D17" s="38" t="s">
        <v>274</v>
      </c>
      <c r="E17" s="138">
        <v>19</v>
      </c>
      <c r="F17" s="244">
        <v>15</v>
      </c>
      <c r="G17" s="156">
        <v>6</v>
      </c>
      <c r="H17" s="156">
        <v>15</v>
      </c>
      <c r="I17" s="156">
        <v>15</v>
      </c>
      <c r="J17" s="79"/>
    </row>
    <row r="18" spans="1:13" x14ac:dyDescent="0.25">
      <c r="A18" s="4"/>
      <c r="B18" s="38">
        <v>14</v>
      </c>
      <c r="C18" s="38">
        <v>1821000531</v>
      </c>
      <c r="D18" s="38" t="s">
        <v>304</v>
      </c>
      <c r="E18" s="138">
        <v>0</v>
      </c>
      <c r="F18" s="244">
        <v>0</v>
      </c>
      <c r="G18" s="156">
        <v>0</v>
      </c>
      <c r="H18" s="156">
        <v>0</v>
      </c>
      <c r="I18" s="156">
        <v>0</v>
      </c>
      <c r="J18" s="79"/>
    </row>
    <row r="19" spans="1:13" x14ac:dyDescent="0.25">
      <c r="A19" s="4"/>
      <c r="B19" s="38">
        <v>15</v>
      </c>
      <c r="C19" s="38">
        <v>1822200531</v>
      </c>
      <c r="D19" s="38" t="s">
        <v>1080</v>
      </c>
      <c r="E19" s="138">
        <v>5</v>
      </c>
      <c r="F19" s="244">
        <v>15</v>
      </c>
      <c r="G19" s="156">
        <v>0</v>
      </c>
      <c r="H19" s="156">
        <v>0</v>
      </c>
      <c r="I19" s="156">
        <v>0</v>
      </c>
      <c r="J19" s="79"/>
    </row>
    <row r="20" spans="1:13" x14ac:dyDescent="0.25">
      <c r="A20" s="4"/>
      <c r="B20" s="38">
        <v>16</v>
      </c>
      <c r="C20" s="308">
        <v>1841000531</v>
      </c>
      <c r="D20" s="308" t="s">
        <v>332</v>
      </c>
      <c r="E20" s="138">
        <v>0</v>
      </c>
      <c r="F20" s="244">
        <v>0</v>
      </c>
      <c r="G20" s="156">
        <v>0</v>
      </c>
      <c r="H20" s="156">
        <v>0</v>
      </c>
      <c r="I20" s="156">
        <v>0</v>
      </c>
      <c r="J20" s="79"/>
    </row>
    <row r="21" spans="1:13" x14ac:dyDescent="0.25">
      <c r="A21" s="4"/>
      <c r="B21" s="38">
        <v>17</v>
      </c>
      <c r="C21" s="38">
        <v>1913000531</v>
      </c>
      <c r="D21" s="38" t="s">
        <v>373</v>
      </c>
      <c r="E21" s="138">
        <v>27</v>
      </c>
      <c r="F21" s="244">
        <v>22</v>
      </c>
      <c r="G21" s="156">
        <v>14</v>
      </c>
      <c r="H21" s="156">
        <v>22</v>
      </c>
      <c r="I21" s="156">
        <v>22</v>
      </c>
      <c r="J21" s="79"/>
    </row>
    <row r="22" spans="1:13" x14ac:dyDescent="0.25">
      <c r="A22" s="4"/>
      <c r="B22" s="38">
        <v>18</v>
      </c>
      <c r="C22" s="38">
        <v>1943000531</v>
      </c>
      <c r="D22" s="38" t="s">
        <v>381</v>
      </c>
      <c r="E22" s="533">
        <v>3</v>
      </c>
      <c r="F22" s="244">
        <v>3</v>
      </c>
      <c r="G22" s="156">
        <v>1</v>
      </c>
      <c r="H22" s="156">
        <v>3</v>
      </c>
      <c r="I22" s="156">
        <v>3</v>
      </c>
      <c r="J22" s="79"/>
    </row>
    <row r="23" spans="1:13" x14ac:dyDescent="0.25">
      <c r="A23" s="4"/>
      <c r="B23" s="38">
        <v>19</v>
      </c>
      <c r="C23" s="238">
        <v>1860000531</v>
      </c>
      <c r="D23" s="339" t="s">
        <v>1184</v>
      </c>
      <c r="E23" s="138">
        <v>0</v>
      </c>
      <c r="F23" s="244">
        <v>0</v>
      </c>
      <c r="G23" s="156">
        <v>3</v>
      </c>
      <c r="H23" s="156">
        <v>15</v>
      </c>
      <c r="I23" s="156">
        <v>15</v>
      </c>
      <c r="J23" s="79"/>
    </row>
    <row r="24" spans="1:13" x14ac:dyDescent="0.25">
      <c r="A24" s="4"/>
      <c r="B24" s="309"/>
      <c r="C24" s="565" t="s">
        <v>433</v>
      </c>
      <c r="D24" s="566"/>
      <c r="E24" s="148">
        <f>SUM(E5:E23)</f>
        <v>1152</v>
      </c>
      <c r="F24" s="148">
        <f>SUM(F5:F23)</f>
        <v>1200</v>
      </c>
      <c r="G24" s="148">
        <f>SUM(G5:G23)</f>
        <v>694</v>
      </c>
      <c r="H24" s="148">
        <f>SUM(H5:H23)</f>
        <v>1335</v>
      </c>
      <c r="I24" s="148">
        <f>SUM(I5:I23)</f>
        <v>1342</v>
      </c>
    </row>
    <row r="25" spans="1:13" x14ac:dyDescent="0.25">
      <c r="C25" s="19"/>
      <c r="D25" s="19"/>
      <c r="E25" s="20"/>
      <c r="F25" s="20"/>
      <c r="G25" s="20"/>
      <c r="H25" s="12"/>
      <c r="I25" s="12"/>
      <c r="J25" s="12"/>
    </row>
    <row r="26" spans="1:13" ht="22.8" x14ac:dyDescent="0.25">
      <c r="C26" s="206">
        <v>530</v>
      </c>
      <c r="D26" s="556" t="s">
        <v>1031</v>
      </c>
      <c r="E26" s="556"/>
      <c r="F26" s="556"/>
      <c r="G26" s="556"/>
      <c r="H26" s="556"/>
      <c r="I26" s="556"/>
      <c r="J26" s="531"/>
      <c r="K26" s="531"/>
      <c r="L26" s="531"/>
      <c r="M26" s="531"/>
    </row>
    <row r="27" spans="1:13" x14ac:dyDescent="0.25">
      <c r="E27" s="5"/>
    </row>
    <row r="28" spans="1:13" s="195" customFormat="1" ht="31.2" x14ac:dyDescent="0.25">
      <c r="B28" s="307" t="s">
        <v>627</v>
      </c>
      <c r="C28" s="307" t="s">
        <v>0</v>
      </c>
      <c r="D28" s="307" t="s">
        <v>1</v>
      </c>
      <c r="E28" s="296" t="s">
        <v>1250</v>
      </c>
      <c r="F28" s="296" t="s">
        <v>1061</v>
      </c>
      <c r="G28" s="296" t="s">
        <v>1059</v>
      </c>
      <c r="H28" s="296" t="s">
        <v>1060</v>
      </c>
      <c r="I28" s="296" t="s">
        <v>1058</v>
      </c>
    </row>
    <row r="29" spans="1:13" x14ac:dyDescent="0.25">
      <c r="B29" s="38">
        <v>1</v>
      </c>
      <c r="C29" s="38">
        <v>1611000530</v>
      </c>
      <c r="D29" s="314" t="s">
        <v>1032</v>
      </c>
      <c r="E29" s="311">
        <v>0</v>
      </c>
      <c r="F29" s="39">
        <v>205</v>
      </c>
      <c r="G29" s="313">
        <v>0</v>
      </c>
      <c r="H29" s="265">
        <v>0</v>
      </c>
      <c r="I29" s="131">
        <v>0</v>
      </c>
      <c r="J29" s="1"/>
      <c r="K29" s="1"/>
    </row>
    <row r="30" spans="1:13" s="207" customFormat="1" ht="41.4" x14ac:dyDescent="0.25">
      <c r="B30" s="218">
        <v>2</v>
      </c>
      <c r="C30" s="218">
        <v>1712210530</v>
      </c>
      <c r="D30" s="314" t="s">
        <v>948</v>
      </c>
      <c r="E30" s="312">
        <v>247</v>
      </c>
      <c r="F30" s="283">
        <v>304</v>
      </c>
      <c r="G30" s="312">
        <v>292</v>
      </c>
      <c r="H30" s="283">
        <v>304</v>
      </c>
      <c r="I30" s="315">
        <v>304</v>
      </c>
      <c r="J30" s="270"/>
      <c r="K30" s="270"/>
    </row>
    <row r="31" spans="1:13" x14ac:dyDescent="0.25">
      <c r="B31" s="38">
        <v>3</v>
      </c>
      <c r="C31" s="38">
        <v>1712211530</v>
      </c>
      <c r="D31" s="314" t="s">
        <v>1144</v>
      </c>
      <c r="E31" s="310">
        <v>0</v>
      </c>
      <c r="F31" s="265">
        <v>0</v>
      </c>
      <c r="G31" s="311">
        <v>0</v>
      </c>
      <c r="H31" s="265">
        <v>5</v>
      </c>
      <c r="I31" s="131">
        <v>5</v>
      </c>
      <c r="J31" s="1"/>
      <c r="K31" s="1"/>
    </row>
    <row r="32" spans="1:13" x14ac:dyDescent="0.25">
      <c r="B32" s="38">
        <v>4</v>
      </c>
      <c r="C32" s="38">
        <v>1712220530</v>
      </c>
      <c r="D32" s="255" t="s">
        <v>450</v>
      </c>
      <c r="E32" s="39">
        <v>51</v>
      </c>
      <c r="F32" s="265">
        <v>52</v>
      </c>
      <c r="G32" s="247">
        <v>51</v>
      </c>
      <c r="H32" s="265">
        <v>52</v>
      </c>
      <c r="I32" s="138">
        <v>52</v>
      </c>
      <c r="J32" s="1"/>
    </row>
    <row r="33" spans="2:11" x14ac:dyDescent="0.25">
      <c r="B33" s="38">
        <v>5</v>
      </c>
      <c r="C33" s="38">
        <v>1712230530</v>
      </c>
      <c r="D33" s="255" t="s">
        <v>451</v>
      </c>
      <c r="E33" s="39">
        <v>0</v>
      </c>
      <c r="F33" s="265">
        <v>23</v>
      </c>
      <c r="G33" s="247">
        <v>0</v>
      </c>
      <c r="H33" s="265">
        <v>23</v>
      </c>
      <c r="I33" s="138">
        <v>23</v>
      </c>
      <c r="J33" s="1"/>
    </row>
    <row r="34" spans="2:11" x14ac:dyDescent="0.25">
      <c r="B34" s="309"/>
      <c r="C34" s="564" t="s">
        <v>433</v>
      </c>
      <c r="D34" s="564"/>
      <c r="E34" s="152">
        <f>SUM(E29:E33)</f>
        <v>298</v>
      </c>
      <c r="F34" s="152">
        <f>SUM(F29:F33)</f>
        <v>584</v>
      </c>
      <c r="G34" s="152">
        <f>SUM(G29:G33)</f>
        <v>343</v>
      </c>
      <c r="H34" s="152">
        <f>SUM(H29:H33)</f>
        <v>384</v>
      </c>
      <c r="I34" s="152">
        <f>SUM(I29:I33)</f>
        <v>384</v>
      </c>
      <c r="J34" s="1"/>
      <c r="K34" s="1"/>
    </row>
    <row r="38" spans="2:11" ht="17.399999999999999" x14ac:dyDescent="0.3">
      <c r="H38" s="33"/>
    </row>
  </sheetData>
  <sheetProtection algorithmName="SHA-512" hashValue="cI680gnM157khp0Xg2nADnAG+VL3SG9Q33UfZyoAFNaW9zxXMSQnYicMgF9WQUjPkX2vHvXh9/Nmt4RvjtXRwQ==" saltValue="UJAJbeGeMRPkW49fRUhylg==" spinCount="100000" sheet="1" objects="1" scenarios="1"/>
  <mergeCells count="4">
    <mergeCell ref="C34:D34"/>
    <mergeCell ref="C24:D24"/>
    <mergeCell ref="D2:I2"/>
    <mergeCell ref="D26:I26"/>
  </mergeCells>
  <pageMargins left="0.31496062992125984" right="0.31496062992125984" top="0.74803149606299213" bottom="0.74803149606299213" header="0.31496062992125984" footer="0.31496062992125984"/>
  <pageSetup paperSize="9" scale="92" firstPageNumber="21" orientation="landscape" useFirstPageNumber="1" r:id="rId1"/>
  <headerFooter>
    <oddFooter>עמוד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53"/>
  <sheetViews>
    <sheetView rightToLeft="1" topLeftCell="C10" zoomScale="110" zoomScaleNormal="110" workbookViewId="0">
      <selection activeCell="C5" sqref="C5:C27"/>
    </sheetView>
  </sheetViews>
  <sheetFormatPr defaultRowHeight="13.8" x14ac:dyDescent="0.25"/>
  <cols>
    <col min="1" max="2" width="8.59765625" hidden="1" customWidth="1"/>
    <col min="3" max="3" width="4.59765625" customWidth="1"/>
    <col min="4" max="4" width="16" customWidth="1"/>
    <col min="5" max="5" width="23.59765625" customWidth="1"/>
    <col min="6" max="6" width="11.3984375" customWidth="1"/>
    <col min="7" max="7" width="12.3984375" customWidth="1"/>
    <col min="8" max="8" width="14.09765625" customWidth="1"/>
    <col min="9" max="9" width="12.8984375" customWidth="1"/>
    <col min="10" max="10" width="12.69921875" customWidth="1"/>
    <col min="12" max="12" width="9.8984375" bestFit="1" customWidth="1"/>
  </cols>
  <sheetData>
    <row r="2" spans="1:17" ht="22.8" x14ac:dyDescent="0.4">
      <c r="D2" s="206">
        <v>532</v>
      </c>
      <c r="E2" s="549" t="s">
        <v>452</v>
      </c>
      <c r="F2" s="549"/>
      <c r="G2" s="549"/>
      <c r="H2" s="549"/>
      <c r="I2" s="549"/>
      <c r="J2" s="549"/>
    </row>
    <row r="4" spans="1:17" s="195" customFormat="1" ht="46.8" x14ac:dyDescent="0.25">
      <c r="A4" s="181"/>
      <c r="B4" s="181"/>
      <c r="C4" s="194" t="s">
        <v>623</v>
      </c>
      <c r="D4" s="194" t="s">
        <v>0</v>
      </c>
      <c r="E4" s="194" t="s">
        <v>1</v>
      </c>
      <c r="F4" s="165" t="s">
        <v>1250</v>
      </c>
      <c r="G4" s="165" t="s">
        <v>1061</v>
      </c>
      <c r="H4" s="165" t="s">
        <v>1059</v>
      </c>
      <c r="I4" s="165" t="s">
        <v>1060</v>
      </c>
      <c r="J4" s="165" t="s">
        <v>1058</v>
      </c>
    </row>
    <row r="5" spans="1:17" x14ac:dyDescent="0.25">
      <c r="A5" s="4"/>
      <c r="B5" s="4"/>
      <c r="C5" s="4">
        <v>1</v>
      </c>
      <c r="D5" s="4">
        <v>1611000532</v>
      </c>
      <c r="E5" s="4" t="s">
        <v>164</v>
      </c>
      <c r="F5" s="99">
        <v>23</v>
      </c>
      <c r="G5" s="99">
        <v>20</v>
      </c>
      <c r="H5" s="99">
        <v>50</v>
      </c>
      <c r="I5" s="99">
        <v>55</v>
      </c>
      <c r="J5" s="99">
        <v>20</v>
      </c>
      <c r="L5" s="1"/>
      <c r="O5" s="1"/>
      <c r="Q5" s="79"/>
    </row>
    <row r="6" spans="1:17" x14ac:dyDescent="0.25">
      <c r="A6" s="4"/>
      <c r="B6" s="4"/>
      <c r="C6" s="4">
        <v>2</v>
      </c>
      <c r="D6" s="4">
        <v>1612000532</v>
      </c>
      <c r="E6" s="4" t="s">
        <v>170</v>
      </c>
      <c r="F6" s="99">
        <v>1</v>
      </c>
      <c r="G6" s="99">
        <v>5</v>
      </c>
      <c r="H6" s="99">
        <v>-1</v>
      </c>
      <c r="I6" s="99">
        <v>2</v>
      </c>
      <c r="J6" s="99">
        <v>2</v>
      </c>
      <c r="L6" s="1"/>
      <c r="O6" s="1"/>
      <c r="P6" s="1"/>
      <c r="Q6" s="79"/>
    </row>
    <row r="7" spans="1:17" x14ac:dyDescent="0.25">
      <c r="A7" s="4"/>
      <c r="B7" s="4"/>
      <c r="C7" s="4">
        <v>3</v>
      </c>
      <c r="D7" s="4">
        <v>1613000532</v>
      </c>
      <c r="E7" s="4" t="s">
        <v>177</v>
      </c>
      <c r="F7" s="99">
        <v>2</v>
      </c>
      <c r="G7" s="99">
        <v>5</v>
      </c>
      <c r="H7" s="99">
        <v>3</v>
      </c>
      <c r="I7" s="99">
        <v>5</v>
      </c>
      <c r="J7" s="99">
        <v>2</v>
      </c>
      <c r="L7" s="1"/>
      <c r="N7" s="1"/>
      <c r="O7" s="1"/>
      <c r="P7" s="1"/>
      <c r="Q7" s="79"/>
    </row>
    <row r="8" spans="1:17" x14ac:dyDescent="0.25">
      <c r="A8" s="4"/>
      <c r="B8" s="4"/>
      <c r="C8" s="4">
        <v>4</v>
      </c>
      <c r="D8" s="4">
        <v>1617000532</v>
      </c>
      <c r="E8" s="4" t="s">
        <v>189</v>
      </c>
      <c r="F8" s="99">
        <v>1</v>
      </c>
      <c r="G8" s="99">
        <v>1</v>
      </c>
      <c r="H8" s="99">
        <v>2</v>
      </c>
      <c r="I8" s="99">
        <v>1</v>
      </c>
      <c r="J8" s="99">
        <v>1</v>
      </c>
      <c r="P8" s="1"/>
      <c r="Q8" s="79"/>
    </row>
    <row r="9" spans="1:17" x14ac:dyDescent="0.25">
      <c r="A9" s="4"/>
      <c r="B9" s="4"/>
      <c r="C9" s="4">
        <v>5</v>
      </c>
      <c r="D9" s="4">
        <v>1621000532</v>
      </c>
      <c r="E9" s="4" t="s">
        <v>196</v>
      </c>
      <c r="F9" s="99">
        <v>3</v>
      </c>
      <c r="G9" s="99">
        <v>3</v>
      </c>
      <c r="H9" s="99">
        <v>6</v>
      </c>
      <c r="I9" s="99">
        <v>6</v>
      </c>
      <c r="J9" s="99">
        <v>3</v>
      </c>
      <c r="O9" s="1"/>
      <c r="P9" s="1"/>
      <c r="Q9" s="79"/>
    </row>
    <row r="10" spans="1:17" x14ac:dyDescent="0.25">
      <c r="A10" s="4"/>
      <c r="B10" s="4"/>
      <c r="C10" s="4">
        <v>6</v>
      </c>
      <c r="D10" s="4">
        <v>1711000532</v>
      </c>
      <c r="E10" s="4" t="s">
        <v>210</v>
      </c>
      <c r="F10" s="99">
        <v>110</v>
      </c>
      <c r="G10" s="99">
        <v>70</v>
      </c>
      <c r="H10" s="99">
        <v>67</v>
      </c>
      <c r="I10" s="99">
        <v>70</v>
      </c>
      <c r="J10" s="99">
        <v>115</v>
      </c>
      <c r="L10" s="1"/>
      <c r="M10" s="1"/>
      <c r="O10" s="1"/>
      <c r="P10" s="1"/>
      <c r="Q10" s="79"/>
    </row>
    <row r="11" spans="1:17" x14ac:dyDescent="0.25">
      <c r="A11" s="4"/>
      <c r="B11" s="4"/>
      <c r="C11" s="4">
        <v>7</v>
      </c>
      <c r="D11" s="4">
        <v>1711200532</v>
      </c>
      <c r="E11" s="4" t="s">
        <v>214</v>
      </c>
      <c r="F11" s="99">
        <v>0</v>
      </c>
      <c r="G11" s="99">
        <v>1</v>
      </c>
      <c r="H11" s="99">
        <v>0</v>
      </c>
      <c r="I11" s="99">
        <v>0</v>
      </c>
      <c r="J11" s="99">
        <v>0</v>
      </c>
      <c r="M11" s="1"/>
      <c r="O11" s="1"/>
      <c r="P11" s="1"/>
      <c r="Q11" s="79"/>
    </row>
    <row r="12" spans="1:17" x14ac:dyDescent="0.25">
      <c r="A12" s="4"/>
      <c r="B12" s="4"/>
      <c r="C12" s="4">
        <v>8</v>
      </c>
      <c r="D12" s="4">
        <v>1712200532</v>
      </c>
      <c r="E12" s="4" t="s">
        <v>216</v>
      </c>
      <c r="F12" s="99">
        <v>255</v>
      </c>
      <c r="G12" s="99">
        <v>271</v>
      </c>
      <c r="H12" s="99">
        <v>168</v>
      </c>
      <c r="I12" s="99">
        <v>271</v>
      </c>
      <c r="J12" s="99">
        <v>300</v>
      </c>
      <c r="L12" s="1"/>
      <c r="O12" s="1"/>
      <c r="Q12" s="79"/>
    </row>
    <row r="13" spans="1:17" x14ac:dyDescent="0.25">
      <c r="A13" s="4"/>
      <c r="B13" s="4"/>
      <c r="C13" s="4">
        <v>9</v>
      </c>
      <c r="D13" s="4">
        <v>1712300532</v>
      </c>
      <c r="E13" s="4" t="s">
        <v>222</v>
      </c>
      <c r="F13" s="99">
        <v>445</v>
      </c>
      <c r="G13" s="99">
        <v>461</v>
      </c>
      <c r="H13" s="99">
        <v>375</v>
      </c>
      <c r="I13" s="99">
        <v>461</v>
      </c>
      <c r="J13" s="99">
        <v>850</v>
      </c>
      <c r="L13" s="1"/>
      <c r="N13" s="1"/>
      <c r="O13" s="1"/>
      <c r="P13" s="1"/>
      <c r="Q13" s="79"/>
    </row>
    <row r="14" spans="1:17" x14ac:dyDescent="0.25">
      <c r="A14" s="4"/>
      <c r="B14" s="4"/>
      <c r="C14" s="4">
        <v>10</v>
      </c>
      <c r="D14" s="4">
        <v>1712400532</v>
      </c>
      <c r="E14" s="4" t="s">
        <v>224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L14" s="1"/>
      <c r="M14" s="1"/>
      <c r="O14" s="1"/>
      <c r="P14" s="1"/>
      <c r="Q14" s="79"/>
    </row>
    <row r="15" spans="1:17" x14ac:dyDescent="0.25">
      <c r="A15" s="4"/>
      <c r="B15" s="4"/>
      <c r="C15" s="4">
        <v>11</v>
      </c>
      <c r="D15" s="4">
        <v>1715300532</v>
      </c>
      <c r="E15" s="4" t="s">
        <v>1115</v>
      </c>
      <c r="F15" s="99">
        <v>0</v>
      </c>
      <c r="G15" s="99">
        <v>0</v>
      </c>
      <c r="H15" s="99">
        <v>0</v>
      </c>
      <c r="I15" s="99">
        <v>0</v>
      </c>
      <c r="J15" s="99">
        <v>0</v>
      </c>
      <c r="L15" s="1"/>
      <c r="N15" s="1"/>
      <c r="P15" s="1"/>
      <c r="Q15" s="79"/>
    </row>
    <row r="16" spans="1:17" x14ac:dyDescent="0.25">
      <c r="A16" s="4"/>
      <c r="B16" s="4"/>
      <c r="C16" s="4">
        <v>12</v>
      </c>
      <c r="D16" s="4">
        <v>1721000532</v>
      </c>
      <c r="E16" s="4" t="s">
        <v>228</v>
      </c>
      <c r="F16" s="99">
        <v>8</v>
      </c>
      <c r="G16" s="99">
        <v>15</v>
      </c>
      <c r="H16" s="99">
        <v>-1</v>
      </c>
      <c r="I16" s="99">
        <v>5</v>
      </c>
      <c r="J16" s="99">
        <v>1</v>
      </c>
      <c r="L16" s="1"/>
      <c r="M16" s="1"/>
      <c r="O16" s="1"/>
      <c r="P16" s="1"/>
      <c r="Q16" s="79"/>
    </row>
    <row r="17" spans="1:17" x14ac:dyDescent="0.25">
      <c r="A17" s="4"/>
      <c r="B17" s="4"/>
      <c r="C17" s="4">
        <v>13</v>
      </c>
      <c r="D17" s="4">
        <v>1731000532</v>
      </c>
      <c r="E17" s="4" t="s">
        <v>240</v>
      </c>
      <c r="F17" s="99">
        <v>1</v>
      </c>
      <c r="G17" s="99">
        <v>1</v>
      </c>
      <c r="H17" s="99">
        <v>0</v>
      </c>
      <c r="I17" s="99">
        <v>1</v>
      </c>
      <c r="J17" s="99">
        <v>1</v>
      </c>
      <c r="L17" s="1"/>
      <c r="M17" s="1"/>
      <c r="O17" s="1"/>
      <c r="P17" s="1"/>
      <c r="Q17" s="79"/>
    </row>
    <row r="18" spans="1:17" x14ac:dyDescent="0.25">
      <c r="A18" s="4"/>
      <c r="B18" s="4"/>
      <c r="C18" s="4">
        <v>14</v>
      </c>
      <c r="D18" s="4">
        <v>1733000532</v>
      </c>
      <c r="E18" s="4" t="s">
        <v>240</v>
      </c>
      <c r="F18" s="99">
        <v>0</v>
      </c>
      <c r="G18" s="99">
        <v>1</v>
      </c>
      <c r="H18" s="99">
        <v>0</v>
      </c>
      <c r="I18" s="99">
        <v>1</v>
      </c>
      <c r="J18" s="99">
        <v>1</v>
      </c>
      <c r="L18" s="1"/>
      <c r="M18" s="1"/>
      <c r="O18" s="1"/>
      <c r="P18" s="1"/>
      <c r="Q18" s="79"/>
    </row>
    <row r="19" spans="1:17" x14ac:dyDescent="0.25">
      <c r="A19" s="4"/>
      <c r="B19" s="4"/>
      <c r="C19" s="4">
        <v>15</v>
      </c>
      <c r="D19" s="4">
        <v>1741000532</v>
      </c>
      <c r="E19" s="4" t="s">
        <v>247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L19" s="1"/>
      <c r="N19" s="1"/>
      <c r="O19" s="1"/>
      <c r="P19" s="1"/>
      <c r="Q19" s="79"/>
    </row>
    <row r="20" spans="1:17" x14ac:dyDescent="0.25">
      <c r="A20" s="4"/>
      <c r="B20" s="4"/>
      <c r="C20" s="4">
        <v>16</v>
      </c>
      <c r="D20" s="4">
        <v>1746000532</v>
      </c>
      <c r="E20" s="4" t="s">
        <v>252</v>
      </c>
      <c r="F20" s="99">
        <v>29</v>
      </c>
      <c r="G20" s="99">
        <v>29</v>
      </c>
      <c r="H20" s="99">
        <v>12</v>
      </c>
      <c r="I20" s="99">
        <v>29</v>
      </c>
      <c r="J20" s="99">
        <v>29</v>
      </c>
      <c r="L20" s="1"/>
      <c r="M20" s="1"/>
      <c r="O20" s="1"/>
      <c r="P20" s="1"/>
      <c r="Q20" s="79"/>
    </row>
    <row r="21" spans="1:17" x14ac:dyDescent="0.25">
      <c r="A21" s="4"/>
      <c r="B21" s="4"/>
      <c r="C21" s="4">
        <v>17</v>
      </c>
      <c r="D21" s="4">
        <v>1811000532</v>
      </c>
      <c r="E21" s="4" t="s">
        <v>275</v>
      </c>
      <c r="F21" s="99">
        <v>5</v>
      </c>
      <c r="G21" s="99">
        <f>F21</f>
        <v>5</v>
      </c>
      <c r="H21" s="99">
        <v>2</v>
      </c>
      <c r="I21" s="99">
        <v>3</v>
      </c>
      <c r="J21" s="99">
        <v>3</v>
      </c>
      <c r="L21" s="1"/>
      <c r="N21" s="1"/>
      <c r="O21" s="1"/>
      <c r="Q21" s="79"/>
    </row>
    <row r="22" spans="1:17" x14ac:dyDescent="0.25">
      <c r="A22" s="4"/>
      <c r="B22" s="4"/>
      <c r="C22" s="4">
        <v>18</v>
      </c>
      <c r="D22" s="4">
        <v>1817910532</v>
      </c>
      <c r="E22" s="4" t="s">
        <v>275</v>
      </c>
      <c r="F22" s="99">
        <v>2</v>
      </c>
      <c r="G22" s="99">
        <v>4</v>
      </c>
      <c r="H22" s="99">
        <v>0</v>
      </c>
      <c r="I22" s="99">
        <v>4</v>
      </c>
      <c r="J22" s="99">
        <v>4</v>
      </c>
      <c r="L22" s="1"/>
      <c r="N22" s="1"/>
      <c r="Q22" s="79"/>
    </row>
    <row r="23" spans="1:17" x14ac:dyDescent="0.25">
      <c r="A23" s="4"/>
      <c r="B23" s="4"/>
      <c r="C23" s="4">
        <v>19</v>
      </c>
      <c r="D23" s="4">
        <v>1821000532</v>
      </c>
      <c r="E23" s="4" t="s">
        <v>305</v>
      </c>
      <c r="F23" s="99">
        <v>1</v>
      </c>
      <c r="G23" s="99">
        <f t="shared" ref="G23:G25" si="0">F23</f>
        <v>1</v>
      </c>
      <c r="H23" s="99">
        <v>0</v>
      </c>
      <c r="I23" s="99">
        <v>0</v>
      </c>
      <c r="J23" s="99">
        <v>0</v>
      </c>
      <c r="L23" s="1"/>
      <c r="M23" s="1"/>
      <c r="P23" s="1"/>
      <c r="Q23" s="79"/>
    </row>
    <row r="24" spans="1:17" x14ac:dyDescent="0.25">
      <c r="A24" s="4"/>
      <c r="B24" s="4"/>
      <c r="C24" s="4">
        <v>20</v>
      </c>
      <c r="D24" s="4">
        <v>1822200532</v>
      </c>
      <c r="E24" s="4" t="s">
        <v>305</v>
      </c>
      <c r="F24" s="99">
        <v>1</v>
      </c>
      <c r="G24" s="99">
        <v>2</v>
      </c>
      <c r="H24" s="99">
        <v>1</v>
      </c>
      <c r="I24" s="99">
        <v>2</v>
      </c>
      <c r="J24" s="99">
        <v>2</v>
      </c>
      <c r="N24" s="1"/>
      <c r="Q24" s="79"/>
    </row>
    <row r="25" spans="1:17" x14ac:dyDescent="0.25">
      <c r="A25" s="4"/>
      <c r="B25" s="4"/>
      <c r="C25" s="4">
        <v>21</v>
      </c>
      <c r="D25" s="4">
        <v>1841000532</v>
      </c>
      <c r="E25" s="4" t="s">
        <v>333</v>
      </c>
      <c r="F25" s="99">
        <v>0</v>
      </c>
      <c r="G25" s="99">
        <f t="shared" si="0"/>
        <v>0</v>
      </c>
      <c r="H25" s="99">
        <v>0</v>
      </c>
      <c r="I25" s="99">
        <v>0</v>
      </c>
      <c r="J25" s="99">
        <v>0</v>
      </c>
      <c r="M25" s="1"/>
      <c r="O25" s="1"/>
      <c r="Q25" s="79"/>
    </row>
    <row r="26" spans="1:17" x14ac:dyDescent="0.25">
      <c r="A26" s="4"/>
      <c r="B26" s="4"/>
      <c r="C26" s="4">
        <v>22</v>
      </c>
      <c r="D26" s="4">
        <v>1913000532</v>
      </c>
      <c r="E26" s="4" t="s">
        <v>247</v>
      </c>
      <c r="F26" s="99">
        <v>12</v>
      </c>
      <c r="G26" s="99">
        <v>60</v>
      </c>
      <c r="H26" s="99">
        <v>10</v>
      </c>
      <c r="I26" s="99">
        <v>20</v>
      </c>
      <c r="J26" s="99">
        <v>20</v>
      </c>
      <c r="L26" s="1"/>
      <c r="N26" s="1"/>
      <c r="O26" s="1"/>
      <c r="P26" s="1"/>
      <c r="Q26" s="79"/>
    </row>
    <row r="27" spans="1:17" x14ac:dyDescent="0.25">
      <c r="A27" s="4"/>
      <c r="B27" s="4"/>
      <c r="C27" s="4">
        <v>23</v>
      </c>
      <c r="D27" s="4">
        <v>1943000532</v>
      </c>
      <c r="E27" s="4" t="s">
        <v>382</v>
      </c>
      <c r="F27" s="99">
        <v>3</v>
      </c>
      <c r="G27" s="99">
        <v>6</v>
      </c>
      <c r="H27" s="99">
        <v>1</v>
      </c>
      <c r="I27" s="99">
        <v>6</v>
      </c>
      <c r="J27" s="99">
        <v>6</v>
      </c>
      <c r="L27" s="1"/>
      <c r="M27" s="1"/>
      <c r="O27" s="1"/>
      <c r="Q27" s="79"/>
    </row>
    <row r="28" spans="1:17" x14ac:dyDescent="0.25">
      <c r="A28" s="4"/>
      <c r="B28" s="4"/>
      <c r="C28" s="101"/>
      <c r="D28" s="548" t="s">
        <v>433</v>
      </c>
      <c r="E28" s="548"/>
      <c r="F28" s="149">
        <f t="shared" ref="F28:J28" si="1">SUM(F5:F27)</f>
        <v>902</v>
      </c>
      <c r="G28" s="149">
        <f t="shared" si="1"/>
        <v>961</v>
      </c>
      <c r="H28" s="149">
        <f t="shared" si="1"/>
        <v>695</v>
      </c>
      <c r="I28" s="149">
        <f t="shared" si="1"/>
        <v>942</v>
      </c>
      <c r="J28" s="149">
        <f t="shared" si="1"/>
        <v>1360</v>
      </c>
    </row>
    <row r="29" spans="1:17" x14ac:dyDescent="0.25">
      <c r="A29" s="36"/>
      <c r="B29" s="36"/>
      <c r="C29" s="188"/>
      <c r="D29" s="25"/>
      <c r="E29" s="25"/>
      <c r="F29" s="192"/>
      <c r="G29" s="192"/>
    </row>
    <row r="30" spans="1:17" ht="22.8" x14ac:dyDescent="0.4">
      <c r="D30" s="206">
        <v>533</v>
      </c>
      <c r="E30" s="549" t="s">
        <v>1073</v>
      </c>
      <c r="F30" s="549"/>
      <c r="G30" s="549"/>
      <c r="H30" s="549"/>
      <c r="I30" s="549"/>
      <c r="J30" s="549"/>
    </row>
    <row r="31" spans="1:17" ht="17.399999999999999" x14ac:dyDescent="0.3">
      <c r="D31" s="6"/>
      <c r="E31" s="6"/>
    </row>
    <row r="32" spans="1:17" s="195" customFormat="1" ht="46.8" x14ac:dyDescent="0.25">
      <c r="C32" s="307" t="s">
        <v>627</v>
      </c>
      <c r="D32" s="307" t="s">
        <v>0</v>
      </c>
      <c r="E32" s="307" t="s">
        <v>1</v>
      </c>
      <c r="F32" s="296" t="s">
        <v>1250</v>
      </c>
      <c r="G32" s="296" t="s">
        <v>1061</v>
      </c>
      <c r="H32" s="296" t="s">
        <v>1059</v>
      </c>
      <c r="I32" s="296" t="s">
        <v>1060</v>
      </c>
      <c r="J32" s="296" t="s">
        <v>1058</v>
      </c>
    </row>
    <row r="33" spans="3:17" x14ac:dyDescent="0.25">
      <c r="C33" s="38">
        <v>1</v>
      </c>
      <c r="D33" s="38">
        <v>1611000533</v>
      </c>
      <c r="E33" s="38" t="s">
        <v>453</v>
      </c>
      <c r="F33" s="138">
        <v>9</v>
      </c>
      <c r="G33" s="99">
        <v>8</v>
      </c>
      <c r="H33" s="138">
        <v>8</v>
      </c>
      <c r="I33" s="99">
        <v>8</v>
      </c>
      <c r="J33" s="138">
        <v>8</v>
      </c>
      <c r="K33" s="1"/>
      <c r="M33" s="1"/>
      <c r="N33" s="1"/>
      <c r="O33" s="79"/>
      <c r="P33" s="1"/>
      <c r="Q33" s="79"/>
    </row>
    <row r="34" spans="3:17" x14ac:dyDescent="0.25">
      <c r="C34" s="38">
        <v>2</v>
      </c>
      <c r="D34" s="38">
        <v>1613000533</v>
      </c>
      <c r="E34" s="38" t="s">
        <v>178</v>
      </c>
      <c r="F34" s="138">
        <v>0</v>
      </c>
      <c r="G34" s="99">
        <v>0</v>
      </c>
      <c r="H34" s="138">
        <v>0</v>
      </c>
      <c r="I34" s="99">
        <v>0</v>
      </c>
      <c r="J34" s="138">
        <v>0</v>
      </c>
      <c r="K34" s="1"/>
      <c r="M34" s="1"/>
      <c r="N34" s="1"/>
      <c r="O34" s="79"/>
      <c r="P34" s="1"/>
      <c r="Q34" s="79"/>
    </row>
    <row r="35" spans="3:17" x14ac:dyDescent="0.25">
      <c r="C35" s="38">
        <v>3</v>
      </c>
      <c r="D35" s="38">
        <v>1711000533</v>
      </c>
      <c r="E35" s="38" t="s">
        <v>211</v>
      </c>
      <c r="F35" s="138">
        <v>65</v>
      </c>
      <c r="G35" s="99">
        <v>63</v>
      </c>
      <c r="H35" s="138">
        <v>90</v>
      </c>
      <c r="I35" s="99">
        <v>100</v>
      </c>
      <c r="J35" s="138">
        <v>100</v>
      </c>
      <c r="L35" s="1"/>
      <c r="N35" s="1"/>
      <c r="O35" s="79"/>
      <c r="P35" s="1"/>
      <c r="Q35" s="79"/>
    </row>
    <row r="36" spans="3:17" x14ac:dyDescent="0.25">
      <c r="C36" s="38">
        <v>4</v>
      </c>
      <c r="D36" s="38">
        <v>1712200533</v>
      </c>
      <c r="E36" s="38" t="s">
        <v>217</v>
      </c>
      <c r="F36" s="138">
        <v>49</v>
      </c>
      <c r="G36" s="99">
        <v>50</v>
      </c>
      <c r="H36" s="138">
        <v>44</v>
      </c>
      <c r="I36" s="99">
        <v>50</v>
      </c>
      <c r="J36" s="138">
        <v>50</v>
      </c>
      <c r="K36" s="1"/>
      <c r="M36" s="1"/>
      <c r="O36" s="79"/>
      <c r="Q36" s="79"/>
    </row>
    <row r="37" spans="3:17" x14ac:dyDescent="0.25">
      <c r="C37" s="38">
        <v>5</v>
      </c>
      <c r="D37" s="38">
        <v>1712300533</v>
      </c>
      <c r="E37" s="38" t="s">
        <v>223</v>
      </c>
      <c r="F37" s="138">
        <v>229</v>
      </c>
      <c r="G37" s="99">
        <v>233</v>
      </c>
      <c r="H37" s="138">
        <v>197</v>
      </c>
      <c r="I37" s="99">
        <v>200</v>
      </c>
      <c r="J37" s="138">
        <v>200</v>
      </c>
      <c r="K37" s="1"/>
      <c r="M37" s="1"/>
      <c r="O37" s="79"/>
      <c r="Q37" s="79"/>
    </row>
    <row r="38" spans="3:17" x14ac:dyDescent="0.25">
      <c r="C38" s="38">
        <v>6</v>
      </c>
      <c r="D38" s="38">
        <v>1721000533</v>
      </c>
      <c r="E38" s="38" t="s">
        <v>229</v>
      </c>
      <c r="F38" s="138">
        <v>1</v>
      </c>
      <c r="G38" s="99">
        <v>10</v>
      </c>
      <c r="H38" s="138">
        <v>2</v>
      </c>
      <c r="I38" s="99">
        <v>2</v>
      </c>
      <c r="J38" s="138">
        <v>2</v>
      </c>
      <c r="K38" s="1"/>
      <c r="M38" s="1"/>
      <c r="O38" s="79"/>
      <c r="Q38" s="79"/>
    </row>
    <row r="39" spans="3:17" x14ac:dyDescent="0.25">
      <c r="C39" s="38">
        <v>7</v>
      </c>
      <c r="D39" s="38">
        <v>1746000533</v>
      </c>
      <c r="E39" s="38" t="s">
        <v>253</v>
      </c>
      <c r="F39" s="138">
        <v>25</v>
      </c>
      <c r="G39" s="99">
        <v>24</v>
      </c>
      <c r="H39" s="138">
        <v>13</v>
      </c>
      <c r="I39" s="99">
        <v>15</v>
      </c>
      <c r="J39" s="138">
        <v>15</v>
      </c>
      <c r="K39" s="1"/>
      <c r="M39" s="1"/>
      <c r="O39" s="79"/>
      <c r="Q39" s="79"/>
    </row>
    <row r="40" spans="3:17" x14ac:dyDescent="0.25">
      <c r="C40" s="38">
        <v>8</v>
      </c>
      <c r="D40" s="38">
        <v>1817910533</v>
      </c>
      <c r="E40" s="38" t="s">
        <v>303</v>
      </c>
      <c r="F40" s="138">
        <v>7</v>
      </c>
      <c r="G40" s="99">
        <v>7</v>
      </c>
      <c r="H40" s="138">
        <v>-1</v>
      </c>
      <c r="I40" s="99">
        <v>0</v>
      </c>
      <c r="J40" s="138">
        <v>0</v>
      </c>
      <c r="M40" s="1"/>
      <c r="O40" s="79"/>
      <c r="Q40" s="79"/>
    </row>
    <row r="41" spans="3:17" x14ac:dyDescent="0.25">
      <c r="C41" s="38">
        <v>9</v>
      </c>
      <c r="D41" s="38">
        <v>1822200533</v>
      </c>
      <c r="E41" s="38" t="s">
        <v>309</v>
      </c>
      <c r="F41" s="138">
        <v>3</v>
      </c>
      <c r="G41" s="99">
        <v>3</v>
      </c>
      <c r="H41" s="138">
        <v>3</v>
      </c>
      <c r="I41" s="99">
        <v>3</v>
      </c>
      <c r="J41" s="138">
        <v>3</v>
      </c>
      <c r="M41" s="1"/>
      <c r="O41" s="79"/>
      <c r="Q41" s="79"/>
    </row>
    <row r="42" spans="3:17" x14ac:dyDescent="0.25">
      <c r="C42" s="38">
        <v>10</v>
      </c>
      <c r="D42" s="38">
        <v>1841000533</v>
      </c>
      <c r="E42" s="38" t="s">
        <v>334</v>
      </c>
      <c r="F42" s="138">
        <v>0</v>
      </c>
      <c r="G42" s="99">
        <v>0</v>
      </c>
      <c r="H42" s="138">
        <v>0</v>
      </c>
      <c r="I42" s="99">
        <v>0</v>
      </c>
      <c r="J42" s="138">
        <v>0</v>
      </c>
      <c r="M42" s="1"/>
      <c r="O42" s="79"/>
      <c r="Q42" s="79"/>
    </row>
    <row r="43" spans="3:17" x14ac:dyDescent="0.25">
      <c r="C43" s="38">
        <v>11</v>
      </c>
      <c r="D43" s="38">
        <v>1860000533</v>
      </c>
      <c r="E43" s="38" t="s">
        <v>454</v>
      </c>
      <c r="F43" s="138">
        <v>0</v>
      </c>
      <c r="G43" s="99">
        <v>0</v>
      </c>
      <c r="H43" s="138">
        <v>0</v>
      </c>
      <c r="I43" s="99">
        <v>0</v>
      </c>
      <c r="J43" s="138">
        <v>0</v>
      </c>
    </row>
    <row r="44" spans="3:17" x14ac:dyDescent="0.25">
      <c r="C44" s="38">
        <v>12</v>
      </c>
      <c r="D44" s="38">
        <v>1913000533</v>
      </c>
      <c r="E44" s="38" t="s">
        <v>374</v>
      </c>
      <c r="F44" s="138">
        <v>18</v>
      </c>
      <c r="G44" s="99">
        <v>19</v>
      </c>
      <c r="H44" s="138">
        <v>16</v>
      </c>
      <c r="I44" s="99">
        <v>19</v>
      </c>
      <c r="J44" s="138">
        <v>19</v>
      </c>
    </row>
    <row r="45" spans="3:17" x14ac:dyDescent="0.25">
      <c r="C45" s="38">
        <v>13</v>
      </c>
      <c r="D45" s="38">
        <v>1943000533</v>
      </c>
      <c r="E45" s="38" t="s">
        <v>383</v>
      </c>
      <c r="F45" s="138">
        <v>10</v>
      </c>
      <c r="G45" s="99">
        <v>11</v>
      </c>
      <c r="H45" s="138">
        <v>18</v>
      </c>
      <c r="I45" s="99">
        <v>18</v>
      </c>
      <c r="J45" s="138">
        <v>18</v>
      </c>
    </row>
    <row r="46" spans="3:17" x14ac:dyDescent="0.25">
      <c r="C46" s="309"/>
      <c r="D46" s="564" t="s">
        <v>433</v>
      </c>
      <c r="E46" s="564"/>
      <c r="F46" s="148">
        <f t="shared" ref="F46:J46" si="2">SUM(F33:F45)</f>
        <v>416</v>
      </c>
      <c r="G46" s="148">
        <f t="shared" si="2"/>
        <v>428</v>
      </c>
      <c r="H46" s="148">
        <f t="shared" si="2"/>
        <v>390</v>
      </c>
      <c r="I46" s="148">
        <f t="shared" si="2"/>
        <v>415</v>
      </c>
      <c r="J46" s="148">
        <f t="shared" si="2"/>
        <v>415</v>
      </c>
    </row>
    <row r="47" spans="3:17" x14ac:dyDescent="0.25">
      <c r="F47" s="37"/>
      <c r="G47" s="37"/>
    </row>
    <row r="48" spans="3:17" x14ac:dyDescent="0.25">
      <c r="F48" s="37"/>
      <c r="G48" s="37"/>
    </row>
    <row r="49" spans="3:10" s="195" customFormat="1" ht="46.8" x14ac:dyDescent="0.25">
      <c r="C49" s="194" t="s">
        <v>627</v>
      </c>
      <c r="D49" s="194" t="s">
        <v>0</v>
      </c>
      <c r="E49" s="194" t="s">
        <v>1</v>
      </c>
      <c r="F49" s="165" t="s">
        <v>1250</v>
      </c>
      <c r="G49" s="165" t="s">
        <v>1061</v>
      </c>
      <c r="H49" s="165" t="s">
        <v>1059</v>
      </c>
      <c r="I49" s="165" t="s">
        <v>1060</v>
      </c>
      <c r="J49" s="165" t="s">
        <v>1058</v>
      </c>
    </row>
    <row r="50" spans="3:10" s="40" customFormat="1" x14ac:dyDescent="0.25">
      <c r="C50" s="233">
        <v>1</v>
      </c>
      <c r="D50" s="233">
        <v>1723000422</v>
      </c>
      <c r="E50" s="233" t="s">
        <v>1078</v>
      </c>
      <c r="F50" s="171">
        <v>40</v>
      </c>
      <c r="G50" s="160">
        <v>0</v>
      </c>
      <c r="H50" s="393">
        <v>55</v>
      </c>
      <c r="I50" s="137">
        <v>85</v>
      </c>
      <c r="J50" s="171">
        <v>85</v>
      </c>
    </row>
    <row r="51" spans="3:10" x14ac:dyDescent="0.25">
      <c r="C51" s="101"/>
      <c r="D51" s="567" t="s">
        <v>433</v>
      </c>
      <c r="E51" s="568"/>
      <c r="F51" s="143">
        <f t="shared" ref="F51:J51" si="3">SUM(F50)</f>
        <v>40</v>
      </c>
      <c r="G51" s="143">
        <f t="shared" si="3"/>
        <v>0</v>
      </c>
      <c r="H51" s="143">
        <f t="shared" si="3"/>
        <v>55</v>
      </c>
      <c r="I51" s="143">
        <f t="shared" si="3"/>
        <v>85</v>
      </c>
      <c r="J51" s="143">
        <f t="shared" si="3"/>
        <v>85</v>
      </c>
    </row>
    <row r="53" spans="3:10" x14ac:dyDescent="0.25">
      <c r="E53" s="34"/>
    </row>
  </sheetData>
  <sheetProtection algorithmName="SHA-512" hashValue="5Nb5DDJAPtvp1/8SisUQnnG/DNnwA3CYl+mRlGFmUMGSe9wXXAlxKHhlq/4SY4uZDvueKtNYtuwPzrX7FmA/Vg==" saltValue="yH67CZR2WHIQ608W7tAsOA==" spinCount="100000" sheet="1" objects="1" scenarios="1"/>
  <mergeCells count="5">
    <mergeCell ref="D28:E28"/>
    <mergeCell ref="D46:E46"/>
    <mergeCell ref="E2:J2"/>
    <mergeCell ref="E30:J30"/>
    <mergeCell ref="D51:E51"/>
  </mergeCells>
  <pageMargins left="0.23622047244094491" right="0.43307086614173229" top="0.74803149606299213" bottom="0.49" header="0.31496062992125984" footer="0.46"/>
  <pageSetup paperSize="9" scale="99" firstPageNumber="22" orientation="portrait" useFirstPageNumber="1" r:id="rId1"/>
  <headerFooter>
    <oddFooter>עמוד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O47"/>
  <sheetViews>
    <sheetView rightToLeft="1" topLeftCell="B1" zoomScale="120" zoomScaleNormal="120" workbookViewId="0">
      <selection activeCell="G4" sqref="G4"/>
    </sheetView>
  </sheetViews>
  <sheetFormatPr defaultRowHeight="13.8" x14ac:dyDescent="0.25"/>
  <cols>
    <col min="1" max="1" width="8.59765625" hidden="1" customWidth="1"/>
    <col min="2" max="2" width="4.5" bestFit="1" customWidth="1"/>
    <col min="3" max="3" width="10.8984375" bestFit="1" customWidth="1"/>
    <col min="4" max="4" width="23.59765625" bestFit="1" customWidth="1"/>
    <col min="5" max="5" width="10.5" bestFit="1" customWidth="1"/>
    <col min="6" max="6" width="12.19921875" customWidth="1"/>
    <col min="7" max="7" width="13.8984375" customWidth="1"/>
    <col min="8" max="8" width="12.59765625" bestFit="1" customWidth="1"/>
    <col min="9" max="9" width="14.796875" customWidth="1"/>
    <col min="10" max="11" width="9.59765625" bestFit="1" customWidth="1"/>
  </cols>
  <sheetData>
    <row r="2" spans="1:15" ht="24" customHeight="1" x14ac:dyDescent="0.25">
      <c r="C2" s="206">
        <v>534</v>
      </c>
      <c r="D2" s="556" t="s">
        <v>455</v>
      </c>
      <c r="E2" s="556"/>
      <c r="F2" s="556"/>
      <c r="G2" s="556"/>
      <c r="H2" s="556"/>
      <c r="I2" s="556"/>
    </row>
    <row r="4" spans="1:15" s="195" customFormat="1" ht="51.75" customHeight="1" x14ac:dyDescent="0.25">
      <c r="A4" s="181"/>
      <c r="B4" s="194" t="s">
        <v>627</v>
      </c>
      <c r="C4" s="194" t="s">
        <v>0</v>
      </c>
      <c r="D4" s="194" t="s">
        <v>1</v>
      </c>
      <c r="E4" s="165" t="s">
        <v>1250</v>
      </c>
      <c r="F4" s="165" t="s">
        <v>1061</v>
      </c>
      <c r="G4" s="165" t="s">
        <v>1059</v>
      </c>
      <c r="H4" s="165" t="s">
        <v>1060</v>
      </c>
      <c r="I4" s="165" t="s">
        <v>1058</v>
      </c>
    </row>
    <row r="5" spans="1:15" x14ac:dyDescent="0.25">
      <c r="A5" s="4"/>
      <c r="B5" s="4">
        <v>1</v>
      </c>
      <c r="C5" s="4">
        <v>1611000534</v>
      </c>
      <c r="D5" s="4" t="s">
        <v>456</v>
      </c>
      <c r="E5" s="138">
        <v>159</v>
      </c>
      <c r="F5" s="99">
        <v>159</v>
      </c>
      <c r="G5" s="99">
        <v>91</v>
      </c>
      <c r="H5" s="99">
        <v>190</v>
      </c>
      <c r="I5" s="99">
        <v>196</v>
      </c>
      <c r="J5" s="1"/>
      <c r="M5" s="1"/>
      <c r="O5" s="79"/>
    </row>
    <row r="6" spans="1:15" x14ac:dyDescent="0.25">
      <c r="A6" s="4"/>
      <c r="B6" s="4">
        <v>2</v>
      </c>
      <c r="C6" s="4">
        <v>1612000534</v>
      </c>
      <c r="D6" s="4" t="s">
        <v>171</v>
      </c>
      <c r="E6" s="138">
        <v>54</v>
      </c>
      <c r="F6" s="99">
        <v>57</v>
      </c>
      <c r="G6" s="99">
        <v>32</v>
      </c>
      <c r="H6" s="99">
        <v>64</v>
      </c>
      <c r="I6" s="99">
        <v>64</v>
      </c>
      <c r="J6" s="1"/>
      <c r="L6" s="1"/>
      <c r="M6" s="1"/>
      <c r="N6" s="1"/>
      <c r="O6" s="79"/>
    </row>
    <row r="7" spans="1:15" x14ac:dyDescent="0.25">
      <c r="A7" s="4"/>
      <c r="B7" s="4">
        <v>3</v>
      </c>
      <c r="C7" s="4">
        <v>1613000534</v>
      </c>
      <c r="D7" s="4" t="s">
        <v>179</v>
      </c>
      <c r="E7" s="138">
        <f>8*12</f>
        <v>96</v>
      </c>
      <c r="F7" s="99">
        <v>98</v>
      </c>
      <c r="G7" s="99">
        <v>33</v>
      </c>
      <c r="H7" s="99">
        <v>66</v>
      </c>
      <c r="I7" s="99">
        <v>55</v>
      </c>
      <c r="J7" s="1"/>
      <c r="L7" s="1"/>
      <c r="N7" s="1"/>
      <c r="O7" s="79"/>
    </row>
    <row r="8" spans="1:15" x14ac:dyDescent="0.25">
      <c r="A8" s="4"/>
      <c r="B8" s="4">
        <v>4</v>
      </c>
      <c r="C8" s="4">
        <v>1617000534</v>
      </c>
      <c r="D8" s="4" t="s">
        <v>190</v>
      </c>
      <c r="E8" s="138">
        <v>47</v>
      </c>
      <c r="F8" s="99">
        <v>52</v>
      </c>
      <c r="G8" s="99">
        <v>0</v>
      </c>
      <c r="H8" s="99">
        <v>32</v>
      </c>
      <c r="I8" s="99">
        <v>62</v>
      </c>
      <c r="J8" s="1"/>
      <c r="M8" s="1"/>
      <c r="N8" s="1"/>
      <c r="O8" s="79"/>
    </row>
    <row r="9" spans="1:15" x14ac:dyDescent="0.25">
      <c r="A9" s="4"/>
      <c r="B9" s="4">
        <v>5</v>
      </c>
      <c r="C9" s="4">
        <v>1621000534</v>
      </c>
      <c r="D9" s="4" t="s">
        <v>197</v>
      </c>
      <c r="E9" s="138">
        <v>41</v>
      </c>
      <c r="F9" s="99">
        <v>45</v>
      </c>
      <c r="G9" s="99">
        <v>29</v>
      </c>
      <c r="H9" s="99">
        <v>55</v>
      </c>
      <c r="I9" s="99">
        <v>55</v>
      </c>
      <c r="J9" s="1"/>
      <c r="K9" s="1"/>
      <c r="M9" s="1"/>
      <c r="O9" s="79"/>
    </row>
    <row r="10" spans="1:15" x14ac:dyDescent="0.25">
      <c r="A10" s="4"/>
      <c r="B10" s="4">
        <v>6</v>
      </c>
      <c r="C10" s="4">
        <v>1711000534</v>
      </c>
      <c r="D10" s="4" t="s">
        <v>212</v>
      </c>
      <c r="E10" s="138">
        <v>519</v>
      </c>
      <c r="F10" s="99">
        <v>581</v>
      </c>
      <c r="G10" s="99">
        <v>211</v>
      </c>
      <c r="H10" s="99">
        <v>462</v>
      </c>
      <c r="I10" s="99">
        <f>462+60</f>
        <v>522</v>
      </c>
      <c r="J10" s="1"/>
      <c r="M10" s="1"/>
      <c r="N10" s="1"/>
      <c r="O10" s="79"/>
    </row>
    <row r="11" spans="1:15" x14ac:dyDescent="0.25">
      <c r="A11" s="4"/>
      <c r="B11" s="4">
        <v>7</v>
      </c>
      <c r="C11" s="4">
        <v>1712200534</v>
      </c>
      <c r="D11" s="4" t="s">
        <v>218</v>
      </c>
      <c r="E11" s="138">
        <v>107</v>
      </c>
      <c r="F11" s="99">
        <v>73</v>
      </c>
      <c r="G11" s="99">
        <v>98</v>
      </c>
      <c r="H11" s="99">
        <v>225</v>
      </c>
      <c r="I11" s="99">
        <v>245</v>
      </c>
      <c r="J11" s="1"/>
      <c r="K11" s="1"/>
      <c r="M11" s="1"/>
      <c r="O11" s="79"/>
    </row>
    <row r="12" spans="1:15" x14ac:dyDescent="0.25">
      <c r="A12" s="4"/>
      <c r="B12" s="4">
        <v>8</v>
      </c>
      <c r="C12" s="4">
        <v>1721000534</v>
      </c>
      <c r="D12" s="4" t="s">
        <v>230</v>
      </c>
      <c r="E12" s="138">
        <v>181</v>
      </c>
      <c r="F12" s="99">
        <v>129</v>
      </c>
      <c r="G12" s="99">
        <f>88-21</f>
        <v>67</v>
      </c>
      <c r="H12" s="99">
        <v>133</v>
      </c>
      <c r="I12" s="99">
        <v>134</v>
      </c>
      <c r="J12" s="1"/>
      <c r="K12" s="1"/>
      <c r="M12" s="1"/>
      <c r="N12" s="1"/>
      <c r="O12" s="79"/>
    </row>
    <row r="13" spans="1:15" x14ac:dyDescent="0.25">
      <c r="A13" s="4"/>
      <c r="B13" s="4">
        <v>9</v>
      </c>
      <c r="C13" s="4">
        <v>1733000534</v>
      </c>
      <c r="D13" s="4" t="s">
        <v>246</v>
      </c>
      <c r="E13" s="138">
        <v>19</v>
      </c>
      <c r="F13" s="99">
        <v>45</v>
      </c>
      <c r="G13" s="99">
        <v>23</v>
      </c>
      <c r="H13" s="99">
        <v>45</v>
      </c>
      <c r="I13" s="99">
        <v>64</v>
      </c>
      <c r="J13" s="1"/>
      <c r="L13" s="1"/>
      <c r="N13" s="1"/>
      <c r="O13" s="79"/>
    </row>
    <row r="14" spans="1:15" x14ac:dyDescent="0.25">
      <c r="A14" s="4"/>
      <c r="B14" s="4">
        <v>10</v>
      </c>
      <c r="C14" s="4">
        <v>1746000534</v>
      </c>
      <c r="D14" s="4" t="s">
        <v>254</v>
      </c>
      <c r="E14" s="138">
        <v>85</v>
      </c>
      <c r="F14" s="99">
        <v>113</v>
      </c>
      <c r="G14" s="99">
        <v>34</v>
      </c>
      <c r="H14" s="99">
        <v>68</v>
      </c>
      <c r="I14" s="99">
        <v>68</v>
      </c>
      <c r="J14" s="1"/>
      <c r="K14" s="1"/>
      <c r="M14" s="1"/>
      <c r="O14" s="79"/>
    </row>
    <row r="15" spans="1:15" x14ac:dyDescent="0.25">
      <c r="A15" s="4"/>
      <c r="B15" s="4">
        <v>11</v>
      </c>
      <c r="C15" s="4">
        <v>1811000534</v>
      </c>
      <c r="D15" s="4" t="s">
        <v>276</v>
      </c>
      <c r="E15" s="138">
        <v>126</v>
      </c>
      <c r="F15" s="99">
        <v>128</v>
      </c>
      <c r="G15" s="99">
        <v>53</v>
      </c>
      <c r="H15" s="99">
        <v>104</v>
      </c>
      <c r="I15" s="99">
        <v>104</v>
      </c>
      <c r="J15" s="1"/>
      <c r="K15" s="1"/>
      <c r="M15" s="1"/>
      <c r="O15" s="79"/>
    </row>
    <row r="16" spans="1:15" x14ac:dyDescent="0.25">
      <c r="A16" s="4"/>
      <c r="B16" s="4">
        <v>12</v>
      </c>
      <c r="C16" s="4">
        <v>1817910534</v>
      </c>
      <c r="D16" s="4" t="s">
        <v>1081</v>
      </c>
      <c r="E16" s="138">
        <v>78</v>
      </c>
      <c r="F16" s="99">
        <v>74</v>
      </c>
      <c r="G16" s="99">
        <v>60</v>
      </c>
      <c r="H16" s="99">
        <v>120</v>
      </c>
      <c r="I16" s="99">
        <v>120</v>
      </c>
      <c r="J16" s="1"/>
      <c r="K16" s="1"/>
      <c r="M16" s="1"/>
      <c r="N16" s="1"/>
      <c r="O16" s="79"/>
    </row>
    <row r="17" spans="1:15" x14ac:dyDescent="0.25">
      <c r="A17" s="4"/>
      <c r="B17" s="4">
        <v>13</v>
      </c>
      <c r="C17" s="4">
        <v>1821000534</v>
      </c>
      <c r="D17" s="4" t="s">
        <v>306</v>
      </c>
      <c r="E17" s="138">
        <v>6</v>
      </c>
      <c r="F17" s="99">
        <v>49</v>
      </c>
      <c r="G17" s="99">
        <v>0</v>
      </c>
      <c r="H17" s="99">
        <v>0</v>
      </c>
      <c r="I17" s="99">
        <v>0</v>
      </c>
      <c r="J17" s="1"/>
      <c r="L17" s="1"/>
      <c r="M17" s="1"/>
      <c r="N17" s="1"/>
      <c r="O17" s="79"/>
    </row>
    <row r="18" spans="1:15" x14ac:dyDescent="0.25">
      <c r="A18" s="4"/>
      <c r="B18" s="4">
        <v>14</v>
      </c>
      <c r="C18" s="10">
        <v>1822100534</v>
      </c>
      <c r="D18" s="10" t="s">
        <v>1208</v>
      </c>
      <c r="E18" s="138">
        <v>0</v>
      </c>
      <c r="F18" s="99">
        <f t="shared" ref="F18" si="0">E18*1.02</f>
        <v>0</v>
      </c>
      <c r="G18" s="99">
        <v>0</v>
      </c>
      <c r="H18" s="99">
        <v>28</v>
      </c>
      <c r="I18" s="99">
        <v>28</v>
      </c>
      <c r="J18" s="1"/>
      <c r="K18" s="1"/>
      <c r="M18" s="1"/>
      <c r="N18" s="1"/>
      <c r="O18" s="79"/>
    </row>
    <row r="19" spans="1:15" x14ac:dyDescent="0.25">
      <c r="A19" s="4"/>
      <c r="B19" s="4">
        <v>15</v>
      </c>
      <c r="C19" s="10">
        <v>1860000534</v>
      </c>
      <c r="D19" s="10" t="s">
        <v>1209</v>
      </c>
      <c r="E19" s="138">
        <v>0</v>
      </c>
      <c r="F19" s="99">
        <v>0</v>
      </c>
      <c r="G19" s="99">
        <v>21</v>
      </c>
      <c r="H19" s="99">
        <v>42</v>
      </c>
      <c r="I19" s="99">
        <v>42</v>
      </c>
      <c r="J19" s="1"/>
      <c r="N19" s="1"/>
      <c r="O19" s="79"/>
    </row>
    <row r="20" spans="1:15" x14ac:dyDescent="0.25">
      <c r="A20" s="4"/>
      <c r="B20" s="4">
        <v>16</v>
      </c>
      <c r="C20" s="4">
        <v>1913000534</v>
      </c>
      <c r="D20" s="10" t="s">
        <v>248</v>
      </c>
      <c r="E20" s="138">
        <v>87</v>
      </c>
      <c r="F20" s="99">
        <v>102</v>
      </c>
      <c r="G20" s="99">
        <v>17</v>
      </c>
      <c r="H20" s="99">
        <v>35</v>
      </c>
      <c r="I20" s="99">
        <v>45</v>
      </c>
      <c r="J20" s="1"/>
      <c r="K20" s="1"/>
    </row>
    <row r="21" spans="1:15" x14ac:dyDescent="0.25">
      <c r="A21" s="4"/>
      <c r="B21" s="101"/>
      <c r="C21" s="548" t="s">
        <v>433</v>
      </c>
      <c r="D21" s="548"/>
      <c r="E21" s="143">
        <f t="shared" ref="E21:I21" si="1">SUM(E5:E20)</f>
        <v>1605</v>
      </c>
      <c r="F21" s="143">
        <f t="shared" si="1"/>
        <v>1705</v>
      </c>
      <c r="G21" s="149">
        <f t="shared" si="1"/>
        <v>769</v>
      </c>
      <c r="H21" s="149">
        <f t="shared" si="1"/>
        <v>1669</v>
      </c>
      <c r="I21" s="149">
        <f t="shared" si="1"/>
        <v>1804</v>
      </c>
    </row>
    <row r="47" spans="5:5" ht="17.399999999999999" x14ac:dyDescent="0.3">
      <c r="E47" s="33"/>
    </row>
  </sheetData>
  <sheetProtection algorithmName="SHA-512" hashValue="yfsV0jw54ERw1VwOKGI43b6DKBCiTHrqaPT1WJGGZgNQSvWMFuCB6TTRaIaHyvHMqGVYT4hTgwL93KlanKEG/g==" saltValue="uUPxBQjYvrS4hoK87QXszA==" spinCount="100000" sheet="1" objects="1" scenarios="1"/>
  <mergeCells count="2">
    <mergeCell ref="C21:D21"/>
    <mergeCell ref="D2:I2"/>
  </mergeCells>
  <pageMargins left="0.19685039370078741" right="0.47244094488188981" top="0.74803149606299213" bottom="0.74803149606299213" header="0.31496062992125984" footer="0.31496062992125984"/>
  <pageSetup paperSize="9" scale="82" firstPageNumber="24" orientation="landscape" useFirstPageNumber="1" r:id="rId1"/>
  <headerFooter>
    <oddFooter>עמוד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O30"/>
  <sheetViews>
    <sheetView rightToLeft="1" topLeftCell="C1" zoomScale="110" zoomScaleNormal="110" workbookViewId="0">
      <selection activeCell="E8" sqref="E8:J8"/>
    </sheetView>
  </sheetViews>
  <sheetFormatPr defaultRowHeight="13.8" x14ac:dyDescent="0.25"/>
  <cols>
    <col min="1" max="2" width="8.59765625" hidden="1" customWidth="1"/>
    <col min="3" max="3" width="4.8984375" customWidth="1"/>
    <col min="4" max="4" width="11.09765625" bestFit="1" customWidth="1"/>
    <col min="5" max="5" width="24.59765625" customWidth="1"/>
    <col min="6" max="6" width="9.8984375" bestFit="1" customWidth="1"/>
    <col min="7" max="8" width="13.69921875" customWidth="1"/>
    <col min="9" max="9" width="12.3984375" customWidth="1"/>
  </cols>
  <sheetData>
    <row r="2" spans="1:15" ht="22.8" x14ac:dyDescent="0.25">
      <c r="D2" s="9">
        <v>540</v>
      </c>
      <c r="E2" s="560" t="s">
        <v>457</v>
      </c>
      <c r="F2" s="560"/>
      <c r="G2" s="560"/>
      <c r="H2" s="560"/>
      <c r="I2" s="560"/>
      <c r="J2" s="560"/>
    </row>
    <row r="4" spans="1:15" s="195" customFormat="1" ht="46.8" x14ac:dyDescent="0.25">
      <c r="C4" s="194" t="s">
        <v>623</v>
      </c>
      <c r="D4" s="194" t="s">
        <v>0</v>
      </c>
      <c r="E4" s="194" t="s">
        <v>1</v>
      </c>
      <c r="F4" s="165" t="s">
        <v>1250</v>
      </c>
      <c r="G4" s="165" t="s">
        <v>1061</v>
      </c>
      <c r="H4" s="165" t="s">
        <v>1059</v>
      </c>
      <c r="I4" s="165" t="s">
        <v>1060</v>
      </c>
      <c r="J4" s="165" t="s">
        <v>1058</v>
      </c>
    </row>
    <row r="5" spans="1:15" x14ac:dyDescent="0.25">
      <c r="A5" s="50"/>
      <c r="B5" s="50"/>
      <c r="C5" s="4">
        <v>1</v>
      </c>
      <c r="D5" s="4">
        <v>1613000540</v>
      </c>
      <c r="E5" s="4" t="s">
        <v>180</v>
      </c>
      <c r="F5" s="99">
        <f>925/7*12</f>
        <v>1585.7142857142858</v>
      </c>
      <c r="G5" s="99">
        <f>925/7*12</f>
        <v>1585.7142857142858</v>
      </c>
      <c r="H5" s="99">
        <v>796</v>
      </c>
      <c r="I5" s="99">
        <v>1586</v>
      </c>
      <c r="J5" s="99">
        <v>1586</v>
      </c>
    </row>
    <row r="6" spans="1:15" x14ac:dyDescent="0.25">
      <c r="C6" s="101"/>
      <c r="D6" s="548" t="s">
        <v>433</v>
      </c>
      <c r="E6" s="548"/>
      <c r="F6" s="149">
        <f t="shared" ref="F6:H6" si="0">SUM(F5)</f>
        <v>1585.7142857142858</v>
      </c>
      <c r="G6" s="149">
        <f t="shared" si="0"/>
        <v>1585.7142857142858</v>
      </c>
      <c r="H6" s="149">
        <f t="shared" si="0"/>
        <v>796</v>
      </c>
      <c r="I6" s="149">
        <f>SUM(I5)</f>
        <v>1586</v>
      </c>
      <c r="J6" s="149">
        <f>SUM(J5)</f>
        <v>1586</v>
      </c>
    </row>
    <row r="8" spans="1:15" ht="22.8" x14ac:dyDescent="0.25">
      <c r="D8" s="9">
        <v>550</v>
      </c>
      <c r="E8" s="556" t="s">
        <v>458</v>
      </c>
      <c r="F8" s="556"/>
      <c r="G8" s="556"/>
      <c r="H8" s="556"/>
      <c r="I8" s="556"/>
      <c r="J8" s="556"/>
    </row>
    <row r="10" spans="1:15" s="195" customFormat="1" ht="46.8" x14ac:dyDescent="0.25">
      <c r="C10" s="194" t="s">
        <v>623</v>
      </c>
      <c r="D10" s="194" t="s">
        <v>0</v>
      </c>
      <c r="E10" s="194" t="s">
        <v>1</v>
      </c>
      <c r="F10" s="165" t="s">
        <v>1250</v>
      </c>
      <c r="G10" s="165" t="s">
        <v>1061</v>
      </c>
      <c r="H10" s="165" t="s">
        <v>1059</v>
      </c>
      <c r="I10" s="165" t="s">
        <v>1060</v>
      </c>
      <c r="J10" s="165" t="s">
        <v>1058</v>
      </c>
    </row>
    <row r="11" spans="1:15" x14ac:dyDescent="0.25">
      <c r="C11" s="4">
        <v>1</v>
      </c>
      <c r="D11" s="4">
        <v>1611000550</v>
      </c>
      <c r="E11" s="4" t="s">
        <v>165</v>
      </c>
      <c r="F11" s="99">
        <v>35</v>
      </c>
      <c r="G11" s="85">
        <v>58</v>
      </c>
      <c r="H11" s="99">
        <v>50</v>
      </c>
      <c r="I11" s="99">
        <v>58</v>
      </c>
      <c r="J11" s="99">
        <v>58</v>
      </c>
      <c r="K11" s="1"/>
      <c r="M11" s="1"/>
      <c r="O11" s="79"/>
    </row>
    <row r="12" spans="1:15" x14ac:dyDescent="0.25">
      <c r="C12" s="4">
        <v>2</v>
      </c>
      <c r="D12" s="4">
        <v>1613000550</v>
      </c>
      <c r="E12" s="4" t="s">
        <v>1207</v>
      </c>
      <c r="F12" s="99">
        <v>65</v>
      </c>
      <c r="G12" s="85">
        <v>100</v>
      </c>
      <c r="H12" s="85">
        <v>43</v>
      </c>
      <c r="I12" s="85">
        <v>80</v>
      </c>
      <c r="J12" s="85">
        <v>80</v>
      </c>
      <c r="K12" s="1"/>
      <c r="M12" s="1"/>
      <c r="N12" s="1"/>
      <c r="O12" s="79"/>
    </row>
    <row r="13" spans="1:15" x14ac:dyDescent="0.25">
      <c r="C13" s="4">
        <v>3</v>
      </c>
      <c r="D13" s="279">
        <v>1613200550</v>
      </c>
      <c r="E13" s="4" t="s">
        <v>503</v>
      </c>
      <c r="F13" s="29">
        <v>141</v>
      </c>
      <c r="G13" s="85">
        <v>130</v>
      </c>
      <c r="H13" s="85">
        <v>120</v>
      </c>
      <c r="I13" s="85">
        <v>150</v>
      </c>
      <c r="J13" s="85">
        <v>150</v>
      </c>
      <c r="M13" s="1"/>
      <c r="O13" s="79"/>
    </row>
    <row r="14" spans="1:15" x14ac:dyDescent="0.25">
      <c r="C14" s="4">
        <v>4</v>
      </c>
      <c r="D14" s="233">
        <v>1723200550</v>
      </c>
      <c r="E14" s="233" t="s">
        <v>549</v>
      </c>
      <c r="F14" s="137">
        <v>0</v>
      </c>
      <c r="G14" s="137">
        <v>13</v>
      </c>
      <c r="H14" s="137">
        <v>10</v>
      </c>
      <c r="I14" s="137">
        <v>13</v>
      </c>
      <c r="J14" s="137">
        <v>13</v>
      </c>
      <c r="M14" s="1"/>
      <c r="O14" s="79"/>
    </row>
    <row r="15" spans="1:15" x14ac:dyDescent="0.25">
      <c r="C15" s="101"/>
      <c r="D15" s="548" t="s">
        <v>433</v>
      </c>
      <c r="E15" s="548"/>
      <c r="F15" s="147">
        <f t="shared" ref="F15:H15" si="1">SUM(F11:F14)</f>
        <v>241</v>
      </c>
      <c r="G15" s="147">
        <f t="shared" si="1"/>
        <v>301</v>
      </c>
      <c r="H15" s="147">
        <f t="shared" si="1"/>
        <v>223</v>
      </c>
      <c r="I15" s="148">
        <f>SUM(I11:I14)</f>
        <v>301</v>
      </c>
      <c r="J15" s="148">
        <f>SUM(J11:J14)</f>
        <v>301</v>
      </c>
    </row>
    <row r="16" spans="1:15" x14ac:dyDescent="0.25">
      <c r="D16" s="13"/>
    </row>
    <row r="18" spans="3:10" ht="22.8" x14ac:dyDescent="0.25">
      <c r="D18" s="9">
        <v>570</v>
      </c>
      <c r="E18" s="560" t="s">
        <v>1074</v>
      </c>
      <c r="F18" s="560"/>
      <c r="G18" s="560"/>
      <c r="H18" s="560"/>
      <c r="I18" s="560"/>
      <c r="J18" s="560"/>
    </row>
    <row r="20" spans="3:10" s="195" customFormat="1" ht="46.8" x14ac:dyDescent="0.25">
      <c r="C20" s="194" t="s">
        <v>623</v>
      </c>
      <c r="D20" s="194" t="s">
        <v>0</v>
      </c>
      <c r="E20" s="194" t="s">
        <v>1</v>
      </c>
      <c r="F20" s="165" t="s">
        <v>1250</v>
      </c>
      <c r="G20" s="165" t="s">
        <v>1061</v>
      </c>
      <c r="H20" s="165" t="s">
        <v>1059</v>
      </c>
      <c r="I20" s="165" t="s">
        <v>1060</v>
      </c>
      <c r="J20" s="165" t="s">
        <v>1058</v>
      </c>
    </row>
    <row r="21" spans="3:10" x14ac:dyDescent="0.25">
      <c r="C21" s="4">
        <v>1</v>
      </c>
      <c r="D21" s="4">
        <v>1621300570</v>
      </c>
      <c r="E21" s="4" t="s">
        <v>200</v>
      </c>
      <c r="F21" s="213">
        <v>0</v>
      </c>
      <c r="G21" s="213">
        <v>90</v>
      </c>
      <c r="H21" s="218">
        <v>0</v>
      </c>
      <c r="I21" s="218">
        <v>0</v>
      </c>
      <c r="J21" s="218">
        <v>0</v>
      </c>
    </row>
    <row r="22" spans="3:10" x14ac:dyDescent="0.25">
      <c r="C22" s="4">
        <v>2</v>
      </c>
      <c r="D22" s="4">
        <v>1623000570</v>
      </c>
      <c r="E22" s="4" t="s">
        <v>504</v>
      </c>
      <c r="F22" s="212">
        <v>946</v>
      </c>
      <c r="G22" s="212">
        <v>1248</v>
      </c>
      <c r="H22" s="250">
        <v>448</v>
      </c>
      <c r="I22" s="250">
        <v>1248</v>
      </c>
      <c r="J22" s="250">
        <v>1248</v>
      </c>
    </row>
    <row r="23" spans="3:10" x14ac:dyDescent="0.25">
      <c r="C23" s="4">
        <v>3</v>
      </c>
      <c r="D23" s="233">
        <v>1732000570</v>
      </c>
      <c r="E23" s="4" t="s">
        <v>1039</v>
      </c>
      <c r="F23" s="213">
        <v>0</v>
      </c>
      <c r="G23" s="213">
        <v>120</v>
      </c>
      <c r="H23" s="250">
        <v>58</v>
      </c>
      <c r="I23" s="250">
        <v>120</v>
      </c>
      <c r="J23" s="250">
        <v>120</v>
      </c>
    </row>
    <row r="24" spans="3:10" x14ac:dyDescent="0.25">
      <c r="C24" s="101"/>
      <c r="D24" s="548" t="s">
        <v>433</v>
      </c>
      <c r="E24" s="548"/>
      <c r="F24" s="274">
        <f t="shared" ref="F24:J24" si="2">SUM(F21:F23)</f>
        <v>946</v>
      </c>
      <c r="G24" s="274">
        <f t="shared" si="2"/>
        <v>1458</v>
      </c>
      <c r="H24" s="273">
        <f t="shared" si="2"/>
        <v>506</v>
      </c>
      <c r="I24" s="273">
        <f t="shared" si="2"/>
        <v>1368</v>
      </c>
      <c r="J24" s="273">
        <f t="shared" si="2"/>
        <v>1368</v>
      </c>
    </row>
    <row r="30" spans="3:10" s="195" customFormat="1" ht="15" x14ac:dyDescent="0.25"/>
  </sheetData>
  <sheetProtection algorithmName="SHA-512" hashValue="KPNpiTo+WQ6m5YamaD8zjOKc8lCWzrgYSa7P4Gej0fVzNGSv1O0wzbdGVidMfeGgxi4aAckaP5PC3Mb9P1wlAg==" saltValue="g0hFwbBKc1c8THkdNPQFbQ==" spinCount="100000" sheet="1" objects="1" scenarios="1"/>
  <mergeCells count="6">
    <mergeCell ref="D6:E6"/>
    <mergeCell ref="D15:E15"/>
    <mergeCell ref="D24:E24"/>
    <mergeCell ref="E2:J2"/>
    <mergeCell ref="E8:J8"/>
    <mergeCell ref="E18:J18"/>
  </mergeCells>
  <pageMargins left="0.70866141732283472" right="0.70866141732283472" top="0.43307086614173229" bottom="0.35433070866141736" header="0.31496062992125984" footer="0.31496062992125984"/>
  <pageSetup paperSize="9" scale="74" firstPageNumber="25" fitToHeight="0" orientation="portrait" useFirstPageNumber="1" r:id="rId1"/>
  <headerFooter>
    <oddFooter>עמוד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O24"/>
  <sheetViews>
    <sheetView rightToLeft="1" topLeftCell="D1" zoomScale="110" zoomScaleNormal="110" zoomScaleSheetLayoutView="69" workbookViewId="0">
      <selection activeCell="G21" sqref="G21"/>
    </sheetView>
  </sheetViews>
  <sheetFormatPr defaultRowHeight="13.8" x14ac:dyDescent="0.25"/>
  <cols>
    <col min="1" max="2" width="8.59765625" hidden="1" customWidth="1"/>
    <col min="3" max="3" width="5" customWidth="1"/>
    <col min="4" max="4" width="13.59765625" customWidth="1"/>
    <col min="5" max="5" width="22.59765625" customWidth="1"/>
    <col min="6" max="6" width="7.59765625" customWidth="1"/>
    <col min="7" max="7" width="12.59765625" customWidth="1"/>
    <col min="8" max="8" width="13.69921875" customWidth="1"/>
    <col min="9" max="9" width="13" customWidth="1"/>
    <col min="10" max="10" width="12.3984375" customWidth="1"/>
    <col min="11" max="11" width="11.09765625" bestFit="1" customWidth="1"/>
    <col min="12" max="12" width="13.09765625" bestFit="1" customWidth="1"/>
  </cols>
  <sheetData>
    <row r="2" spans="3:15" ht="22.8" x14ac:dyDescent="0.25">
      <c r="D2" s="9">
        <v>610</v>
      </c>
      <c r="E2" s="560" t="s">
        <v>460</v>
      </c>
      <c r="F2" s="560"/>
      <c r="G2" s="560"/>
      <c r="H2" s="560"/>
      <c r="I2" s="560"/>
      <c r="J2" s="560"/>
    </row>
    <row r="4" spans="3:15" s="195" customFormat="1" ht="31.2" x14ac:dyDescent="0.25">
      <c r="C4" s="194" t="s">
        <v>627</v>
      </c>
      <c r="D4" s="194" t="s">
        <v>0</v>
      </c>
      <c r="E4" s="194" t="s">
        <v>1</v>
      </c>
      <c r="F4" s="165" t="s">
        <v>1250</v>
      </c>
      <c r="G4" s="165" t="s">
        <v>1061</v>
      </c>
      <c r="H4" s="165" t="s">
        <v>1059</v>
      </c>
      <c r="I4" s="165" t="s">
        <v>1060</v>
      </c>
      <c r="J4" s="165" t="s">
        <v>1058</v>
      </c>
    </row>
    <row r="5" spans="3:15" x14ac:dyDescent="0.25">
      <c r="C5" s="4">
        <v>1</v>
      </c>
      <c r="D5" s="4">
        <v>1631000610</v>
      </c>
      <c r="E5" s="4" t="s">
        <v>418</v>
      </c>
      <c r="F5" s="29">
        <v>1313</v>
      </c>
      <c r="G5" s="29">
        <v>850</v>
      </c>
      <c r="H5" s="29">
        <v>569</v>
      </c>
      <c r="I5" s="29">
        <v>1200</v>
      </c>
      <c r="J5" s="29">
        <v>1200</v>
      </c>
      <c r="K5" s="1"/>
      <c r="L5" s="1"/>
    </row>
    <row r="6" spans="3:15" x14ac:dyDescent="0.25">
      <c r="C6" s="4">
        <v>2</v>
      </c>
      <c r="D6" s="4">
        <v>1631100610</v>
      </c>
      <c r="E6" s="4" t="s">
        <v>1114</v>
      </c>
      <c r="F6" s="29">
        <v>0</v>
      </c>
      <c r="G6" s="29">
        <v>0</v>
      </c>
      <c r="H6" s="29">
        <v>1</v>
      </c>
      <c r="I6" s="29">
        <v>1</v>
      </c>
      <c r="J6" s="29">
        <v>0</v>
      </c>
      <c r="K6" s="1"/>
      <c r="L6" s="1"/>
    </row>
    <row r="7" spans="3:15" x14ac:dyDescent="0.25">
      <c r="C7" s="4">
        <v>3</v>
      </c>
      <c r="D7" s="4">
        <v>1631300610</v>
      </c>
      <c r="E7" s="323" t="s">
        <v>1082</v>
      </c>
      <c r="F7" s="29">
        <v>569</v>
      </c>
      <c r="G7" s="29">
        <v>0</v>
      </c>
      <c r="H7" s="29">
        <v>2672</v>
      </c>
      <c r="I7" s="137">
        <v>0</v>
      </c>
      <c r="J7" s="137">
        <v>0</v>
      </c>
      <c r="K7" s="1"/>
      <c r="L7" s="1"/>
    </row>
    <row r="8" spans="3:15" x14ac:dyDescent="0.25">
      <c r="C8" s="101"/>
      <c r="D8" s="548" t="s">
        <v>433</v>
      </c>
      <c r="E8" s="548"/>
      <c r="F8" s="149">
        <f t="shared" ref="F8:J8" si="0">SUM(F5:F7)</f>
        <v>1882</v>
      </c>
      <c r="G8" s="149">
        <f t="shared" si="0"/>
        <v>850</v>
      </c>
      <c r="H8" s="149">
        <f t="shared" si="0"/>
        <v>3242</v>
      </c>
      <c r="I8" s="149">
        <f t="shared" si="0"/>
        <v>1201</v>
      </c>
      <c r="J8" s="149">
        <f t="shared" si="0"/>
        <v>1200</v>
      </c>
      <c r="K8" s="1"/>
      <c r="L8" s="1"/>
    </row>
    <row r="9" spans="3:15" x14ac:dyDescent="0.25">
      <c r="L9" s="1"/>
    </row>
    <row r="11" spans="3:15" ht="22.8" x14ac:dyDescent="0.25">
      <c r="D11" s="9" t="s">
        <v>419</v>
      </c>
      <c r="E11" s="560" t="s">
        <v>420</v>
      </c>
      <c r="F11" s="560"/>
      <c r="G11" s="560"/>
      <c r="H11" s="560"/>
      <c r="I11" s="560"/>
      <c r="J11" s="560"/>
    </row>
    <row r="13" spans="3:15" s="195" customFormat="1" ht="46.8" x14ac:dyDescent="0.25">
      <c r="C13" s="194" t="s">
        <v>627</v>
      </c>
      <c r="D13" s="194" t="s">
        <v>0</v>
      </c>
      <c r="E13" s="194" t="s">
        <v>1</v>
      </c>
      <c r="F13" s="166" t="s">
        <v>1050</v>
      </c>
      <c r="G13" s="165" t="s">
        <v>1061</v>
      </c>
      <c r="H13" s="165" t="s">
        <v>1059</v>
      </c>
      <c r="I13" s="165" t="s">
        <v>1060</v>
      </c>
      <c r="J13" s="165" t="s">
        <v>1058</v>
      </c>
    </row>
    <row r="14" spans="3:15" x14ac:dyDescent="0.25">
      <c r="C14" s="4">
        <v>1</v>
      </c>
      <c r="D14" s="4">
        <v>1648000691</v>
      </c>
      <c r="E14" s="4" t="s">
        <v>203</v>
      </c>
      <c r="F14" s="29">
        <v>5137</v>
      </c>
      <c r="G14" s="136">
        <v>6752.8266666666668</v>
      </c>
      <c r="H14" s="136">
        <v>3425</v>
      </c>
      <c r="I14" s="317">
        <v>5722</v>
      </c>
      <c r="J14" s="317">
        <v>6387</v>
      </c>
      <c r="K14" s="1"/>
      <c r="M14" s="1"/>
      <c r="O14" s="79"/>
    </row>
    <row r="15" spans="3:15" x14ac:dyDescent="0.25">
      <c r="C15" s="4">
        <v>2</v>
      </c>
      <c r="D15" s="4">
        <v>1648000692</v>
      </c>
      <c r="E15" s="4" t="s">
        <v>204</v>
      </c>
      <c r="F15" s="29">
        <v>709</v>
      </c>
      <c r="G15" s="136">
        <v>917.97333333333324</v>
      </c>
      <c r="H15" s="136">
        <v>561</v>
      </c>
      <c r="I15" s="317">
        <v>1133</v>
      </c>
      <c r="J15" s="317">
        <v>1500</v>
      </c>
      <c r="K15" s="1"/>
      <c r="O15" s="79"/>
    </row>
    <row r="16" spans="3:15" x14ac:dyDescent="0.25">
      <c r="C16" s="4">
        <v>3</v>
      </c>
      <c r="D16" s="4">
        <v>1648000693</v>
      </c>
      <c r="E16" s="4" t="s">
        <v>205</v>
      </c>
      <c r="F16" s="29">
        <v>188</v>
      </c>
      <c r="G16" s="136">
        <v>186.76</v>
      </c>
      <c r="H16" s="136">
        <v>78</v>
      </c>
      <c r="I16" s="317">
        <v>97</v>
      </c>
      <c r="J16" s="317">
        <v>68</v>
      </c>
      <c r="K16" s="1"/>
      <c r="M16" s="1"/>
      <c r="O16" s="79"/>
    </row>
    <row r="17" spans="2:15" x14ac:dyDescent="0.25">
      <c r="C17" s="4">
        <v>4</v>
      </c>
      <c r="D17" s="4">
        <v>1649100691</v>
      </c>
      <c r="E17" s="4" t="s">
        <v>203</v>
      </c>
      <c r="F17" s="29">
        <v>3757</v>
      </c>
      <c r="G17" s="136">
        <f>1230.96+2023</f>
        <v>3253.96</v>
      </c>
      <c r="H17" s="136">
        <v>3709</v>
      </c>
      <c r="I17" s="317">
        <v>5016</v>
      </c>
      <c r="J17" s="317">
        <v>5481</v>
      </c>
      <c r="M17" s="1"/>
      <c r="N17" s="1"/>
      <c r="O17" s="79"/>
    </row>
    <row r="18" spans="2:15" x14ac:dyDescent="0.25">
      <c r="C18" s="4">
        <v>5</v>
      </c>
      <c r="D18" s="4">
        <v>1649100692</v>
      </c>
      <c r="E18" s="4" t="s">
        <v>204</v>
      </c>
      <c r="F18" s="29">
        <v>572</v>
      </c>
      <c r="G18" s="136">
        <v>212.51999999999998</v>
      </c>
      <c r="H18" s="136">
        <v>561</v>
      </c>
      <c r="I18" s="317">
        <v>877</v>
      </c>
      <c r="J18" s="317">
        <v>1238</v>
      </c>
      <c r="M18" s="1"/>
      <c r="N18" s="1"/>
      <c r="O18" s="79"/>
    </row>
    <row r="19" spans="2:15" x14ac:dyDescent="0.25">
      <c r="C19" s="4">
        <v>6</v>
      </c>
      <c r="D19" s="4">
        <v>1649100693</v>
      </c>
      <c r="E19" s="4" t="s">
        <v>205</v>
      </c>
      <c r="F19" s="29">
        <v>20</v>
      </c>
      <c r="G19" s="264">
        <v>0</v>
      </c>
      <c r="H19" s="136">
        <v>25</v>
      </c>
      <c r="I19" s="317">
        <v>33</v>
      </c>
      <c r="J19" s="317">
        <v>58</v>
      </c>
      <c r="L19" s="1"/>
      <c r="O19" s="79"/>
    </row>
    <row r="20" spans="2:15" x14ac:dyDescent="0.25">
      <c r="C20" s="4">
        <v>7</v>
      </c>
      <c r="D20" s="4">
        <v>1649200691</v>
      </c>
      <c r="E20" s="4" t="s">
        <v>206</v>
      </c>
      <c r="F20" s="29">
        <v>0</v>
      </c>
      <c r="G20" s="264">
        <v>0</v>
      </c>
      <c r="H20" s="264">
        <v>0</v>
      </c>
      <c r="I20" s="318">
        <v>0</v>
      </c>
      <c r="J20" s="318">
        <v>0</v>
      </c>
      <c r="L20" s="1"/>
    </row>
    <row r="21" spans="2:15" x14ac:dyDescent="0.25">
      <c r="C21" s="101"/>
      <c r="D21" s="548" t="s">
        <v>433</v>
      </c>
      <c r="E21" s="548"/>
      <c r="F21" s="143">
        <f t="shared" ref="F21:J21" si="1">SUM(F14:F20)</f>
        <v>10383</v>
      </c>
      <c r="G21" s="143">
        <f t="shared" si="1"/>
        <v>11324.04</v>
      </c>
      <c r="H21" s="143">
        <f t="shared" si="1"/>
        <v>8359</v>
      </c>
      <c r="I21" s="143">
        <f t="shared" si="1"/>
        <v>12878</v>
      </c>
      <c r="J21" s="143">
        <f t="shared" si="1"/>
        <v>14732</v>
      </c>
      <c r="L21" s="1"/>
    </row>
    <row r="23" spans="2:15" x14ac:dyDescent="0.25">
      <c r="B23" t="s">
        <v>445</v>
      </c>
      <c r="D23" t="s">
        <v>1249</v>
      </c>
    </row>
    <row r="24" spans="2:15" ht="21" x14ac:dyDescent="0.4">
      <c r="D24" s="46"/>
      <c r="E24" s="46"/>
    </row>
  </sheetData>
  <sheetProtection algorithmName="SHA-512" hashValue="1kEB3YteDTDdtKj01jhmcxv8px9K477Y9pa3wnHqtKHRUTItCq7OcRqdLQ3QoDv0cidGzB+ll+o01Y2pt6NgqA==" saltValue="jzLNDUXC04tEYN+hUI3LTQ==" spinCount="100000" sheet="1" objects="1" scenarios="1"/>
  <mergeCells count="4">
    <mergeCell ref="D8:E8"/>
    <mergeCell ref="D21:E21"/>
    <mergeCell ref="E2:J2"/>
    <mergeCell ref="E11:J11"/>
  </mergeCells>
  <pageMargins left="0.70866141732283472" right="0.70866141732283472" top="0.74803149606299213" bottom="0.47244094488188981" header="0.31496062992125984" footer="0.31496062992125984"/>
  <pageSetup paperSize="9" scale="86" firstPageNumber="26" orientation="portrait" useFirstPageNumber="1" r:id="rId1"/>
  <headerFooter>
    <oddFooter>עמוד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K62"/>
  <sheetViews>
    <sheetView rightToLeft="1" topLeftCell="A24" zoomScale="110" zoomScaleNormal="110" zoomScaleSheetLayoutView="76" workbookViewId="0">
      <selection activeCell="H37" sqref="H37"/>
    </sheetView>
  </sheetViews>
  <sheetFormatPr defaultRowHeight="13.8" x14ac:dyDescent="0.25"/>
  <cols>
    <col min="1" max="1" width="4.5" customWidth="1"/>
    <col min="2" max="2" width="11.3984375" bestFit="1" customWidth="1"/>
    <col min="3" max="3" width="35" style="27" customWidth="1"/>
    <col min="4" max="4" width="9.09765625" customWidth="1"/>
    <col min="5" max="5" width="15.59765625" customWidth="1"/>
    <col min="6" max="6" width="13.69921875" customWidth="1"/>
    <col min="7" max="7" width="18.19921875" customWidth="1"/>
    <col min="8" max="8" width="14.296875" customWidth="1"/>
    <col min="9" max="10" width="9.59765625" bestFit="1" customWidth="1"/>
  </cols>
  <sheetData>
    <row r="2" spans="1:11" ht="21" customHeight="1" x14ac:dyDescent="0.25">
      <c r="B2" s="9">
        <v>750</v>
      </c>
      <c r="C2" s="560" t="s">
        <v>461</v>
      </c>
      <c r="D2" s="560"/>
      <c r="E2" s="560"/>
      <c r="F2" s="560"/>
      <c r="G2" s="560"/>
      <c r="H2" s="560"/>
    </row>
    <row r="3" spans="1:11" x14ac:dyDescent="0.25">
      <c r="B3" s="18"/>
      <c r="C3" s="31"/>
    </row>
    <row r="4" spans="1:11" s="195" customFormat="1" ht="31.2" x14ac:dyDescent="0.25">
      <c r="A4" s="194" t="s">
        <v>627</v>
      </c>
      <c r="B4" s="199" t="s">
        <v>0</v>
      </c>
      <c r="C4" s="165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1" s="421" customFormat="1" ht="21" customHeight="1" x14ac:dyDescent="0.25">
      <c r="A5" s="450">
        <v>1</v>
      </c>
      <c r="B5" s="451">
        <v>1613000750</v>
      </c>
      <c r="C5" s="452" t="s">
        <v>462</v>
      </c>
      <c r="D5" s="454">
        <v>87</v>
      </c>
      <c r="E5" s="454">
        <v>50</v>
      </c>
      <c r="F5" s="450">
        <v>61</v>
      </c>
      <c r="G5" s="450">
        <v>87</v>
      </c>
      <c r="H5" s="450">
        <v>87</v>
      </c>
      <c r="J5" s="455"/>
      <c r="K5" s="456" t="s">
        <v>2</v>
      </c>
    </row>
    <row r="6" spans="1:11" s="421" customFormat="1" ht="27.6" x14ac:dyDescent="0.25">
      <c r="A6" s="450">
        <v>2</v>
      </c>
      <c r="B6" s="451">
        <v>1621000750</v>
      </c>
      <c r="C6" s="452" t="s">
        <v>463</v>
      </c>
      <c r="D6" s="454">
        <v>191</v>
      </c>
      <c r="E6" s="454">
        <v>160</v>
      </c>
      <c r="F6" s="450">
        <f>98+4</f>
        <v>102</v>
      </c>
      <c r="G6" s="450">
        <f>35+(1.5*12)+80+(12*6)</f>
        <v>205</v>
      </c>
      <c r="H6" s="450">
        <f>30+(12*1.5)+(12*11)</f>
        <v>180</v>
      </c>
      <c r="I6" s="455"/>
      <c r="J6" s="455"/>
      <c r="K6" s="456" t="s">
        <v>2</v>
      </c>
    </row>
    <row r="7" spans="1:11" s="421" customFormat="1" ht="27.6" x14ac:dyDescent="0.25">
      <c r="A7" s="450">
        <v>3</v>
      </c>
      <c r="B7" s="451">
        <v>1623000750</v>
      </c>
      <c r="C7" s="452" t="s">
        <v>464</v>
      </c>
      <c r="D7" s="454">
        <v>1317</v>
      </c>
      <c r="E7" s="454">
        <v>500</v>
      </c>
      <c r="F7" s="450">
        <v>744</v>
      </c>
      <c r="G7" s="450">
        <v>1100</v>
      </c>
      <c r="H7" s="450">
        <v>500</v>
      </c>
      <c r="J7" s="455"/>
      <c r="K7" s="456" t="s">
        <v>2</v>
      </c>
    </row>
    <row r="8" spans="1:11" s="421" customFormat="1" x14ac:dyDescent="0.25">
      <c r="A8" s="450">
        <v>4</v>
      </c>
      <c r="B8" s="451">
        <v>1623100750</v>
      </c>
      <c r="C8" s="452" t="s">
        <v>465</v>
      </c>
      <c r="D8" s="454">
        <v>31</v>
      </c>
      <c r="E8" s="454">
        <v>70</v>
      </c>
      <c r="F8" s="450">
        <v>22</v>
      </c>
      <c r="G8" s="450">
        <v>44</v>
      </c>
      <c r="H8" s="450">
        <v>50</v>
      </c>
      <c r="J8" s="455"/>
      <c r="K8" s="456"/>
    </row>
    <row r="9" spans="1:11" s="421" customFormat="1" x14ac:dyDescent="0.25">
      <c r="A9" s="450">
        <v>5</v>
      </c>
      <c r="B9" s="451">
        <v>1623200750</v>
      </c>
      <c r="C9" s="452" t="s">
        <v>542</v>
      </c>
      <c r="D9" s="454">
        <v>18</v>
      </c>
      <c r="E9" s="454">
        <v>18</v>
      </c>
      <c r="F9" s="450">
        <v>12</v>
      </c>
      <c r="G9" s="450">
        <v>17</v>
      </c>
      <c r="H9" s="450">
        <v>17</v>
      </c>
      <c r="K9" s="456"/>
    </row>
    <row r="10" spans="1:11" s="421" customFormat="1" x14ac:dyDescent="0.25">
      <c r="A10" s="450">
        <v>6</v>
      </c>
      <c r="B10" s="451">
        <v>1623300750</v>
      </c>
      <c r="C10" s="452" t="s">
        <v>543</v>
      </c>
      <c r="D10" s="454">
        <v>3</v>
      </c>
      <c r="E10" s="454">
        <v>10</v>
      </c>
      <c r="F10" s="450">
        <v>5</v>
      </c>
      <c r="G10" s="450">
        <v>10</v>
      </c>
      <c r="H10" s="450">
        <v>10</v>
      </c>
      <c r="I10" s="455"/>
      <c r="K10" s="456"/>
    </row>
    <row r="11" spans="1:11" s="463" customFormat="1" ht="27.6" x14ac:dyDescent="0.25">
      <c r="A11" s="450">
        <v>7</v>
      </c>
      <c r="B11" s="458">
        <v>1712200750</v>
      </c>
      <c r="C11" s="447" t="s">
        <v>1238</v>
      </c>
      <c r="D11" s="459">
        <v>11721</v>
      </c>
      <c r="E11" s="459">
        <v>11234</v>
      </c>
      <c r="F11" s="460">
        <f>5504+560</f>
        <v>6064</v>
      </c>
      <c r="G11" s="461">
        <f>F11*2-1188</f>
        <v>10940</v>
      </c>
      <c r="H11" s="461">
        <v>10940</v>
      </c>
      <c r="I11" s="462"/>
      <c r="K11" s="464"/>
    </row>
    <row r="12" spans="1:11" s="421" customFormat="1" x14ac:dyDescent="0.25">
      <c r="A12" s="450">
        <v>8</v>
      </c>
      <c r="B12" s="451">
        <v>1712220750</v>
      </c>
      <c r="C12" s="452" t="s">
        <v>929</v>
      </c>
      <c r="D12" s="465">
        <v>82</v>
      </c>
      <c r="E12" s="465">
        <v>432</v>
      </c>
      <c r="F12" s="450">
        <v>328</v>
      </c>
      <c r="G12" s="450">
        <f>328+45*6-100</f>
        <v>498</v>
      </c>
      <c r="H12" s="450">
        <f>G12+15*12-100</f>
        <v>578</v>
      </c>
      <c r="I12" s="455"/>
      <c r="K12" s="456"/>
    </row>
    <row r="13" spans="1:11" s="421" customFormat="1" x14ac:dyDescent="0.25">
      <c r="A13" s="450">
        <v>9</v>
      </c>
      <c r="B13" s="451">
        <v>1712320750</v>
      </c>
      <c r="C13" s="452" t="s">
        <v>537</v>
      </c>
      <c r="D13" s="454">
        <v>0</v>
      </c>
      <c r="E13" s="454">
        <v>200</v>
      </c>
      <c r="F13" s="450">
        <v>0</v>
      </c>
      <c r="G13" s="450">
        <v>0</v>
      </c>
      <c r="H13" s="450">
        <v>0</v>
      </c>
      <c r="I13" s="455"/>
      <c r="K13" s="456"/>
    </row>
    <row r="14" spans="1:11" s="421" customFormat="1" x14ac:dyDescent="0.25">
      <c r="A14" s="450">
        <v>10</v>
      </c>
      <c r="B14" s="451">
        <v>1714200750</v>
      </c>
      <c r="C14" s="452" t="s">
        <v>1173</v>
      </c>
      <c r="D14" s="466">
        <v>225</v>
      </c>
      <c r="E14" s="465">
        <v>254</v>
      </c>
      <c r="F14" s="466">
        <v>132</v>
      </c>
      <c r="G14" s="467">
        <v>267</v>
      </c>
      <c r="H14" s="450">
        <v>267</v>
      </c>
      <c r="I14" s="455"/>
      <c r="K14" s="456"/>
    </row>
    <row r="15" spans="1:11" s="421" customFormat="1" x14ac:dyDescent="0.25">
      <c r="A15" s="450">
        <v>11</v>
      </c>
      <c r="B15" s="451">
        <v>1715300750</v>
      </c>
      <c r="C15" s="452" t="s">
        <v>1028</v>
      </c>
      <c r="D15" s="454">
        <v>0</v>
      </c>
      <c r="E15" s="454">
        <v>60</v>
      </c>
      <c r="F15" s="450">
        <v>31</v>
      </c>
      <c r="G15" s="450">
        <v>60</v>
      </c>
      <c r="H15" s="450">
        <v>60</v>
      </c>
      <c r="I15" s="455"/>
      <c r="K15" s="456"/>
    </row>
    <row r="16" spans="1:11" s="421" customFormat="1" x14ac:dyDescent="0.25">
      <c r="A16" s="450">
        <v>12</v>
      </c>
      <c r="B16" s="451">
        <v>1726200750</v>
      </c>
      <c r="C16" s="452" t="s">
        <v>236</v>
      </c>
      <c r="D16" s="454">
        <v>0</v>
      </c>
      <c r="E16" s="454">
        <v>12</v>
      </c>
      <c r="F16" s="450">
        <v>0</v>
      </c>
      <c r="G16" s="450">
        <v>12</v>
      </c>
      <c r="H16" s="450">
        <v>12</v>
      </c>
      <c r="I16" s="455"/>
      <c r="K16" s="456"/>
    </row>
    <row r="17" spans="1:11" s="421" customFormat="1" x14ac:dyDescent="0.25">
      <c r="A17" s="450">
        <v>13</v>
      </c>
      <c r="B17" s="451">
        <v>1744100750</v>
      </c>
      <c r="C17" s="452" t="s">
        <v>249</v>
      </c>
      <c r="D17" s="454">
        <v>0</v>
      </c>
      <c r="E17" s="454">
        <v>100</v>
      </c>
      <c r="F17" s="450">
        <v>0</v>
      </c>
      <c r="G17" s="450">
        <v>100</v>
      </c>
      <c r="H17" s="450">
        <v>100</v>
      </c>
      <c r="I17" s="455"/>
      <c r="K17" s="456"/>
    </row>
    <row r="18" spans="1:11" s="421" customFormat="1" x14ac:dyDescent="0.25">
      <c r="A18" s="450">
        <v>14</v>
      </c>
      <c r="B18" s="451">
        <v>1746000750</v>
      </c>
      <c r="C18" s="452" t="s">
        <v>1150</v>
      </c>
      <c r="D18" s="454">
        <v>4467</v>
      </c>
      <c r="E18" s="454">
        <v>5500</v>
      </c>
      <c r="F18" s="468">
        <f>2438+913+16</f>
        <v>3367</v>
      </c>
      <c r="G18" s="468">
        <v>5500</v>
      </c>
      <c r="H18" s="468">
        <v>5500</v>
      </c>
      <c r="I18" s="455"/>
      <c r="J18" s="455"/>
      <c r="K18" s="456"/>
    </row>
    <row r="19" spans="1:11" s="421" customFormat="1" x14ac:dyDescent="0.25">
      <c r="A19" s="450">
        <v>15</v>
      </c>
      <c r="B19" s="451">
        <v>1811000750</v>
      </c>
      <c r="C19" s="452" t="s">
        <v>220</v>
      </c>
      <c r="D19" s="454">
        <v>2420</v>
      </c>
      <c r="E19" s="454">
        <v>1700</v>
      </c>
      <c r="F19" s="468">
        <v>1450</v>
      </c>
      <c r="G19" s="468">
        <v>2450</v>
      </c>
      <c r="H19" s="468">
        <v>2450</v>
      </c>
      <c r="J19" s="455"/>
      <c r="K19" s="456"/>
    </row>
    <row r="20" spans="1:11" s="421" customFormat="1" ht="14.4" customHeight="1" x14ac:dyDescent="0.25">
      <c r="A20" s="450">
        <v>16</v>
      </c>
      <c r="B20" s="451">
        <v>1812400750</v>
      </c>
      <c r="C20" s="452" t="s">
        <v>926</v>
      </c>
      <c r="D20" s="454">
        <v>341</v>
      </c>
      <c r="E20" s="454">
        <v>350</v>
      </c>
      <c r="F20" s="468">
        <v>289</v>
      </c>
      <c r="G20" s="468">
        <v>580</v>
      </c>
      <c r="H20" s="468">
        <v>580</v>
      </c>
      <c r="I20" s="455"/>
      <c r="K20" s="456"/>
    </row>
    <row r="21" spans="1:11" s="421" customFormat="1" x14ac:dyDescent="0.25">
      <c r="A21" s="450">
        <v>17</v>
      </c>
      <c r="B21" s="451">
        <v>1812440750</v>
      </c>
      <c r="C21" s="452" t="s">
        <v>1195</v>
      </c>
      <c r="D21" s="465">
        <v>673</v>
      </c>
      <c r="E21" s="465">
        <v>800</v>
      </c>
      <c r="F21" s="468">
        <f>273+273</f>
        <v>546</v>
      </c>
      <c r="G21" s="468">
        <v>900</v>
      </c>
      <c r="H21" s="468">
        <v>900</v>
      </c>
      <c r="I21" s="455"/>
      <c r="J21" s="455"/>
      <c r="K21" s="456"/>
    </row>
    <row r="22" spans="1:11" s="421" customFormat="1" x14ac:dyDescent="0.25">
      <c r="A22" s="450">
        <v>18</v>
      </c>
      <c r="B22" s="451">
        <v>1812441750</v>
      </c>
      <c r="C22" s="452" t="s">
        <v>930</v>
      </c>
      <c r="D22" s="465">
        <v>261</v>
      </c>
      <c r="E22" s="465">
        <v>600</v>
      </c>
      <c r="F22" s="468">
        <v>627</v>
      </c>
      <c r="G22" s="468">
        <v>1000</v>
      </c>
      <c r="H22" s="468">
        <v>1000</v>
      </c>
      <c r="I22" s="455"/>
      <c r="J22" s="455"/>
      <c r="K22" s="456"/>
    </row>
    <row r="23" spans="1:11" s="421" customFormat="1" x14ac:dyDescent="0.25">
      <c r="A23" s="450">
        <v>19</v>
      </c>
      <c r="B23" s="451">
        <v>1817900750</v>
      </c>
      <c r="C23" s="452" t="s">
        <v>466</v>
      </c>
      <c r="D23" s="454">
        <v>3084</v>
      </c>
      <c r="E23" s="454">
        <v>2700</v>
      </c>
      <c r="F23" s="468">
        <v>1879</v>
      </c>
      <c r="G23" s="469">
        <v>3000</v>
      </c>
      <c r="H23" s="469">
        <v>3000</v>
      </c>
      <c r="I23" s="455"/>
      <c r="J23" s="455"/>
      <c r="K23" s="456"/>
    </row>
    <row r="24" spans="1:11" s="421" customFormat="1" ht="15" customHeight="1" x14ac:dyDescent="0.25">
      <c r="A24" s="450">
        <v>20</v>
      </c>
      <c r="B24" s="421">
        <v>1826400750</v>
      </c>
      <c r="C24" s="470" t="s">
        <v>467</v>
      </c>
      <c r="D24" s="454">
        <v>3168</v>
      </c>
      <c r="E24" s="454">
        <v>3550</v>
      </c>
      <c r="F24" s="468">
        <v>222</v>
      </c>
      <c r="G24" s="469">
        <f>3372-443-1543</f>
        <v>1386</v>
      </c>
      <c r="H24" s="469">
        <v>1500</v>
      </c>
      <c r="J24" s="455"/>
      <c r="K24" s="456"/>
    </row>
    <row r="25" spans="1:11" x14ac:dyDescent="0.25">
      <c r="A25" s="105"/>
      <c r="B25" s="561" t="s">
        <v>433</v>
      </c>
      <c r="C25" s="562"/>
      <c r="D25" s="251">
        <f t="shared" ref="D25:H25" si="0">SUM(D5:D24)</f>
        <v>28089</v>
      </c>
      <c r="E25" s="251">
        <f t="shared" si="0"/>
        <v>28300</v>
      </c>
      <c r="F25" s="251">
        <f t="shared" si="0"/>
        <v>15881</v>
      </c>
      <c r="G25" s="251">
        <f t="shared" si="0"/>
        <v>28156</v>
      </c>
      <c r="H25" s="251">
        <f t="shared" si="0"/>
        <v>27731</v>
      </c>
    </row>
    <row r="27" spans="1:11" ht="17.399999999999999" x14ac:dyDescent="0.3">
      <c r="B27" s="35">
        <v>760</v>
      </c>
      <c r="C27"/>
      <c r="D27" s="27"/>
    </row>
    <row r="29" spans="1:11" ht="31.2" x14ac:dyDescent="0.25">
      <c r="A29" s="100" t="s">
        <v>627</v>
      </c>
      <c r="B29" s="103" t="s">
        <v>0</v>
      </c>
      <c r="C29" s="105" t="s">
        <v>1</v>
      </c>
      <c r="D29" s="165" t="s">
        <v>1250</v>
      </c>
      <c r="E29" s="165" t="s">
        <v>1061</v>
      </c>
      <c r="F29" s="165" t="s">
        <v>1059</v>
      </c>
      <c r="G29" s="165" t="s">
        <v>1060</v>
      </c>
      <c r="H29" s="165" t="s">
        <v>1058</v>
      </c>
    </row>
    <row r="30" spans="1:11" x14ac:dyDescent="0.25">
      <c r="A30" s="4">
        <v>1</v>
      </c>
      <c r="B30" s="281">
        <v>1813300760</v>
      </c>
      <c r="C30" s="132" t="s">
        <v>927</v>
      </c>
      <c r="D30" s="90">
        <v>1084</v>
      </c>
      <c r="E30" s="136">
        <v>500</v>
      </c>
      <c r="F30" s="136">
        <v>499</v>
      </c>
      <c r="G30" s="137">
        <v>850</v>
      </c>
      <c r="H30" s="317">
        <v>600</v>
      </c>
    </row>
    <row r="31" spans="1:11" x14ac:dyDescent="0.25">
      <c r="A31" s="105"/>
      <c r="B31" s="570" t="s">
        <v>433</v>
      </c>
      <c r="C31" s="571"/>
      <c r="D31" s="251">
        <f t="shared" ref="D31:H31" si="1">SUM(D30)</f>
        <v>1084</v>
      </c>
      <c r="E31" s="251">
        <f t="shared" si="1"/>
        <v>500</v>
      </c>
      <c r="F31" s="251">
        <f t="shared" si="1"/>
        <v>499</v>
      </c>
      <c r="G31" s="251">
        <f t="shared" si="1"/>
        <v>850</v>
      </c>
      <c r="H31" s="306">
        <f t="shared" si="1"/>
        <v>600</v>
      </c>
    </row>
    <row r="33" spans="1:10" ht="22.8" x14ac:dyDescent="0.3">
      <c r="B33" s="21">
        <v>781</v>
      </c>
      <c r="C33" s="560" t="s">
        <v>932</v>
      </c>
      <c r="D33" s="560"/>
      <c r="E33" s="560"/>
      <c r="F33" s="560"/>
      <c r="G33" s="560"/>
      <c r="H33" s="560"/>
    </row>
    <row r="35" spans="1:10" s="195" customFormat="1" ht="31.2" x14ac:dyDescent="0.25">
      <c r="A35" s="194" t="s">
        <v>627</v>
      </c>
      <c r="B35" s="194" t="s">
        <v>0</v>
      </c>
      <c r="C35" s="165" t="s">
        <v>1</v>
      </c>
      <c r="D35" s="165" t="s">
        <v>1250</v>
      </c>
      <c r="E35" s="165" t="s">
        <v>1061</v>
      </c>
      <c r="F35" s="165" t="s">
        <v>1059</v>
      </c>
      <c r="G35" s="165" t="s">
        <v>1060</v>
      </c>
      <c r="H35" s="165" t="s">
        <v>1058</v>
      </c>
    </row>
    <row r="36" spans="1:10" x14ac:dyDescent="0.25">
      <c r="A36" s="10">
        <v>1</v>
      </c>
      <c r="B36" s="10">
        <v>1772000781</v>
      </c>
      <c r="C36" s="28" t="s">
        <v>267</v>
      </c>
      <c r="D36" s="155">
        <v>4</v>
      </c>
      <c r="E36" s="4">
        <v>150</v>
      </c>
      <c r="F36" s="4">
        <v>78</v>
      </c>
      <c r="G36" s="471">
        <v>88.5</v>
      </c>
      <c r="H36" s="163">
        <f>88+221</f>
        <v>309</v>
      </c>
      <c r="I36" s="1"/>
      <c r="J36" s="1"/>
    </row>
    <row r="37" spans="1:10" x14ac:dyDescent="0.25">
      <c r="A37" s="10">
        <v>2</v>
      </c>
      <c r="B37" s="10">
        <v>1772100781</v>
      </c>
      <c r="C37" s="28" t="s">
        <v>270</v>
      </c>
      <c r="D37" s="85">
        <v>0</v>
      </c>
      <c r="E37" s="4">
        <v>0</v>
      </c>
      <c r="F37" s="4">
        <v>0</v>
      </c>
      <c r="G37" s="85">
        <v>120</v>
      </c>
      <c r="H37" s="4">
        <v>120</v>
      </c>
      <c r="I37" s="1"/>
      <c r="J37" s="1"/>
    </row>
    <row r="38" spans="1:10" x14ac:dyDescent="0.25">
      <c r="A38" s="10">
        <v>3</v>
      </c>
      <c r="B38" s="10">
        <v>1772200781</v>
      </c>
      <c r="C38" s="28" t="s">
        <v>271</v>
      </c>
      <c r="D38" s="85">
        <v>200</v>
      </c>
      <c r="E38" s="4">
        <v>300</v>
      </c>
      <c r="F38" s="4">
        <v>0</v>
      </c>
      <c r="G38" s="85">
        <v>2</v>
      </c>
      <c r="H38" s="4">
        <v>200</v>
      </c>
      <c r="I38" s="1"/>
      <c r="J38" s="1"/>
    </row>
    <row r="39" spans="1:10" x14ac:dyDescent="0.25">
      <c r="A39" s="10">
        <v>4</v>
      </c>
      <c r="B39" s="10">
        <v>1772110781</v>
      </c>
      <c r="C39" s="28" t="s">
        <v>935</v>
      </c>
      <c r="D39" s="85">
        <v>6</v>
      </c>
      <c r="E39" s="4">
        <v>6</v>
      </c>
      <c r="F39" s="4">
        <v>11</v>
      </c>
      <c r="G39" s="85">
        <f>'קליקה 9'!G9</f>
        <v>15</v>
      </c>
      <c r="H39" s="4">
        <f>'קליקה 9'!H9</f>
        <v>15</v>
      </c>
      <c r="I39" s="1"/>
      <c r="J39" s="1"/>
    </row>
    <row r="40" spans="1:10" x14ac:dyDescent="0.25">
      <c r="A40" s="10">
        <v>5</v>
      </c>
      <c r="B40" s="10">
        <v>1772300781</v>
      </c>
      <c r="C40" s="28" t="s">
        <v>1047</v>
      </c>
      <c r="D40" s="85">
        <v>5</v>
      </c>
      <c r="E40" s="4">
        <v>7</v>
      </c>
      <c r="F40" s="4">
        <v>1</v>
      </c>
      <c r="G40" s="85">
        <f>'קליקה 9'!G10</f>
        <v>7</v>
      </c>
      <c r="H40" s="4">
        <f>'קליקה 9'!H10</f>
        <v>7</v>
      </c>
      <c r="I40" s="1"/>
      <c r="J40" s="1"/>
    </row>
    <row r="41" spans="1:10" x14ac:dyDescent="0.25">
      <c r="A41" s="10">
        <v>6</v>
      </c>
      <c r="B41" s="10">
        <v>1772500781</v>
      </c>
      <c r="C41" s="28" t="s">
        <v>937</v>
      </c>
      <c r="D41" s="85">
        <v>2</v>
      </c>
      <c r="E41" s="4">
        <v>0</v>
      </c>
      <c r="F41" s="4">
        <v>0</v>
      </c>
      <c r="G41" s="137">
        <v>0</v>
      </c>
      <c r="H41" s="233">
        <v>0</v>
      </c>
      <c r="I41" s="1"/>
      <c r="J41" s="1"/>
    </row>
    <row r="42" spans="1:10" x14ac:dyDescent="0.25">
      <c r="A42" s="10">
        <v>7</v>
      </c>
      <c r="B42" s="40">
        <v>1772600781</v>
      </c>
      <c r="C42" s="28" t="s">
        <v>1086</v>
      </c>
      <c r="D42" s="85">
        <v>4</v>
      </c>
      <c r="E42" s="4">
        <v>0</v>
      </c>
      <c r="F42" s="4">
        <v>5</v>
      </c>
      <c r="G42" s="137">
        <v>0</v>
      </c>
      <c r="H42" s="233">
        <v>0</v>
      </c>
      <c r="I42" s="1"/>
      <c r="J42" s="1"/>
    </row>
    <row r="43" spans="1:10" x14ac:dyDescent="0.25">
      <c r="A43" s="101"/>
      <c r="B43" s="548" t="s">
        <v>468</v>
      </c>
      <c r="C43" s="548"/>
      <c r="D43" s="143">
        <f t="shared" ref="D43:H43" si="2">SUM(D36:D42)</f>
        <v>221</v>
      </c>
      <c r="E43" s="143">
        <f t="shared" si="2"/>
        <v>463</v>
      </c>
      <c r="F43" s="143">
        <f t="shared" si="2"/>
        <v>95</v>
      </c>
      <c r="G43" s="143">
        <f t="shared" si="2"/>
        <v>232.5</v>
      </c>
      <c r="H43" s="143">
        <f t="shared" si="2"/>
        <v>651</v>
      </c>
    </row>
    <row r="45" spans="1:10" ht="23.4" customHeight="1" x14ac:dyDescent="0.25">
      <c r="B45" s="9">
        <v>800</v>
      </c>
      <c r="C45" s="560" t="s">
        <v>469</v>
      </c>
      <c r="D45" s="560"/>
      <c r="E45" s="560"/>
      <c r="F45" s="560"/>
      <c r="G45" s="560"/>
      <c r="H45" s="560"/>
    </row>
    <row r="47" spans="1:10" ht="31.2" x14ac:dyDescent="0.25">
      <c r="A47" s="100" t="s">
        <v>627</v>
      </c>
      <c r="B47" s="100" t="s">
        <v>0</v>
      </c>
      <c r="C47" s="105" t="s">
        <v>1</v>
      </c>
      <c r="D47" s="165" t="s">
        <v>1250</v>
      </c>
      <c r="E47" s="165" t="s">
        <v>1061</v>
      </c>
      <c r="F47" s="165" t="s">
        <v>1059</v>
      </c>
      <c r="G47" s="165" t="s">
        <v>1060</v>
      </c>
      <c r="H47" s="165" t="s">
        <v>1058</v>
      </c>
    </row>
    <row r="48" spans="1:10" x14ac:dyDescent="0.25">
      <c r="A48" s="4">
        <v>1</v>
      </c>
      <c r="B48" s="4">
        <v>1611000800</v>
      </c>
      <c r="C48" s="22" t="s">
        <v>470</v>
      </c>
      <c r="D48" s="29">
        <v>14</v>
      </c>
      <c r="E48" s="29">
        <v>45</v>
      </c>
      <c r="F48" s="29">
        <v>10</v>
      </c>
      <c r="G48" s="29">
        <v>35</v>
      </c>
      <c r="H48" s="29">
        <v>35</v>
      </c>
      <c r="I48" s="1"/>
      <c r="J48" s="1"/>
    </row>
    <row r="49" spans="1:11" x14ac:dyDescent="0.25">
      <c r="A49" s="101"/>
      <c r="B49" s="548" t="s">
        <v>433</v>
      </c>
      <c r="C49" s="548"/>
      <c r="D49" s="148">
        <f t="shared" ref="D49:F49" si="3">SUM(D48)</f>
        <v>14</v>
      </c>
      <c r="E49" s="148">
        <f t="shared" si="3"/>
        <v>45</v>
      </c>
      <c r="F49" s="148">
        <f t="shared" si="3"/>
        <v>10</v>
      </c>
      <c r="G49" s="148">
        <f>SUM(G48)</f>
        <v>35</v>
      </c>
      <c r="H49" s="148">
        <f>SUM(H48)</f>
        <v>35</v>
      </c>
    </row>
    <row r="51" spans="1:11" ht="22.8" x14ac:dyDescent="0.25">
      <c r="B51" s="206">
        <v>710</v>
      </c>
      <c r="C51" s="569" t="s">
        <v>302</v>
      </c>
      <c r="D51" s="569"/>
      <c r="E51" s="569"/>
      <c r="F51" s="569"/>
      <c r="G51" s="569"/>
      <c r="H51" s="569"/>
    </row>
    <row r="52" spans="1:11" x14ac:dyDescent="0.25">
      <c r="B52" s="14"/>
      <c r="C52" s="98"/>
      <c r="D52" s="1"/>
      <c r="E52" s="1"/>
    </row>
    <row r="53" spans="1:11" ht="31.2" x14ac:dyDescent="0.25">
      <c r="A53" s="100" t="s">
        <v>623</v>
      </c>
      <c r="B53" s="100" t="s">
        <v>0</v>
      </c>
      <c r="C53" s="104" t="s">
        <v>1</v>
      </c>
      <c r="D53" s="165" t="s">
        <v>1250</v>
      </c>
      <c r="E53" s="165" t="s">
        <v>1061</v>
      </c>
      <c r="F53" s="165" t="s">
        <v>1059</v>
      </c>
      <c r="G53" s="165" t="s">
        <v>1060</v>
      </c>
      <c r="H53" s="165" t="s">
        <v>1058</v>
      </c>
    </row>
    <row r="54" spans="1:11" x14ac:dyDescent="0.25">
      <c r="A54" s="4">
        <v>1</v>
      </c>
      <c r="B54" s="233">
        <v>1817800710</v>
      </c>
      <c r="C54" s="4" t="s">
        <v>302</v>
      </c>
      <c r="D54" s="96">
        <v>6616</v>
      </c>
      <c r="E54" s="96">
        <f>5880+400</f>
        <v>6280</v>
      </c>
      <c r="F54" s="96">
        <v>3350</v>
      </c>
      <c r="G54" s="96">
        <v>6800</v>
      </c>
      <c r="H54" s="96">
        <v>7100</v>
      </c>
    </row>
    <row r="55" spans="1:11" x14ac:dyDescent="0.25">
      <c r="A55" s="4">
        <v>2</v>
      </c>
      <c r="B55" s="233">
        <v>1817810710</v>
      </c>
      <c r="C55" s="4" t="s">
        <v>949</v>
      </c>
      <c r="D55" s="86">
        <v>0</v>
      </c>
      <c r="E55" s="96">
        <v>220</v>
      </c>
      <c r="F55" s="96">
        <v>126</v>
      </c>
      <c r="G55" s="96">
        <v>220</v>
      </c>
      <c r="H55" s="96">
        <v>200</v>
      </c>
    </row>
    <row r="56" spans="1:11" x14ac:dyDescent="0.25">
      <c r="A56" s="101"/>
      <c r="B56" s="548" t="s">
        <v>433</v>
      </c>
      <c r="C56" s="548"/>
      <c r="D56" s="149">
        <f t="shared" ref="D56:H56" si="4">SUM(D54:D55)</f>
        <v>6616</v>
      </c>
      <c r="E56" s="149">
        <f t="shared" si="4"/>
        <v>6500</v>
      </c>
      <c r="F56" s="149">
        <f t="shared" si="4"/>
        <v>3476</v>
      </c>
      <c r="G56" s="149">
        <f t="shared" si="4"/>
        <v>7020</v>
      </c>
      <c r="H56" s="149">
        <f t="shared" si="4"/>
        <v>7300</v>
      </c>
    </row>
    <row r="58" spans="1:11" ht="22.8" x14ac:dyDescent="0.4">
      <c r="B58" s="349">
        <v>830</v>
      </c>
      <c r="C58" s="572" t="s">
        <v>1220</v>
      </c>
      <c r="D58" s="572"/>
      <c r="E58" s="572"/>
      <c r="F58" s="572"/>
      <c r="G58" s="572"/>
      <c r="H58" s="572"/>
      <c r="I58" s="348"/>
      <c r="J58" s="348"/>
      <c r="K58" s="348"/>
    </row>
    <row r="59" spans="1:11" ht="22.8" x14ac:dyDescent="0.25">
      <c r="C59" s="509"/>
      <c r="D59" s="509"/>
      <c r="E59" s="509"/>
      <c r="F59" s="509"/>
      <c r="G59" s="509"/>
      <c r="H59" s="509"/>
      <c r="I59" s="348"/>
      <c r="J59" s="348"/>
      <c r="K59" s="348"/>
    </row>
    <row r="60" spans="1:11" ht="31.2" x14ac:dyDescent="0.25">
      <c r="A60" s="100" t="s">
        <v>626</v>
      </c>
      <c r="B60" s="100" t="s">
        <v>0</v>
      </c>
      <c r="C60" s="406" t="s">
        <v>1</v>
      </c>
      <c r="D60" s="165" t="s">
        <v>1250</v>
      </c>
      <c r="E60" s="165" t="s">
        <v>1061</v>
      </c>
      <c r="F60" s="165" t="s">
        <v>1059</v>
      </c>
      <c r="G60" s="165" t="s">
        <v>1060</v>
      </c>
      <c r="H60" s="165" t="s">
        <v>1058</v>
      </c>
    </row>
    <row r="61" spans="1:11" x14ac:dyDescent="0.25">
      <c r="A61" s="4">
        <v>1</v>
      </c>
      <c r="B61" s="233">
        <v>1813200830</v>
      </c>
      <c r="C61" s="4" t="s">
        <v>1221</v>
      </c>
      <c r="D61" s="263">
        <v>0</v>
      </c>
      <c r="E61" s="263">
        <v>0</v>
      </c>
      <c r="F61" s="96">
        <v>68</v>
      </c>
      <c r="G61" s="96">
        <f>20*12+68</f>
        <v>308</v>
      </c>
      <c r="H61" s="96">
        <v>310</v>
      </c>
    </row>
    <row r="62" spans="1:11" x14ac:dyDescent="0.25">
      <c r="A62" s="101"/>
      <c r="B62" s="548" t="str">
        <f>B56</f>
        <v>סה"כ</v>
      </c>
      <c r="C62" s="548"/>
      <c r="D62" s="392">
        <f t="shared" ref="D62:H62" si="5">SUM(D61)</f>
        <v>0</v>
      </c>
      <c r="E62" s="392">
        <f t="shared" si="5"/>
        <v>0</v>
      </c>
      <c r="F62" s="149">
        <f t="shared" si="5"/>
        <v>68</v>
      </c>
      <c r="G62" s="149">
        <f t="shared" si="5"/>
        <v>308</v>
      </c>
      <c r="H62" s="149">
        <f t="shared" si="5"/>
        <v>310</v>
      </c>
    </row>
  </sheetData>
  <sheetProtection algorithmName="SHA-512" hashValue="8PmEyAWTAsmTIeKAF4Q9F93Fg1SfjskKfwG4yUxpswm1fUFyjLKLrWZQT8dr/VxCdlrLg377NCUfh9XfTE2WYg==" saltValue="fi2lQWn/EcaBwh3bU8yIJA==" spinCount="100000" sheet="1" objects="1" scenarios="1"/>
  <mergeCells count="11">
    <mergeCell ref="B62:C62"/>
    <mergeCell ref="C58:H58"/>
    <mergeCell ref="B56:C56"/>
    <mergeCell ref="B43:C43"/>
    <mergeCell ref="B49:C49"/>
    <mergeCell ref="C2:H2"/>
    <mergeCell ref="C33:H33"/>
    <mergeCell ref="C45:H45"/>
    <mergeCell ref="C51:H51"/>
    <mergeCell ref="B25:C25"/>
    <mergeCell ref="B31:C31"/>
  </mergeCells>
  <pageMargins left="0.70866141732283472" right="0.70866141732283472" top="0.74803149606299213" bottom="0.74803149606299213" header="0.31496062992125984" footer="0.31496062992125984"/>
  <pageSetup paperSize="9" scale="84" firstPageNumber="27" orientation="portrait" useFirstPageNumber="1" r:id="rId1"/>
  <headerFooter>
    <oddFooter>עמוד &amp;P</oddFooter>
  </headerFooter>
  <rowBreaks count="1" manualBreakCount="1">
    <brk id="3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59D4-A9DD-45E6-9426-0FB1BEFB045F}">
  <dimension ref="A1:H34"/>
  <sheetViews>
    <sheetView rightToLeft="1" zoomScale="110" zoomScaleNormal="110" workbookViewId="0">
      <selection activeCell="A33" sqref="A33"/>
    </sheetView>
  </sheetViews>
  <sheetFormatPr defaultRowHeight="13.8" x14ac:dyDescent="0.25"/>
  <cols>
    <col min="1" max="1" width="4.3984375" customWidth="1"/>
    <col min="2" max="2" width="15.3984375" customWidth="1"/>
    <col min="3" max="3" width="29.5" customWidth="1"/>
    <col min="5" max="5" width="12.5" customWidth="1"/>
    <col min="6" max="6" width="14.5" customWidth="1"/>
    <col min="7" max="7" width="12.3984375" customWidth="1"/>
    <col min="8" max="8" width="13" customWidth="1"/>
  </cols>
  <sheetData>
    <row r="1" spans="1:8" x14ac:dyDescent="0.25">
      <c r="C1" s="27"/>
    </row>
    <row r="2" spans="1:8" ht="18" customHeight="1" x14ac:dyDescent="0.25">
      <c r="A2" s="573" t="s">
        <v>956</v>
      </c>
      <c r="B2" s="573"/>
      <c r="C2" s="573"/>
      <c r="D2" s="573"/>
      <c r="E2" s="573"/>
      <c r="F2" s="573"/>
      <c r="G2" s="573"/>
      <c r="H2" s="573"/>
    </row>
    <row r="3" spans="1:8" x14ac:dyDescent="0.25">
      <c r="C3" s="27"/>
    </row>
    <row r="4" spans="1:8" s="34" customFormat="1" ht="46.8" x14ac:dyDescent="0.25">
      <c r="A4" s="176" t="s">
        <v>627</v>
      </c>
      <c r="B4" s="176" t="s">
        <v>0</v>
      </c>
      <c r="C4" s="164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8" ht="16.95" customHeight="1" x14ac:dyDescent="0.25">
      <c r="A5" s="4">
        <v>1</v>
      </c>
      <c r="B5" s="4">
        <v>1723000110</v>
      </c>
      <c r="C5" s="4" t="s">
        <v>1036</v>
      </c>
      <c r="D5" s="29">
        <v>369</v>
      </c>
      <c r="E5" s="96">
        <v>166</v>
      </c>
      <c r="F5" s="29">
        <v>157</v>
      </c>
      <c r="G5" s="169">
        <v>280</v>
      </c>
      <c r="H5" s="169">
        <v>280</v>
      </c>
    </row>
    <row r="6" spans="1:8" ht="17.399999999999999" customHeight="1" x14ac:dyDescent="0.25">
      <c r="A6" s="4">
        <v>2</v>
      </c>
      <c r="B6" s="4">
        <v>1723000420</v>
      </c>
      <c r="C6" s="4" t="s">
        <v>1048</v>
      </c>
      <c r="D6" s="29">
        <v>411</v>
      </c>
      <c r="E6" s="137">
        <v>411</v>
      </c>
      <c r="F6" s="96">
        <v>256</v>
      </c>
      <c r="G6" s="29">
        <v>411</v>
      </c>
      <c r="H6" s="29">
        <v>411</v>
      </c>
    </row>
    <row r="7" spans="1:8" ht="16.95" customHeight="1" x14ac:dyDescent="0.25">
      <c r="A7" s="4">
        <v>3</v>
      </c>
      <c r="B7" s="4">
        <v>1723100420</v>
      </c>
      <c r="C7" s="4" t="s">
        <v>939</v>
      </c>
      <c r="D7" s="29">
        <v>10</v>
      </c>
      <c r="E7" s="137">
        <v>10</v>
      </c>
      <c r="F7" s="263">
        <v>0</v>
      </c>
      <c r="G7" s="169">
        <v>10</v>
      </c>
      <c r="H7" s="169">
        <v>10</v>
      </c>
    </row>
    <row r="8" spans="1:8" ht="16.95" customHeight="1" x14ac:dyDescent="0.25">
      <c r="A8" s="4">
        <v>4</v>
      </c>
      <c r="B8" s="4">
        <v>1723110420</v>
      </c>
      <c r="C8" s="4" t="s">
        <v>940</v>
      </c>
      <c r="D8" s="29">
        <v>15</v>
      </c>
      <c r="E8" s="137">
        <v>15</v>
      </c>
      <c r="F8" s="263">
        <v>0</v>
      </c>
      <c r="G8" s="169">
        <v>15</v>
      </c>
      <c r="H8" s="169">
        <v>15</v>
      </c>
    </row>
    <row r="9" spans="1:8" ht="15.6" customHeight="1" x14ac:dyDescent="0.25">
      <c r="A9" s="4">
        <v>5</v>
      </c>
      <c r="B9" s="4">
        <v>1723200420</v>
      </c>
      <c r="C9" s="4" t="s">
        <v>941</v>
      </c>
      <c r="D9" s="29">
        <v>8</v>
      </c>
      <c r="E9" s="137">
        <v>8</v>
      </c>
      <c r="F9" s="263">
        <v>0</v>
      </c>
      <c r="G9" s="169">
        <v>8</v>
      </c>
      <c r="H9" s="169">
        <v>8</v>
      </c>
    </row>
    <row r="10" spans="1:8" ht="15" customHeight="1" x14ac:dyDescent="0.25">
      <c r="A10" s="4">
        <v>6</v>
      </c>
      <c r="B10" s="167">
        <v>1723300420</v>
      </c>
      <c r="C10" s="167" t="s">
        <v>945</v>
      </c>
      <c r="D10" s="153">
        <v>36</v>
      </c>
      <c r="E10" s="137">
        <v>36</v>
      </c>
      <c r="F10" s="263">
        <v>0</v>
      </c>
      <c r="G10" s="169">
        <v>36</v>
      </c>
      <c r="H10" s="169">
        <v>36</v>
      </c>
    </row>
    <row r="11" spans="1:8" ht="15" customHeight="1" x14ac:dyDescent="0.25">
      <c r="A11" s="4">
        <v>7</v>
      </c>
      <c r="B11" s="4">
        <v>1723200930</v>
      </c>
      <c r="C11" s="4" t="s">
        <v>942</v>
      </c>
      <c r="D11" s="29">
        <v>50</v>
      </c>
      <c r="E11" s="96">
        <v>50</v>
      </c>
      <c r="F11" s="29">
        <v>20</v>
      </c>
      <c r="G11" s="29">
        <v>50</v>
      </c>
      <c r="H11" s="29">
        <v>50</v>
      </c>
    </row>
    <row r="12" spans="1:8" ht="14.4" customHeight="1" x14ac:dyDescent="0.25">
      <c r="A12" s="4">
        <v>8</v>
      </c>
      <c r="B12" s="4">
        <v>1723110930</v>
      </c>
      <c r="C12" s="4" t="s">
        <v>943</v>
      </c>
      <c r="D12" s="29">
        <v>10</v>
      </c>
      <c r="E12" s="96">
        <v>10</v>
      </c>
      <c r="F12" s="29">
        <v>0</v>
      </c>
      <c r="G12" s="29">
        <v>10</v>
      </c>
      <c r="H12" s="29">
        <v>10</v>
      </c>
    </row>
    <row r="13" spans="1:8" ht="15.6" customHeight="1" x14ac:dyDescent="0.25">
      <c r="A13" s="4">
        <v>9</v>
      </c>
      <c r="B13" s="4">
        <v>1723200550</v>
      </c>
      <c r="C13" s="4" t="s">
        <v>549</v>
      </c>
      <c r="D13" s="99">
        <v>13.44</v>
      </c>
      <c r="E13" s="96">
        <v>13.44</v>
      </c>
      <c r="F13" s="29">
        <v>10</v>
      </c>
      <c r="G13" s="29">
        <v>13</v>
      </c>
      <c r="H13" s="29">
        <v>13</v>
      </c>
    </row>
    <row r="14" spans="1:8" ht="16.95" customHeight="1" thickBot="1" x14ac:dyDescent="0.3">
      <c r="A14" s="4">
        <v>10</v>
      </c>
      <c r="B14" s="167">
        <v>1723200440</v>
      </c>
      <c r="C14" s="167" t="s">
        <v>944</v>
      </c>
      <c r="D14" s="153">
        <v>10</v>
      </c>
      <c r="E14" s="154">
        <v>10</v>
      </c>
      <c r="F14" s="153">
        <v>0</v>
      </c>
      <c r="G14" s="153">
        <v>10</v>
      </c>
      <c r="H14" s="153">
        <v>10</v>
      </c>
    </row>
    <row r="15" spans="1:8" ht="14.4" thickBot="1" x14ac:dyDescent="0.3">
      <c r="A15" s="51"/>
      <c r="B15" s="574" t="s">
        <v>1035</v>
      </c>
      <c r="C15" s="575"/>
      <c r="D15" s="252">
        <f t="shared" ref="D15:F15" si="0">SUM(D5:D14)</f>
        <v>932.44</v>
      </c>
      <c r="E15" s="252">
        <f t="shared" si="0"/>
        <v>729.44</v>
      </c>
      <c r="F15" s="168">
        <f t="shared" si="0"/>
        <v>443</v>
      </c>
      <c r="G15" s="504">
        <f>SUM(G5:G14)</f>
        <v>843</v>
      </c>
      <c r="H15" s="504">
        <f>SUM(H5:H14)</f>
        <v>843</v>
      </c>
    </row>
    <row r="16" spans="1:8" s="40" customFormat="1" ht="14.4" thickBot="1" x14ac:dyDescent="0.3">
      <c r="A16" s="4">
        <v>1</v>
      </c>
      <c r="B16" s="242">
        <v>1723000811</v>
      </c>
      <c r="C16" s="242" t="s">
        <v>428</v>
      </c>
      <c r="D16" s="505">
        <v>281</v>
      </c>
      <c r="E16" s="506">
        <v>318.23399999999998</v>
      </c>
      <c r="F16" s="507">
        <v>0</v>
      </c>
      <c r="G16" s="506">
        <v>318</v>
      </c>
      <c r="H16" s="506">
        <v>318</v>
      </c>
    </row>
    <row r="17" spans="1:8" ht="14.4" thickBot="1" x14ac:dyDescent="0.3">
      <c r="A17" s="51"/>
      <c r="B17" s="576" t="s">
        <v>1166</v>
      </c>
      <c r="C17" s="577"/>
      <c r="D17" s="253">
        <f t="shared" ref="D17:F17" si="1">D15+D16</f>
        <v>1213.44</v>
      </c>
      <c r="E17" s="253">
        <f t="shared" si="1"/>
        <v>1047.674</v>
      </c>
      <c r="F17" s="248">
        <f t="shared" si="1"/>
        <v>443</v>
      </c>
      <c r="G17" s="508">
        <f>G15+G16</f>
        <v>1161</v>
      </c>
      <c r="H17" s="508">
        <f>H15+H16</f>
        <v>1161</v>
      </c>
    </row>
    <row r="19" spans="1:8" ht="17.399999999999999" x14ac:dyDescent="0.25">
      <c r="B19" s="206">
        <v>420</v>
      </c>
      <c r="C19" s="188"/>
    </row>
    <row r="20" spans="1:8" x14ac:dyDescent="0.25">
      <c r="B20" s="14"/>
    </row>
    <row r="21" spans="1:8" s="34" customFormat="1" ht="46.8" x14ac:dyDescent="0.25">
      <c r="A21" s="176" t="s">
        <v>627</v>
      </c>
      <c r="B21" s="176" t="s">
        <v>0</v>
      </c>
      <c r="C21" s="164" t="s">
        <v>1</v>
      </c>
      <c r="D21" s="165" t="s">
        <v>1250</v>
      </c>
      <c r="E21" s="165" t="s">
        <v>1061</v>
      </c>
      <c r="F21" s="165" t="s">
        <v>1059</v>
      </c>
      <c r="G21" s="165" t="s">
        <v>1060</v>
      </c>
      <c r="H21" s="165" t="s">
        <v>1058</v>
      </c>
    </row>
    <row r="22" spans="1:8" ht="17.399999999999999" customHeight="1" x14ac:dyDescent="0.25">
      <c r="A22" s="4">
        <v>1</v>
      </c>
      <c r="B22" s="4">
        <v>1723000420</v>
      </c>
      <c r="C22" s="4" t="s">
        <v>938</v>
      </c>
      <c r="D22" s="29">
        <v>411</v>
      </c>
      <c r="E22" s="96">
        <v>411</v>
      </c>
      <c r="F22" s="29">
        <v>256</v>
      </c>
      <c r="G22" s="29">
        <v>411</v>
      </c>
      <c r="H22" s="29">
        <v>411</v>
      </c>
    </row>
    <row r="23" spans="1:8" ht="16.95" customHeight="1" x14ac:dyDescent="0.25">
      <c r="A23" s="4">
        <v>2</v>
      </c>
      <c r="B23" s="4">
        <v>1723100420</v>
      </c>
      <c r="C23" s="4" t="s">
        <v>939</v>
      </c>
      <c r="D23" s="29">
        <v>10</v>
      </c>
      <c r="E23" s="96">
        <v>10</v>
      </c>
      <c r="F23" s="29">
        <v>0</v>
      </c>
      <c r="G23" s="29">
        <v>10</v>
      </c>
      <c r="H23" s="29">
        <v>10</v>
      </c>
    </row>
    <row r="24" spans="1:8" ht="16.95" customHeight="1" x14ac:dyDescent="0.25">
      <c r="A24" s="4">
        <v>3</v>
      </c>
      <c r="B24" s="4">
        <v>1723110420</v>
      </c>
      <c r="C24" s="4" t="s">
        <v>940</v>
      </c>
      <c r="D24" s="29">
        <v>15</v>
      </c>
      <c r="E24" s="96">
        <v>15</v>
      </c>
      <c r="F24" s="29">
        <v>0</v>
      </c>
      <c r="G24" s="29">
        <v>15</v>
      </c>
      <c r="H24" s="29">
        <v>15</v>
      </c>
    </row>
    <row r="25" spans="1:8" ht="13.95" customHeight="1" x14ac:dyDescent="0.25">
      <c r="A25" s="4">
        <v>4</v>
      </c>
      <c r="B25" s="4">
        <v>1723200420</v>
      </c>
      <c r="C25" s="4" t="s">
        <v>941</v>
      </c>
      <c r="D25" s="29">
        <v>8</v>
      </c>
      <c r="E25" s="96">
        <v>8</v>
      </c>
      <c r="F25" s="29">
        <v>0</v>
      </c>
      <c r="G25" s="29">
        <v>8</v>
      </c>
      <c r="H25" s="29">
        <v>8</v>
      </c>
    </row>
    <row r="26" spans="1:8" ht="18" customHeight="1" thickBot="1" x14ac:dyDescent="0.3">
      <c r="A26" s="4">
        <v>5</v>
      </c>
      <c r="B26" s="167">
        <v>1723300420</v>
      </c>
      <c r="C26" s="167" t="s">
        <v>945</v>
      </c>
      <c r="D26" s="153">
        <v>36</v>
      </c>
      <c r="E26" s="154">
        <v>36</v>
      </c>
      <c r="F26" s="153">
        <v>0</v>
      </c>
      <c r="G26" s="153">
        <v>36</v>
      </c>
      <c r="H26" s="153">
        <v>36</v>
      </c>
    </row>
    <row r="27" spans="1:8" ht="14.4" thickBot="1" x14ac:dyDescent="0.3">
      <c r="A27" s="51"/>
      <c r="B27" s="578" t="s">
        <v>1035</v>
      </c>
      <c r="C27" s="579"/>
      <c r="D27" s="248">
        <f t="shared" ref="D27:H27" si="2">SUM(D22:D26)</f>
        <v>480</v>
      </c>
      <c r="E27" s="254">
        <f t="shared" si="2"/>
        <v>480</v>
      </c>
      <c r="F27" s="248">
        <f t="shared" si="2"/>
        <v>256</v>
      </c>
      <c r="G27" s="508">
        <f t="shared" si="2"/>
        <v>480</v>
      </c>
      <c r="H27" s="508">
        <f t="shared" si="2"/>
        <v>480</v>
      </c>
    </row>
    <row r="29" spans="1:8" ht="17.399999999999999" x14ac:dyDescent="0.25">
      <c r="B29" s="206">
        <v>930</v>
      </c>
      <c r="C29" s="188"/>
    </row>
    <row r="30" spans="1:8" x14ac:dyDescent="0.25">
      <c r="B30" s="14"/>
    </row>
    <row r="31" spans="1:8" ht="46.8" x14ac:dyDescent="0.25">
      <c r="A31" s="176" t="s">
        <v>627</v>
      </c>
      <c r="B31" s="176" t="s">
        <v>0</v>
      </c>
      <c r="C31" s="164" t="s">
        <v>1</v>
      </c>
      <c r="D31" s="165" t="s">
        <v>1250</v>
      </c>
      <c r="E31" s="165" t="s">
        <v>1061</v>
      </c>
      <c r="F31" s="165" t="s">
        <v>1059</v>
      </c>
      <c r="G31" s="165" t="s">
        <v>1060</v>
      </c>
      <c r="H31" s="165" t="s">
        <v>1058</v>
      </c>
    </row>
    <row r="32" spans="1:8" x14ac:dyDescent="0.25">
      <c r="A32" s="4">
        <v>1</v>
      </c>
      <c r="B32" s="4">
        <v>1723200930</v>
      </c>
      <c r="C32" s="4" t="s">
        <v>942</v>
      </c>
      <c r="D32" s="4">
        <v>50</v>
      </c>
      <c r="E32" s="4">
        <v>50</v>
      </c>
      <c r="F32" s="4">
        <v>20</v>
      </c>
      <c r="G32" s="4">
        <v>50</v>
      </c>
      <c r="H32" s="4">
        <v>50</v>
      </c>
    </row>
    <row r="33" spans="1:8" x14ac:dyDescent="0.25">
      <c r="A33" s="4">
        <v>2</v>
      </c>
      <c r="B33" s="4">
        <v>1723110930</v>
      </c>
      <c r="C33" s="4" t="s">
        <v>943</v>
      </c>
      <c r="D33" s="4">
        <v>10</v>
      </c>
      <c r="E33" s="4">
        <v>10</v>
      </c>
      <c r="F33" s="4">
        <v>0</v>
      </c>
      <c r="G33" s="4">
        <v>10</v>
      </c>
      <c r="H33" s="4">
        <v>10</v>
      </c>
    </row>
    <row r="34" spans="1:8" x14ac:dyDescent="0.25">
      <c r="A34" s="548"/>
      <c r="B34" s="548"/>
      <c r="C34" s="151"/>
      <c r="D34" s="151">
        <f t="shared" ref="D34:H34" si="3">SUM(D32:D33)</f>
        <v>60</v>
      </c>
      <c r="E34" s="151">
        <f t="shared" si="3"/>
        <v>60</v>
      </c>
      <c r="F34" s="151">
        <f t="shared" si="3"/>
        <v>20</v>
      </c>
      <c r="G34" s="151">
        <f>SUM(G32:G33)</f>
        <v>60</v>
      </c>
      <c r="H34" s="151">
        <f t="shared" si="3"/>
        <v>60</v>
      </c>
    </row>
  </sheetData>
  <sheetProtection algorithmName="SHA-512" hashValue="ICABtnoFIejBsi16sLGriW3h3fykbqhJ/iOUmCzkVsiQ9RzFkUywTOsE6schuhLkRyRM1S4JDIURSMmmm3rOZg==" saltValue="rpD9lPM0AnUGqt2hMpJuQw==" spinCount="100000" sheet="1" objects="1" scenarios="1"/>
  <mergeCells count="5">
    <mergeCell ref="A34:B34"/>
    <mergeCell ref="A2:H2"/>
    <mergeCell ref="B15:C15"/>
    <mergeCell ref="B17:C17"/>
    <mergeCell ref="B27:C27"/>
  </mergeCells>
  <pageMargins left="0.34" right="0.7" top="0.75" bottom="0.32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K104"/>
  <sheetViews>
    <sheetView rightToLeft="1" zoomScale="110" zoomScaleNormal="110" workbookViewId="0">
      <pane ySplit="4" topLeftCell="A29" activePane="bottomLeft" state="frozen"/>
      <selection pane="bottomLeft" activeCell="H45" sqref="H45"/>
    </sheetView>
  </sheetViews>
  <sheetFormatPr defaultRowHeight="13.8" x14ac:dyDescent="0.25"/>
  <cols>
    <col min="1" max="1" width="4.09765625" customWidth="1"/>
    <col min="2" max="2" width="12.59765625" bestFit="1" customWidth="1"/>
    <col min="3" max="3" width="40.69921875" style="27" customWidth="1"/>
    <col min="5" max="5" width="14.69921875" customWidth="1"/>
    <col min="6" max="6" width="14.09765625" customWidth="1"/>
    <col min="7" max="7" width="13.19921875" customWidth="1"/>
    <col min="8" max="8" width="15" style="37" customWidth="1"/>
    <col min="9" max="10" width="13.5" customWidth="1"/>
    <col min="11" max="11" width="12.69921875" customWidth="1"/>
  </cols>
  <sheetData>
    <row r="2" spans="1:11" ht="22.8" x14ac:dyDescent="0.3">
      <c r="B2" s="21">
        <v>780</v>
      </c>
      <c r="C2" s="560" t="s">
        <v>471</v>
      </c>
      <c r="D2" s="560"/>
      <c r="E2" s="560"/>
      <c r="F2" s="560"/>
      <c r="G2" s="560"/>
      <c r="H2" s="560"/>
      <c r="I2" s="530"/>
      <c r="J2" s="530"/>
      <c r="K2" s="530"/>
    </row>
    <row r="3" spans="1:11" ht="12" customHeight="1" x14ac:dyDescent="0.25">
      <c r="D3" s="5"/>
      <c r="E3" s="5"/>
      <c r="F3" s="5"/>
      <c r="G3" s="5"/>
    </row>
    <row r="4" spans="1:11" s="177" customFormat="1" ht="31.2" x14ac:dyDescent="0.25">
      <c r="A4" s="176" t="s">
        <v>623</v>
      </c>
      <c r="B4" s="193" t="s">
        <v>0</v>
      </c>
      <c r="C4" s="164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11" s="40" customFormat="1" x14ac:dyDescent="0.25">
      <c r="A5" s="233">
        <v>1</v>
      </c>
      <c r="B5" s="281">
        <v>1613000780</v>
      </c>
      <c r="C5" s="170" t="s">
        <v>1053</v>
      </c>
      <c r="D5" s="137">
        <f>5+23</f>
        <v>28</v>
      </c>
      <c r="E5" s="171">
        <v>40</v>
      </c>
      <c r="F5" s="238">
        <v>11</v>
      </c>
      <c r="G5" s="233">
        <v>40</v>
      </c>
      <c r="H5" s="233">
        <v>40</v>
      </c>
    </row>
    <row r="6" spans="1:11" s="40" customFormat="1" x14ac:dyDescent="0.25">
      <c r="A6" s="233">
        <v>2</v>
      </c>
      <c r="B6" s="281">
        <v>1616000780</v>
      </c>
      <c r="C6" s="472" t="s">
        <v>184</v>
      </c>
      <c r="D6" s="137">
        <v>120</v>
      </c>
      <c r="E6" s="171">
        <v>140</v>
      </c>
      <c r="F6" s="137">
        <v>54</v>
      </c>
      <c r="G6" s="137">
        <v>140</v>
      </c>
      <c r="H6" s="449">
        <v>120</v>
      </c>
    </row>
    <row r="7" spans="1:11" s="40" customFormat="1" x14ac:dyDescent="0.25">
      <c r="A7" s="233">
        <v>3</v>
      </c>
      <c r="B7" s="451">
        <v>1619000780</v>
      </c>
      <c r="C7" s="452" t="s">
        <v>1242</v>
      </c>
      <c r="D7" s="453"/>
      <c r="E7" s="465"/>
      <c r="F7" s="453"/>
      <c r="G7" s="453"/>
      <c r="H7" s="475">
        <v>600</v>
      </c>
    </row>
    <row r="8" spans="1:11" s="40" customFormat="1" x14ac:dyDescent="0.25">
      <c r="A8" s="233">
        <v>4</v>
      </c>
      <c r="B8" s="451">
        <v>1711000780</v>
      </c>
      <c r="C8" s="452" t="s">
        <v>213</v>
      </c>
      <c r="D8" s="453">
        <v>1</v>
      </c>
      <c r="E8" s="465">
        <v>3</v>
      </c>
      <c r="F8" s="453">
        <v>0</v>
      </c>
      <c r="G8" s="453">
        <v>3</v>
      </c>
      <c r="H8" s="453">
        <v>3</v>
      </c>
    </row>
    <row r="9" spans="1:11" s="40" customFormat="1" x14ac:dyDescent="0.25">
      <c r="A9" s="233">
        <v>5</v>
      </c>
      <c r="B9" s="451">
        <v>1711300780</v>
      </c>
      <c r="C9" s="452" t="s">
        <v>615</v>
      </c>
      <c r="D9" s="453">
        <v>10</v>
      </c>
      <c r="E9" s="465">
        <v>30</v>
      </c>
      <c r="F9" s="466">
        <v>18</v>
      </c>
      <c r="G9" s="453">
        <v>18</v>
      </c>
      <c r="H9" s="453">
        <v>18</v>
      </c>
    </row>
    <row r="10" spans="1:11" s="40" customFormat="1" x14ac:dyDescent="0.25">
      <c r="A10" s="233">
        <v>6</v>
      </c>
      <c r="B10" s="451">
        <v>1711500780</v>
      </c>
      <c r="C10" s="452" t="s">
        <v>1156</v>
      </c>
      <c r="D10" s="453">
        <v>0</v>
      </c>
      <c r="E10" s="465">
        <v>2</v>
      </c>
      <c r="F10" s="466">
        <v>1</v>
      </c>
      <c r="G10" s="466">
        <v>1.5</v>
      </c>
      <c r="H10" s="453">
        <v>2</v>
      </c>
    </row>
    <row r="11" spans="1:11" s="40" customFormat="1" x14ac:dyDescent="0.25">
      <c r="A11" s="233">
        <v>7</v>
      </c>
      <c r="B11" s="451">
        <v>1714200780</v>
      </c>
      <c r="C11" s="452" t="s">
        <v>505</v>
      </c>
      <c r="D11" s="466">
        <v>76</v>
      </c>
      <c r="E11" s="465">
        <v>20</v>
      </c>
      <c r="F11" s="466">
        <v>12</v>
      </c>
      <c r="G11" s="453">
        <v>20</v>
      </c>
      <c r="H11" s="453">
        <v>20</v>
      </c>
    </row>
    <row r="12" spans="1:11" s="40" customFormat="1" x14ac:dyDescent="0.25">
      <c r="A12" s="233">
        <v>8</v>
      </c>
      <c r="B12" s="450">
        <v>1714210780</v>
      </c>
      <c r="C12" s="476" t="s">
        <v>506</v>
      </c>
      <c r="D12" s="466">
        <v>98</v>
      </c>
      <c r="E12" s="465">
        <v>100</v>
      </c>
      <c r="F12" s="466">
        <v>47</v>
      </c>
      <c r="G12" s="453">
        <v>100</v>
      </c>
      <c r="H12" s="453">
        <v>100</v>
      </c>
    </row>
    <row r="13" spans="1:11" s="40" customFormat="1" x14ac:dyDescent="0.25">
      <c r="A13" s="233">
        <v>9</v>
      </c>
      <c r="B13" s="450">
        <v>1722000780</v>
      </c>
      <c r="C13" s="452" t="s">
        <v>1019</v>
      </c>
      <c r="D13" s="466">
        <v>2</v>
      </c>
      <c r="E13" s="465">
        <v>2</v>
      </c>
      <c r="F13" s="466">
        <v>1</v>
      </c>
      <c r="G13" s="453">
        <v>2</v>
      </c>
      <c r="H13" s="453">
        <v>2</v>
      </c>
    </row>
    <row r="14" spans="1:11" s="40" customFormat="1" x14ac:dyDescent="0.25">
      <c r="A14" s="233">
        <v>10</v>
      </c>
      <c r="B14" s="451">
        <v>1752300780</v>
      </c>
      <c r="C14" s="452" t="s">
        <v>1142</v>
      </c>
      <c r="D14" s="453">
        <v>0</v>
      </c>
      <c r="E14" s="465">
        <v>0</v>
      </c>
      <c r="F14" s="466">
        <v>5</v>
      </c>
      <c r="G14" s="453">
        <v>10</v>
      </c>
      <c r="H14" s="453">
        <v>10</v>
      </c>
    </row>
    <row r="15" spans="1:11" s="40" customFormat="1" x14ac:dyDescent="0.25">
      <c r="A15" s="233">
        <v>11</v>
      </c>
      <c r="B15" s="451">
        <v>1731000780</v>
      </c>
      <c r="C15" s="452" t="s">
        <v>241</v>
      </c>
      <c r="D15" s="453">
        <v>6</v>
      </c>
      <c r="E15" s="465">
        <v>15</v>
      </c>
      <c r="F15" s="466">
        <v>6</v>
      </c>
      <c r="G15" s="453">
        <v>15</v>
      </c>
      <c r="H15" s="453">
        <v>15</v>
      </c>
    </row>
    <row r="16" spans="1:11" s="40" customFormat="1" x14ac:dyDescent="0.25">
      <c r="A16" s="233">
        <v>12</v>
      </c>
      <c r="B16" s="451">
        <v>1731100780</v>
      </c>
      <c r="C16" s="452" t="s">
        <v>242</v>
      </c>
      <c r="D16" s="453">
        <v>0</v>
      </c>
      <c r="E16" s="465">
        <v>4</v>
      </c>
      <c r="F16" s="466">
        <v>1</v>
      </c>
      <c r="G16" s="453">
        <v>4</v>
      </c>
      <c r="H16" s="453">
        <v>4</v>
      </c>
    </row>
    <row r="17" spans="1:8" s="40" customFormat="1" x14ac:dyDescent="0.25">
      <c r="A17" s="233">
        <v>13</v>
      </c>
      <c r="B17" s="451">
        <v>1731300780</v>
      </c>
      <c r="C17" s="452" t="s">
        <v>243</v>
      </c>
      <c r="D17" s="453">
        <v>3</v>
      </c>
      <c r="E17" s="465">
        <v>3</v>
      </c>
      <c r="F17" s="466">
        <v>1</v>
      </c>
      <c r="G17" s="453">
        <v>3</v>
      </c>
      <c r="H17" s="453">
        <v>3</v>
      </c>
    </row>
    <row r="18" spans="1:8" s="40" customFormat="1" x14ac:dyDescent="0.25">
      <c r="A18" s="233">
        <v>14</v>
      </c>
      <c r="B18" s="451">
        <v>1746000780</v>
      </c>
      <c r="C18" s="452" t="s">
        <v>1154</v>
      </c>
      <c r="D18" s="453">
        <v>2</v>
      </c>
      <c r="E18" s="465">
        <v>2</v>
      </c>
      <c r="F18" s="453">
        <v>0</v>
      </c>
      <c r="G18" s="453">
        <v>2</v>
      </c>
      <c r="H18" s="453">
        <v>2</v>
      </c>
    </row>
    <row r="19" spans="1:8" s="40" customFormat="1" x14ac:dyDescent="0.25">
      <c r="A19" s="233">
        <v>15</v>
      </c>
      <c r="B19" s="451">
        <v>1746100780</v>
      </c>
      <c r="C19" s="452" t="s">
        <v>914</v>
      </c>
      <c r="D19" s="453">
        <v>1</v>
      </c>
      <c r="E19" s="465">
        <v>15</v>
      </c>
      <c r="F19" s="466">
        <v>1</v>
      </c>
      <c r="G19" s="453">
        <v>15</v>
      </c>
      <c r="H19" s="453">
        <v>15</v>
      </c>
    </row>
    <row r="20" spans="1:8" s="40" customFormat="1" x14ac:dyDescent="0.25">
      <c r="A20" s="233">
        <v>16</v>
      </c>
      <c r="B20" s="451">
        <v>1746200780</v>
      </c>
      <c r="C20" s="452" t="s">
        <v>1153</v>
      </c>
      <c r="D20" s="453">
        <v>3</v>
      </c>
      <c r="E20" s="465">
        <v>4</v>
      </c>
      <c r="F20" s="466">
        <v>2</v>
      </c>
      <c r="G20" s="453">
        <v>4</v>
      </c>
      <c r="H20" s="453">
        <v>4</v>
      </c>
    </row>
    <row r="21" spans="1:8" s="40" customFormat="1" x14ac:dyDescent="0.25">
      <c r="A21" s="233">
        <v>17</v>
      </c>
      <c r="B21" s="451">
        <v>1751000780</v>
      </c>
      <c r="C21" s="452" t="s">
        <v>256</v>
      </c>
      <c r="D21" s="453">
        <v>500</v>
      </c>
      <c r="E21" s="465">
        <v>500</v>
      </c>
      <c r="F21" s="466">
        <v>456</v>
      </c>
      <c r="G21" s="453">
        <v>475</v>
      </c>
      <c r="H21" s="453">
        <v>475</v>
      </c>
    </row>
    <row r="22" spans="1:8" s="40" customFormat="1" x14ac:dyDescent="0.25">
      <c r="A22" s="233">
        <v>18</v>
      </c>
      <c r="B22" s="451">
        <v>1752000780</v>
      </c>
      <c r="C22" s="452" t="s">
        <v>257</v>
      </c>
      <c r="D22" s="453">
        <v>666</v>
      </c>
      <c r="E22" s="465">
        <v>700</v>
      </c>
      <c r="F22" s="466">
        <v>619</v>
      </c>
      <c r="G22" s="453">
        <v>665</v>
      </c>
      <c r="H22" s="453">
        <v>665</v>
      </c>
    </row>
    <row r="23" spans="1:8" s="40" customFormat="1" x14ac:dyDescent="0.25">
      <c r="A23" s="233">
        <v>19</v>
      </c>
      <c r="B23" s="451">
        <v>1752100780</v>
      </c>
      <c r="C23" s="452" t="s">
        <v>1027</v>
      </c>
      <c r="D23" s="453">
        <v>0</v>
      </c>
      <c r="E23" s="465">
        <v>3</v>
      </c>
      <c r="F23" s="453">
        <v>0</v>
      </c>
      <c r="G23" s="453">
        <v>3</v>
      </c>
      <c r="H23" s="453">
        <v>3</v>
      </c>
    </row>
    <row r="24" spans="1:8" s="40" customFormat="1" x14ac:dyDescent="0.25">
      <c r="A24" s="233">
        <v>20</v>
      </c>
      <c r="B24" s="451">
        <v>1761120780</v>
      </c>
      <c r="C24" s="452" t="s">
        <v>262</v>
      </c>
      <c r="D24" s="453">
        <v>1</v>
      </c>
      <c r="E24" s="465">
        <v>5</v>
      </c>
      <c r="F24" s="453">
        <v>2</v>
      </c>
      <c r="G24" s="453">
        <v>5</v>
      </c>
      <c r="H24" s="453">
        <v>5</v>
      </c>
    </row>
    <row r="25" spans="1:8" s="40" customFormat="1" x14ac:dyDescent="0.25">
      <c r="A25" s="233">
        <v>21</v>
      </c>
      <c r="B25" s="451">
        <v>1764000780</v>
      </c>
      <c r="C25" s="452" t="s">
        <v>1029</v>
      </c>
      <c r="D25" s="453">
        <v>0</v>
      </c>
      <c r="E25" s="465">
        <v>10</v>
      </c>
      <c r="F25" s="466">
        <v>5</v>
      </c>
      <c r="G25" s="453">
        <v>8</v>
      </c>
      <c r="H25" s="453">
        <v>15</v>
      </c>
    </row>
    <row r="26" spans="1:8" s="40" customFormat="1" x14ac:dyDescent="0.25">
      <c r="A26" s="233">
        <v>22</v>
      </c>
      <c r="B26" s="450">
        <v>1766000780</v>
      </c>
      <c r="C26" s="476" t="s">
        <v>263</v>
      </c>
      <c r="D26" s="453">
        <v>1</v>
      </c>
      <c r="E26" s="465">
        <v>1</v>
      </c>
      <c r="F26" s="453">
        <v>0</v>
      </c>
      <c r="G26" s="453">
        <v>1</v>
      </c>
      <c r="H26" s="453">
        <v>1</v>
      </c>
    </row>
    <row r="27" spans="1:8" s="40" customFormat="1" x14ac:dyDescent="0.25">
      <c r="A27" s="233">
        <v>23</v>
      </c>
      <c r="B27" s="451">
        <v>1770000780</v>
      </c>
      <c r="C27" s="452" t="s">
        <v>269</v>
      </c>
      <c r="D27" s="453">
        <v>0</v>
      </c>
      <c r="E27" s="465">
        <v>10</v>
      </c>
      <c r="F27" s="453">
        <v>0</v>
      </c>
      <c r="G27" s="453">
        <v>0</v>
      </c>
      <c r="H27" s="453">
        <v>0</v>
      </c>
    </row>
    <row r="28" spans="1:8" s="40" customFormat="1" x14ac:dyDescent="0.25">
      <c r="A28" s="233">
        <v>24</v>
      </c>
      <c r="B28" s="281">
        <v>1811000780</v>
      </c>
      <c r="C28" s="170" t="s">
        <v>508</v>
      </c>
      <c r="D28" s="137">
        <v>327</v>
      </c>
      <c r="E28" s="171">
        <v>140</v>
      </c>
      <c r="F28" s="160">
        <v>60</v>
      </c>
      <c r="G28" s="137">
        <v>230</v>
      </c>
      <c r="H28" s="137">
        <v>200</v>
      </c>
    </row>
    <row r="29" spans="1:8" s="40" customFormat="1" x14ac:dyDescent="0.25">
      <c r="A29" s="233">
        <v>25</v>
      </c>
      <c r="B29" s="281">
        <v>1811200780</v>
      </c>
      <c r="C29" s="170" t="s">
        <v>915</v>
      </c>
      <c r="D29" s="137">
        <v>16</v>
      </c>
      <c r="E29" s="171">
        <v>20</v>
      </c>
      <c r="F29" s="160">
        <v>16</v>
      </c>
      <c r="G29" s="137">
        <v>20</v>
      </c>
      <c r="H29" s="137">
        <v>20</v>
      </c>
    </row>
    <row r="30" spans="1:8" s="40" customFormat="1" x14ac:dyDescent="0.25">
      <c r="A30" s="233">
        <v>26</v>
      </c>
      <c r="B30" s="281">
        <v>1811400780</v>
      </c>
      <c r="C30" s="170" t="s">
        <v>277</v>
      </c>
      <c r="D30" s="137">
        <v>6</v>
      </c>
      <c r="E30" s="171">
        <v>8</v>
      </c>
      <c r="F30" s="160">
        <v>5</v>
      </c>
      <c r="G30" s="137">
        <v>8</v>
      </c>
      <c r="H30" s="137">
        <v>8</v>
      </c>
    </row>
    <row r="31" spans="1:8" s="40" customFormat="1" x14ac:dyDescent="0.25">
      <c r="A31" s="233">
        <v>27</v>
      </c>
      <c r="B31" s="233">
        <v>1811500780</v>
      </c>
      <c r="C31" s="473" t="s">
        <v>916</v>
      </c>
      <c r="D31" s="137">
        <v>2</v>
      </c>
      <c r="E31" s="171">
        <v>3</v>
      </c>
      <c r="F31" s="160">
        <v>1</v>
      </c>
      <c r="G31" s="137">
        <v>2</v>
      </c>
      <c r="H31" s="137">
        <v>0</v>
      </c>
    </row>
    <row r="32" spans="1:8" s="40" customFormat="1" x14ac:dyDescent="0.25">
      <c r="A32" s="233">
        <v>28</v>
      </c>
      <c r="B32" s="281">
        <v>1813210780</v>
      </c>
      <c r="C32" s="452" t="s">
        <v>472</v>
      </c>
      <c r="D32" s="453">
        <v>20</v>
      </c>
      <c r="E32" s="465">
        <v>18</v>
      </c>
      <c r="F32" s="466">
        <v>7</v>
      </c>
      <c r="G32" s="453">
        <f>17-10</f>
        <v>7</v>
      </c>
      <c r="H32" s="453">
        <v>7</v>
      </c>
    </row>
    <row r="33" spans="1:8" s="40" customFormat="1" x14ac:dyDescent="0.25">
      <c r="A33" s="233">
        <v>29</v>
      </c>
      <c r="B33" s="281">
        <v>1813211780</v>
      </c>
      <c r="C33" s="452" t="s">
        <v>282</v>
      </c>
      <c r="D33" s="466">
        <f>301+17</f>
        <v>318</v>
      </c>
      <c r="E33" s="465">
        <v>312</v>
      </c>
      <c r="F33" s="466">
        <v>218</v>
      </c>
      <c r="G33" s="453">
        <v>271</v>
      </c>
      <c r="H33" s="453">
        <v>0</v>
      </c>
    </row>
    <row r="34" spans="1:8" s="40" customFormat="1" x14ac:dyDescent="0.25">
      <c r="A34" s="233">
        <v>30</v>
      </c>
      <c r="B34" s="281">
        <v>1813212780</v>
      </c>
      <c r="C34" s="452" t="s">
        <v>473</v>
      </c>
      <c r="D34" s="453">
        <v>100</v>
      </c>
      <c r="E34" s="465">
        <v>100</v>
      </c>
      <c r="F34" s="453">
        <v>0</v>
      </c>
      <c r="G34" s="453">
        <v>0</v>
      </c>
      <c r="H34" s="453">
        <v>0</v>
      </c>
    </row>
    <row r="35" spans="1:8" s="40" customFormat="1" x14ac:dyDescent="0.25">
      <c r="A35" s="233">
        <v>31</v>
      </c>
      <c r="B35" s="281">
        <v>1813214780</v>
      </c>
      <c r="C35" s="452" t="s">
        <v>285</v>
      </c>
      <c r="D35" s="466">
        <f>168+8</f>
        <v>176</v>
      </c>
      <c r="E35" s="465">
        <v>170</v>
      </c>
      <c r="F35" s="466">
        <v>123</v>
      </c>
      <c r="G35" s="453">
        <v>166</v>
      </c>
      <c r="H35" s="453">
        <v>0</v>
      </c>
    </row>
    <row r="36" spans="1:8" s="40" customFormat="1" x14ac:dyDescent="0.25">
      <c r="A36" s="233">
        <v>32</v>
      </c>
      <c r="B36" s="281">
        <v>1813215780</v>
      </c>
      <c r="C36" s="452" t="s">
        <v>286</v>
      </c>
      <c r="D36" s="466">
        <f>320+18</f>
        <v>338</v>
      </c>
      <c r="E36" s="465">
        <v>325</v>
      </c>
      <c r="F36" s="466">
        <v>202</v>
      </c>
      <c r="G36" s="453">
        <v>283</v>
      </c>
      <c r="H36" s="453">
        <v>0</v>
      </c>
    </row>
    <row r="37" spans="1:8" s="40" customFormat="1" x14ac:dyDescent="0.25">
      <c r="A37" s="233">
        <v>33</v>
      </c>
      <c r="B37" s="281">
        <v>1813220780</v>
      </c>
      <c r="C37" s="452" t="s">
        <v>288</v>
      </c>
      <c r="D37" s="466">
        <f>262+13</f>
        <v>275</v>
      </c>
      <c r="E37" s="465">
        <v>267</v>
      </c>
      <c r="F37" s="466">
        <v>219</v>
      </c>
      <c r="G37" s="453">
        <v>259</v>
      </c>
      <c r="H37" s="453">
        <v>0</v>
      </c>
    </row>
    <row r="38" spans="1:8" s="40" customFormat="1" x14ac:dyDescent="0.25">
      <c r="A38" s="233">
        <v>34</v>
      </c>
      <c r="B38" s="281">
        <v>1813230780</v>
      </c>
      <c r="C38" s="452" t="s">
        <v>289</v>
      </c>
      <c r="D38" s="453">
        <f>200+11</f>
        <v>211</v>
      </c>
      <c r="E38" s="465">
        <v>217</v>
      </c>
      <c r="F38" s="466">
        <v>156</v>
      </c>
      <c r="G38" s="453">
        <v>224</v>
      </c>
      <c r="H38" s="453">
        <v>0</v>
      </c>
    </row>
    <row r="39" spans="1:8" s="40" customFormat="1" x14ac:dyDescent="0.25">
      <c r="A39" s="233">
        <v>35</v>
      </c>
      <c r="B39" s="281">
        <v>1813240780</v>
      </c>
      <c r="C39" s="452" t="s">
        <v>291</v>
      </c>
      <c r="D39" s="466">
        <f>104+6</f>
        <v>110</v>
      </c>
      <c r="E39" s="465">
        <v>85</v>
      </c>
      <c r="F39" s="466">
        <v>72</v>
      </c>
      <c r="G39" s="453">
        <v>96</v>
      </c>
      <c r="H39" s="453">
        <v>0</v>
      </c>
    </row>
    <row r="40" spans="1:8" s="40" customFormat="1" x14ac:dyDescent="0.25">
      <c r="A40" s="233">
        <v>36</v>
      </c>
      <c r="B40" s="281">
        <v>1813270780</v>
      </c>
      <c r="C40" s="452" t="s">
        <v>292</v>
      </c>
      <c r="D40" s="466">
        <f>362+22</f>
        <v>384</v>
      </c>
      <c r="E40" s="465">
        <v>395</v>
      </c>
      <c r="F40" s="466">
        <v>278</v>
      </c>
      <c r="G40" s="453">
        <v>370</v>
      </c>
      <c r="H40" s="453">
        <v>0</v>
      </c>
    </row>
    <row r="41" spans="1:8" s="40" customFormat="1" x14ac:dyDescent="0.25">
      <c r="A41" s="233">
        <v>37</v>
      </c>
      <c r="B41" s="281">
        <v>1813280780</v>
      </c>
      <c r="C41" s="452" t="s">
        <v>293</v>
      </c>
      <c r="D41" s="466">
        <f>365+20</f>
        <v>385</v>
      </c>
      <c r="E41" s="465">
        <v>352</v>
      </c>
      <c r="F41" s="466">
        <v>202</v>
      </c>
      <c r="G41" s="453">
        <v>278</v>
      </c>
      <c r="H41" s="453">
        <v>0</v>
      </c>
    </row>
    <row r="42" spans="1:8" s="40" customFormat="1" x14ac:dyDescent="0.25">
      <c r="A42" s="233">
        <v>38</v>
      </c>
      <c r="B42" s="281">
        <v>1813295780</v>
      </c>
      <c r="C42" s="452" t="s">
        <v>1190</v>
      </c>
      <c r="D42" s="466"/>
      <c r="E42" s="465"/>
      <c r="F42" s="466"/>
      <c r="G42" s="453">
        <v>400</v>
      </c>
      <c r="H42" s="453">
        <v>1227</v>
      </c>
    </row>
    <row r="43" spans="1:8" s="40" customFormat="1" x14ac:dyDescent="0.25">
      <c r="A43" s="233">
        <v>39</v>
      </c>
      <c r="B43" s="281">
        <v>1813296780</v>
      </c>
      <c r="C43" s="452" t="s">
        <v>1191</v>
      </c>
      <c r="D43" s="466"/>
      <c r="E43" s="465"/>
      <c r="F43" s="466"/>
      <c r="G43" s="453">
        <v>300</v>
      </c>
      <c r="H43" s="453">
        <v>990</v>
      </c>
    </row>
    <row r="44" spans="1:8" s="40" customFormat="1" x14ac:dyDescent="0.25">
      <c r="A44" s="233">
        <v>40</v>
      </c>
      <c r="B44" s="281">
        <v>1813297780</v>
      </c>
      <c r="C44" s="452" t="s">
        <v>1192</v>
      </c>
      <c r="D44" s="466"/>
      <c r="E44" s="465"/>
      <c r="F44" s="466"/>
      <c r="G44" s="453">
        <v>200</v>
      </c>
      <c r="H44" s="453">
        <v>550</v>
      </c>
    </row>
    <row r="45" spans="1:8" s="40" customFormat="1" x14ac:dyDescent="0.25">
      <c r="A45" s="233">
        <v>41</v>
      </c>
      <c r="B45" s="281">
        <v>1813290780</v>
      </c>
      <c r="C45" s="452" t="s">
        <v>917</v>
      </c>
      <c r="D45" s="466">
        <v>248</v>
      </c>
      <c r="E45" s="465">
        <v>150</v>
      </c>
      <c r="F45" s="466">
        <v>131</v>
      </c>
      <c r="G45" s="453">
        <v>210</v>
      </c>
      <c r="H45" s="453">
        <v>150</v>
      </c>
    </row>
    <row r="46" spans="1:8" s="40" customFormat="1" ht="15" customHeight="1" x14ac:dyDescent="0.25">
      <c r="A46" s="233">
        <v>42</v>
      </c>
      <c r="B46" s="281">
        <v>1813291780</v>
      </c>
      <c r="C46" s="170" t="s">
        <v>918</v>
      </c>
      <c r="D46" s="160">
        <v>0</v>
      </c>
      <c r="E46" s="171">
        <v>25</v>
      </c>
      <c r="F46" s="137">
        <v>0</v>
      </c>
      <c r="G46" s="453">
        <v>25</v>
      </c>
      <c r="H46" s="453">
        <v>25</v>
      </c>
    </row>
    <row r="47" spans="1:8" s="40" customFormat="1" x14ac:dyDescent="0.25">
      <c r="A47" s="233">
        <v>43</v>
      </c>
      <c r="B47" s="281">
        <v>1813292780</v>
      </c>
      <c r="C47" s="170" t="s">
        <v>919</v>
      </c>
      <c r="D47" s="160">
        <v>0</v>
      </c>
      <c r="E47" s="171">
        <v>168</v>
      </c>
      <c r="F47" s="137">
        <v>0</v>
      </c>
      <c r="G47" s="453">
        <v>168</v>
      </c>
      <c r="H47" s="453">
        <v>168</v>
      </c>
    </row>
    <row r="48" spans="1:8" s="40" customFormat="1" x14ac:dyDescent="0.25">
      <c r="A48" s="233">
        <v>44</v>
      </c>
      <c r="B48" s="281">
        <v>1813293780</v>
      </c>
      <c r="C48" s="170" t="s">
        <v>618</v>
      </c>
      <c r="D48" s="160">
        <v>18</v>
      </c>
      <c r="E48" s="171">
        <v>38</v>
      </c>
      <c r="F48" s="137">
        <v>0</v>
      </c>
      <c r="G48" s="137">
        <v>38</v>
      </c>
      <c r="H48" s="137">
        <v>38</v>
      </c>
    </row>
    <row r="49" spans="1:8" s="40" customFormat="1" x14ac:dyDescent="0.25">
      <c r="A49" s="233">
        <v>45</v>
      </c>
      <c r="B49" s="233">
        <v>1813294780</v>
      </c>
      <c r="C49" s="233" t="s">
        <v>1116</v>
      </c>
      <c r="D49" s="160">
        <v>0</v>
      </c>
      <c r="E49" s="171">
        <v>460</v>
      </c>
      <c r="F49" s="160">
        <v>351</v>
      </c>
      <c r="G49" s="137">
        <v>393</v>
      </c>
      <c r="H49" s="137">
        <v>0</v>
      </c>
    </row>
    <row r="50" spans="1:8" s="40" customFormat="1" x14ac:dyDescent="0.25">
      <c r="A50" s="233">
        <v>46</v>
      </c>
      <c r="B50" s="233">
        <v>1813300780</v>
      </c>
      <c r="C50" s="233" t="s">
        <v>1117</v>
      </c>
      <c r="D50" s="160">
        <v>0</v>
      </c>
      <c r="E50" s="171">
        <v>500</v>
      </c>
      <c r="F50" s="160">
        <v>378</v>
      </c>
      <c r="G50" s="137">
        <v>600</v>
      </c>
      <c r="H50" s="137">
        <v>600</v>
      </c>
    </row>
    <row r="51" spans="1:8" s="40" customFormat="1" x14ac:dyDescent="0.25">
      <c r="A51" s="233">
        <v>47</v>
      </c>
      <c r="B51" s="281">
        <v>1813700780</v>
      </c>
      <c r="C51" s="170" t="s">
        <v>1023</v>
      </c>
      <c r="D51" s="137">
        <v>25</v>
      </c>
      <c r="E51" s="171">
        <v>27</v>
      </c>
      <c r="F51" s="160">
        <v>40</v>
      </c>
      <c r="G51" s="160">
        <v>65</v>
      </c>
      <c r="H51" s="160">
        <v>70</v>
      </c>
    </row>
    <row r="52" spans="1:8" s="40" customFormat="1" x14ac:dyDescent="0.25">
      <c r="A52" s="233">
        <v>48</v>
      </c>
      <c r="B52" s="281">
        <v>1817200780</v>
      </c>
      <c r="C52" s="170" t="s">
        <v>1024</v>
      </c>
      <c r="D52" s="137">
        <v>20</v>
      </c>
      <c r="E52" s="171">
        <v>26</v>
      </c>
      <c r="F52" s="160">
        <v>26</v>
      </c>
      <c r="G52" s="137">
        <v>52</v>
      </c>
      <c r="H52" s="137">
        <v>26</v>
      </c>
    </row>
    <row r="53" spans="1:8" s="40" customFormat="1" ht="15.6" customHeight="1" x14ac:dyDescent="0.25">
      <c r="A53" s="233">
        <v>49</v>
      </c>
      <c r="B53" s="281">
        <v>1822000780</v>
      </c>
      <c r="C53" s="170" t="s">
        <v>1155</v>
      </c>
      <c r="D53" s="137">
        <v>331</v>
      </c>
      <c r="E53" s="171">
        <v>220</v>
      </c>
      <c r="F53" s="160">
        <v>137</v>
      </c>
      <c r="G53" s="137">
        <v>216</v>
      </c>
      <c r="H53" s="137">
        <v>220</v>
      </c>
    </row>
    <row r="54" spans="1:8" s="40" customFormat="1" x14ac:dyDescent="0.25">
      <c r="A54" s="233">
        <v>50</v>
      </c>
      <c r="B54" s="281">
        <v>1822100780</v>
      </c>
      <c r="C54" s="170" t="s">
        <v>307</v>
      </c>
      <c r="D54" s="449">
        <v>0</v>
      </c>
      <c r="E54" s="478">
        <v>10</v>
      </c>
      <c r="F54" s="477">
        <v>5</v>
      </c>
      <c r="G54" s="449">
        <f>10-4</f>
        <v>6</v>
      </c>
      <c r="H54" s="137">
        <v>6</v>
      </c>
    </row>
    <row r="55" spans="1:8" s="40" customFormat="1" x14ac:dyDescent="0.25">
      <c r="A55" s="233">
        <v>51</v>
      </c>
      <c r="B55" s="281">
        <v>1822110780</v>
      </c>
      <c r="C55" s="170" t="s">
        <v>1151</v>
      </c>
      <c r="D55" s="449">
        <v>193</v>
      </c>
      <c r="E55" s="478">
        <v>300</v>
      </c>
      <c r="F55" s="477">
        <v>295</v>
      </c>
      <c r="G55" s="449">
        <v>440</v>
      </c>
      <c r="H55" s="137">
        <v>350</v>
      </c>
    </row>
    <row r="56" spans="1:8" s="40" customFormat="1" x14ac:dyDescent="0.25">
      <c r="A56" s="233">
        <v>52</v>
      </c>
      <c r="B56" s="281">
        <v>1822111780</v>
      </c>
      <c r="C56" s="170" t="s">
        <v>1241</v>
      </c>
      <c r="D56" s="449">
        <v>164</v>
      </c>
      <c r="E56" s="478">
        <v>190</v>
      </c>
      <c r="F56" s="477">
        <v>172</v>
      </c>
      <c r="G56" s="449">
        <v>181</v>
      </c>
      <c r="H56" s="137">
        <v>180</v>
      </c>
    </row>
    <row r="57" spans="1:8" s="40" customFormat="1" x14ac:dyDescent="0.25">
      <c r="A57" s="233">
        <v>53</v>
      </c>
      <c r="B57" s="233">
        <v>1822112780</v>
      </c>
      <c r="C57" s="172" t="s">
        <v>920</v>
      </c>
      <c r="D57" s="477">
        <v>736</v>
      </c>
      <c r="E57" s="478">
        <v>1315</v>
      </c>
      <c r="F57" s="477">
        <v>1000</v>
      </c>
      <c r="G57" s="477">
        <v>1295</v>
      </c>
      <c r="H57" s="160">
        <v>1300</v>
      </c>
    </row>
    <row r="58" spans="1:8" s="40" customFormat="1" x14ac:dyDescent="0.25">
      <c r="A58" s="233">
        <v>54</v>
      </c>
      <c r="B58" s="281">
        <v>1822210780</v>
      </c>
      <c r="C58" s="170" t="s">
        <v>311</v>
      </c>
      <c r="D58" s="137">
        <v>6</v>
      </c>
      <c r="E58" s="171">
        <v>20</v>
      </c>
      <c r="F58" s="160">
        <v>2</v>
      </c>
      <c r="G58" s="137">
        <v>10</v>
      </c>
      <c r="H58" s="137">
        <v>10</v>
      </c>
    </row>
    <row r="59" spans="1:8" s="40" customFormat="1" x14ac:dyDescent="0.25">
      <c r="A59" s="233">
        <v>55</v>
      </c>
      <c r="B59" s="281">
        <v>1822222780</v>
      </c>
      <c r="C59" s="170" t="s">
        <v>312</v>
      </c>
      <c r="D59" s="137">
        <v>2</v>
      </c>
      <c r="E59" s="171">
        <v>2</v>
      </c>
      <c r="F59" s="137">
        <v>0</v>
      </c>
      <c r="G59" s="137">
        <v>2</v>
      </c>
      <c r="H59" s="137">
        <v>2</v>
      </c>
    </row>
    <row r="60" spans="1:8" s="40" customFormat="1" x14ac:dyDescent="0.25">
      <c r="A60" s="233">
        <v>56</v>
      </c>
      <c r="B60" s="281">
        <v>1822230780</v>
      </c>
      <c r="C60" s="170" t="s">
        <v>313</v>
      </c>
      <c r="D60" s="137">
        <v>14</v>
      </c>
      <c r="E60" s="171">
        <v>25</v>
      </c>
      <c r="F60" s="137">
        <v>0</v>
      </c>
      <c r="G60" s="137">
        <v>6</v>
      </c>
      <c r="H60" s="137">
        <v>25</v>
      </c>
    </row>
    <row r="61" spans="1:8" s="40" customFormat="1" x14ac:dyDescent="0.25">
      <c r="A61" s="233">
        <v>57</v>
      </c>
      <c r="B61" s="281">
        <v>1822300780</v>
      </c>
      <c r="C61" s="452" t="s">
        <v>474</v>
      </c>
      <c r="D61" s="453">
        <v>20</v>
      </c>
      <c r="E61" s="465">
        <v>350</v>
      </c>
      <c r="F61" s="466">
        <v>560</v>
      </c>
      <c r="G61" s="453">
        <v>750</v>
      </c>
      <c r="H61" s="453">
        <f>750*0.9</f>
        <v>675</v>
      </c>
    </row>
    <row r="62" spans="1:8" s="40" customFormat="1" x14ac:dyDescent="0.25">
      <c r="A62" s="233">
        <v>58</v>
      </c>
      <c r="B62" s="281">
        <v>1825110780</v>
      </c>
      <c r="C62" s="452" t="s">
        <v>475</v>
      </c>
      <c r="D62" s="466">
        <v>2721</v>
      </c>
      <c r="E62" s="465">
        <v>2800</v>
      </c>
      <c r="F62" s="466">
        <v>1208</v>
      </c>
      <c r="G62" s="453">
        <v>2800</v>
      </c>
      <c r="H62" s="453">
        <v>2800</v>
      </c>
    </row>
    <row r="63" spans="1:8" s="40" customFormat="1" x14ac:dyDescent="0.25">
      <c r="A63" s="233">
        <v>59</v>
      </c>
      <c r="B63" s="281">
        <v>1825111780</v>
      </c>
      <c r="C63" s="452" t="s">
        <v>318</v>
      </c>
      <c r="D63" s="466">
        <v>0</v>
      </c>
      <c r="E63" s="465">
        <v>10</v>
      </c>
      <c r="F63" s="466">
        <v>6</v>
      </c>
      <c r="G63" s="453">
        <f>10-1</f>
        <v>9</v>
      </c>
      <c r="H63" s="453">
        <v>9</v>
      </c>
    </row>
    <row r="64" spans="1:8" s="40" customFormat="1" x14ac:dyDescent="0.25">
      <c r="A64" s="233">
        <v>60</v>
      </c>
      <c r="B64" s="281">
        <v>1825112780</v>
      </c>
      <c r="C64" s="452" t="s">
        <v>921</v>
      </c>
      <c r="D64" s="466">
        <v>3</v>
      </c>
      <c r="E64" s="465">
        <v>5</v>
      </c>
      <c r="F64" s="466">
        <v>3</v>
      </c>
      <c r="G64" s="453">
        <v>5</v>
      </c>
      <c r="H64" s="453">
        <v>5</v>
      </c>
    </row>
    <row r="65" spans="1:8" s="40" customFormat="1" x14ac:dyDescent="0.25">
      <c r="A65" s="233">
        <v>61</v>
      </c>
      <c r="B65" s="281">
        <v>1825113780</v>
      </c>
      <c r="C65" s="452" t="s">
        <v>319</v>
      </c>
      <c r="D65" s="466">
        <v>3</v>
      </c>
      <c r="E65" s="465">
        <v>4</v>
      </c>
      <c r="F65" s="466">
        <v>2</v>
      </c>
      <c r="G65" s="453">
        <v>4</v>
      </c>
      <c r="H65" s="453">
        <v>4</v>
      </c>
    </row>
    <row r="66" spans="1:8" s="40" customFormat="1" x14ac:dyDescent="0.25">
      <c r="A66" s="233">
        <v>62</v>
      </c>
      <c r="B66" s="281">
        <v>1825114780</v>
      </c>
      <c r="C66" s="452" t="s">
        <v>923</v>
      </c>
      <c r="D66" s="466">
        <v>49</v>
      </c>
      <c r="E66" s="465">
        <v>50</v>
      </c>
      <c r="F66" s="466">
        <v>9</v>
      </c>
      <c r="G66" s="453">
        <f>47-23</f>
        <v>24</v>
      </c>
      <c r="H66" s="453">
        <v>24</v>
      </c>
    </row>
    <row r="67" spans="1:8" s="40" customFormat="1" x14ac:dyDescent="0.25">
      <c r="A67" s="233">
        <v>63</v>
      </c>
      <c r="B67" s="233">
        <v>1825115780</v>
      </c>
      <c r="C67" s="452" t="s">
        <v>320</v>
      </c>
      <c r="D67" s="466">
        <v>0</v>
      </c>
      <c r="E67" s="465">
        <v>3</v>
      </c>
      <c r="F67" s="453">
        <v>0</v>
      </c>
      <c r="G67" s="453">
        <v>3</v>
      </c>
      <c r="H67" s="453">
        <v>3</v>
      </c>
    </row>
    <row r="68" spans="1:8" s="40" customFormat="1" x14ac:dyDescent="0.25">
      <c r="A68" s="233">
        <v>64</v>
      </c>
      <c r="B68" s="233">
        <v>1825116780</v>
      </c>
      <c r="C68" s="476" t="s">
        <v>922</v>
      </c>
      <c r="D68" s="466">
        <v>61</v>
      </c>
      <c r="E68" s="465">
        <v>65</v>
      </c>
      <c r="F68" s="466">
        <v>41</v>
      </c>
      <c r="G68" s="453">
        <v>41</v>
      </c>
      <c r="H68" s="453">
        <v>0</v>
      </c>
    </row>
    <row r="69" spans="1:8" s="40" customFormat="1" x14ac:dyDescent="0.25">
      <c r="A69" s="233">
        <v>65</v>
      </c>
      <c r="B69" s="281">
        <v>1826110780</v>
      </c>
      <c r="C69" s="452" t="s">
        <v>476</v>
      </c>
      <c r="D69" s="453">
        <v>33</v>
      </c>
      <c r="E69" s="465">
        <v>150</v>
      </c>
      <c r="F69" s="466">
        <v>85</v>
      </c>
      <c r="G69" s="453">
        <v>143</v>
      </c>
      <c r="H69" s="453">
        <v>143</v>
      </c>
    </row>
    <row r="70" spans="1:8" s="40" customFormat="1" ht="13.95" customHeight="1" x14ac:dyDescent="0.25">
      <c r="A70" s="233">
        <v>66</v>
      </c>
      <c r="B70" s="474">
        <v>1826420780</v>
      </c>
      <c r="C70" s="470" t="s">
        <v>518</v>
      </c>
      <c r="D70" s="453">
        <v>71</v>
      </c>
      <c r="E70" s="465">
        <v>88</v>
      </c>
      <c r="F70" s="466">
        <v>35</v>
      </c>
      <c r="G70" s="453">
        <v>88</v>
      </c>
      <c r="H70" s="453">
        <v>88</v>
      </c>
    </row>
    <row r="71" spans="1:8" s="40" customFormat="1" x14ac:dyDescent="0.25">
      <c r="A71" s="233">
        <v>67</v>
      </c>
      <c r="B71" s="233">
        <v>1827000780</v>
      </c>
      <c r="C71" s="452" t="s">
        <v>607</v>
      </c>
      <c r="D71" s="454">
        <v>481</v>
      </c>
      <c r="E71" s="465">
        <v>500</v>
      </c>
      <c r="F71" s="466">
        <v>368</v>
      </c>
      <c r="G71" s="453">
        <f>475-2+4</f>
        <v>477</v>
      </c>
      <c r="H71" s="453">
        <v>477</v>
      </c>
    </row>
    <row r="72" spans="1:8" s="40" customFormat="1" x14ac:dyDescent="0.25">
      <c r="A72" s="233">
        <v>68</v>
      </c>
      <c r="B72" s="233">
        <v>1827100780</v>
      </c>
      <c r="C72" s="452" t="s">
        <v>616</v>
      </c>
      <c r="D72" s="454">
        <v>94</v>
      </c>
      <c r="E72" s="465">
        <v>100</v>
      </c>
      <c r="F72" s="466">
        <v>80</v>
      </c>
      <c r="G72" s="453">
        <f>95+1</f>
        <v>96</v>
      </c>
      <c r="H72" s="453">
        <v>96</v>
      </c>
    </row>
    <row r="73" spans="1:8" s="40" customFormat="1" x14ac:dyDescent="0.25">
      <c r="A73" s="233">
        <v>69</v>
      </c>
      <c r="B73" s="233">
        <v>1827110780</v>
      </c>
      <c r="C73" s="450" t="s">
        <v>1118</v>
      </c>
      <c r="D73" s="454">
        <v>0</v>
      </c>
      <c r="E73" s="465">
        <v>95</v>
      </c>
      <c r="F73" s="466">
        <v>47</v>
      </c>
      <c r="G73" s="453">
        <f>95+72</f>
        <v>167</v>
      </c>
      <c r="H73" s="453">
        <v>30</v>
      </c>
    </row>
    <row r="74" spans="1:8" s="40" customFormat="1" x14ac:dyDescent="0.25">
      <c r="A74" s="233">
        <v>70</v>
      </c>
      <c r="B74" s="233">
        <v>1827200780</v>
      </c>
      <c r="C74" s="452" t="s">
        <v>1010</v>
      </c>
      <c r="D74" s="454">
        <v>200</v>
      </c>
      <c r="E74" s="465">
        <v>200</v>
      </c>
      <c r="F74" s="466">
        <v>184</v>
      </c>
      <c r="G74" s="453">
        <v>190</v>
      </c>
      <c r="H74" s="453">
        <v>190</v>
      </c>
    </row>
    <row r="75" spans="1:8" s="40" customFormat="1" x14ac:dyDescent="0.25">
      <c r="A75" s="233">
        <v>71</v>
      </c>
      <c r="B75" s="233">
        <v>1827400780</v>
      </c>
      <c r="C75" s="452" t="s">
        <v>519</v>
      </c>
      <c r="D75" s="453">
        <v>10</v>
      </c>
      <c r="E75" s="465">
        <f>10+10</f>
        <v>20</v>
      </c>
      <c r="F75" s="453">
        <v>0</v>
      </c>
      <c r="G75" s="453">
        <v>0</v>
      </c>
      <c r="H75" s="453">
        <v>10</v>
      </c>
    </row>
    <row r="76" spans="1:8" s="40" customFormat="1" x14ac:dyDescent="0.25">
      <c r="A76" s="233">
        <v>72</v>
      </c>
      <c r="B76" s="281">
        <v>1828000780</v>
      </c>
      <c r="C76" s="452" t="s">
        <v>478</v>
      </c>
      <c r="D76" s="453">
        <v>99</v>
      </c>
      <c r="E76" s="465">
        <v>110</v>
      </c>
      <c r="F76" s="466">
        <v>94</v>
      </c>
      <c r="G76" s="466">
        <v>105</v>
      </c>
      <c r="H76" s="466">
        <v>105</v>
      </c>
    </row>
    <row r="77" spans="1:8" s="40" customFormat="1" x14ac:dyDescent="0.25">
      <c r="A77" s="233">
        <v>73</v>
      </c>
      <c r="B77" s="281">
        <v>1828100780</v>
      </c>
      <c r="C77" s="452" t="s">
        <v>479</v>
      </c>
      <c r="D77" s="453">
        <v>315</v>
      </c>
      <c r="E77" s="465">
        <v>330</v>
      </c>
      <c r="F77" s="466">
        <v>91</v>
      </c>
      <c r="G77" s="453">
        <f>314-75+3</f>
        <v>242</v>
      </c>
      <c r="H77" s="453">
        <v>242</v>
      </c>
    </row>
    <row r="78" spans="1:8" s="40" customFormat="1" x14ac:dyDescent="0.25">
      <c r="A78" s="233">
        <v>74</v>
      </c>
      <c r="B78" s="281">
        <v>1828110780</v>
      </c>
      <c r="C78" s="452" t="s">
        <v>1160</v>
      </c>
      <c r="D78" s="453">
        <v>0</v>
      </c>
      <c r="E78" s="465">
        <v>0</v>
      </c>
      <c r="F78" s="466">
        <v>0</v>
      </c>
      <c r="G78" s="453">
        <v>98</v>
      </c>
      <c r="H78" s="453">
        <v>30</v>
      </c>
    </row>
    <row r="79" spans="1:8" s="40" customFormat="1" x14ac:dyDescent="0.25">
      <c r="A79" s="233">
        <v>75</v>
      </c>
      <c r="B79" s="281">
        <v>1828120780</v>
      </c>
      <c r="C79" s="452" t="s">
        <v>325</v>
      </c>
      <c r="D79" s="453">
        <v>223</v>
      </c>
      <c r="E79" s="465">
        <v>200</v>
      </c>
      <c r="F79" s="466">
        <v>18</v>
      </c>
      <c r="G79" s="466">
        <f>190-38</f>
        <v>152</v>
      </c>
      <c r="H79" s="466">
        <v>152</v>
      </c>
    </row>
    <row r="80" spans="1:8" s="40" customFormat="1" x14ac:dyDescent="0.25">
      <c r="A80" s="233">
        <v>76</v>
      </c>
      <c r="B80" s="281">
        <v>1828200780</v>
      </c>
      <c r="C80" s="452" t="s">
        <v>1139</v>
      </c>
      <c r="D80" s="453">
        <v>144</v>
      </c>
      <c r="E80" s="465">
        <v>115</v>
      </c>
      <c r="F80" s="466">
        <v>40</v>
      </c>
      <c r="G80" s="453">
        <v>114</v>
      </c>
      <c r="H80" s="453">
        <v>50</v>
      </c>
    </row>
    <row r="81" spans="1:8" s="40" customFormat="1" x14ac:dyDescent="0.25">
      <c r="A81" s="233">
        <v>77</v>
      </c>
      <c r="B81" s="281">
        <v>1860000780</v>
      </c>
      <c r="C81" s="476" t="s">
        <v>603</v>
      </c>
      <c r="D81" s="453">
        <v>97</v>
      </c>
      <c r="E81" s="465">
        <v>110</v>
      </c>
      <c r="F81" s="466">
        <v>32</v>
      </c>
      <c r="G81" s="466">
        <v>105</v>
      </c>
      <c r="H81" s="466">
        <v>105</v>
      </c>
    </row>
    <row r="82" spans="1:8" s="40" customFormat="1" x14ac:dyDescent="0.25">
      <c r="A82" s="233">
        <v>78</v>
      </c>
      <c r="B82" s="281">
        <v>1913000780</v>
      </c>
      <c r="C82" s="452" t="s">
        <v>375</v>
      </c>
      <c r="D82" s="453">
        <v>2</v>
      </c>
      <c r="E82" s="465">
        <v>2</v>
      </c>
      <c r="F82" s="453">
        <v>0</v>
      </c>
      <c r="G82" s="453">
        <v>2</v>
      </c>
      <c r="H82" s="453">
        <v>2</v>
      </c>
    </row>
    <row r="83" spans="1:8" s="40" customFormat="1" x14ac:dyDescent="0.25">
      <c r="A83" s="233">
        <v>79</v>
      </c>
      <c r="B83" s="281">
        <v>1913100780</v>
      </c>
      <c r="C83" s="452" t="s">
        <v>1021</v>
      </c>
      <c r="D83" s="453">
        <v>0</v>
      </c>
      <c r="E83" s="465">
        <v>2</v>
      </c>
      <c r="F83" s="466">
        <v>1</v>
      </c>
      <c r="G83" s="453">
        <v>2</v>
      </c>
      <c r="H83" s="453">
        <v>2</v>
      </c>
    </row>
    <row r="84" spans="1:8" s="40" customFormat="1" x14ac:dyDescent="0.25">
      <c r="A84" s="233">
        <v>80</v>
      </c>
      <c r="B84" s="281">
        <v>1933000780</v>
      </c>
      <c r="C84" s="452" t="s">
        <v>520</v>
      </c>
      <c r="D84" s="453">
        <v>59</v>
      </c>
      <c r="E84" s="465">
        <v>60</v>
      </c>
      <c r="F84" s="466">
        <v>55</v>
      </c>
      <c r="G84" s="453">
        <f>57+2</f>
        <v>59</v>
      </c>
      <c r="H84" s="453">
        <v>60</v>
      </c>
    </row>
    <row r="85" spans="1:8" s="40" customFormat="1" x14ac:dyDescent="0.25">
      <c r="A85" s="233">
        <v>81</v>
      </c>
      <c r="B85" s="233">
        <v>1933100780</v>
      </c>
      <c r="C85" s="476" t="s">
        <v>521</v>
      </c>
      <c r="D85" s="453">
        <v>11</v>
      </c>
      <c r="E85" s="465">
        <v>12</v>
      </c>
      <c r="F85" s="466">
        <v>6</v>
      </c>
      <c r="G85" s="453">
        <v>12</v>
      </c>
      <c r="H85" s="453">
        <v>12</v>
      </c>
    </row>
    <row r="86" spans="1:8" s="40" customFormat="1" x14ac:dyDescent="0.25">
      <c r="A86" s="233">
        <v>82</v>
      </c>
      <c r="B86" s="281">
        <v>1933200780</v>
      </c>
      <c r="C86" s="452" t="s">
        <v>1247</v>
      </c>
      <c r="D86" s="453">
        <v>34</v>
      </c>
      <c r="E86" s="465">
        <v>112</v>
      </c>
      <c r="F86" s="466">
        <v>7</v>
      </c>
      <c r="G86" s="453">
        <v>50</v>
      </c>
      <c r="H86" s="453">
        <v>50</v>
      </c>
    </row>
    <row r="87" spans="1:8" s="40" customFormat="1" x14ac:dyDescent="0.25">
      <c r="A87" s="233">
        <v>83</v>
      </c>
      <c r="B87" s="281">
        <v>1933300780</v>
      </c>
      <c r="C87" s="452" t="s">
        <v>377</v>
      </c>
      <c r="D87" s="453">
        <v>11</v>
      </c>
      <c r="E87" s="465">
        <v>14</v>
      </c>
      <c r="F87" s="466">
        <v>6</v>
      </c>
      <c r="G87" s="453">
        <v>14</v>
      </c>
      <c r="H87" s="453">
        <v>14</v>
      </c>
    </row>
    <row r="88" spans="1:8" s="40" customFormat="1" x14ac:dyDescent="0.25">
      <c r="A88" s="233">
        <v>84</v>
      </c>
      <c r="B88" s="281">
        <v>1933500780</v>
      </c>
      <c r="C88" s="452" t="s">
        <v>924</v>
      </c>
      <c r="D88" s="453">
        <v>1</v>
      </c>
      <c r="E88" s="465">
        <v>2</v>
      </c>
      <c r="F88" s="466">
        <v>0</v>
      </c>
      <c r="G88" s="453">
        <v>2</v>
      </c>
      <c r="H88" s="453">
        <v>2</v>
      </c>
    </row>
    <row r="89" spans="1:8" s="40" customFormat="1" x14ac:dyDescent="0.25">
      <c r="A89" s="233">
        <v>85</v>
      </c>
      <c r="B89" s="281">
        <v>1933600780</v>
      </c>
      <c r="C89" s="452" t="s">
        <v>925</v>
      </c>
      <c r="D89" s="453">
        <v>15</v>
      </c>
      <c r="E89" s="465">
        <v>93.6</v>
      </c>
      <c r="F89" s="466">
        <v>84</v>
      </c>
      <c r="G89" s="453">
        <v>84</v>
      </c>
      <c r="H89" s="453">
        <v>0</v>
      </c>
    </row>
    <row r="90" spans="1:8" s="40" customFormat="1" x14ac:dyDescent="0.25">
      <c r="A90" s="233">
        <v>86</v>
      </c>
      <c r="B90" s="281">
        <v>1943000780</v>
      </c>
      <c r="C90" s="452" t="s">
        <v>384</v>
      </c>
      <c r="D90" s="453">
        <v>101</v>
      </c>
      <c r="E90" s="465">
        <v>150</v>
      </c>
      <c r="F90" s="466">
        <v>46</v>
      </c>
      <c r="G90" s="453">
        <v>80</v>
      </c>
      <c r="H90" s="453">
        <v>80</v>
      </c>
    </row>
    <row r="91" spans="1:8" s="40" customFormat="1" x14ac:dyDescent="0.25">
      <c r="A91" s="233">
        <v>87</v>
      </c>
      <c r="B91" s="281">
        <v>1943100780</v>
      </c>
      <c r="C91" s="452" t="s">
        <v>385</v>
      </c>
      <c r="D91" s="453">
        <v>9</v>
      </c>
      <c r="E91" s="465">
        <v>10</v>
      </c>
      <c r="F91" s="466">
        <v>12</v>
      </c>
      <c r="G91" s="453">
        <f>10+7</f>
        <v>17</v>
      </c>
      <c r="H91" s="453">
        <v>17</v>
      </c>
    </row>
    <row r="92" spans="1:8" s="40" customFormat="1" x14ac:dyDescent="0.25">
      <c r="A92" s="233">
        <v>88</v>
      </c>
      <c r="B92" s="281">
        <v>1943200780</v>
      </c>
      <c r="C92" s="170" t="s">
        <v>386</v>
      </c>
      <c r="D92" s="137">
        <v>0</v>
      </c>
      <c r="E92" s="171">
        <v>2</v>
      </c>
      <c r="F92" s="160">
        <v>1</v>
      </c>
      <c r="G92" s="137">
        <v>2</v>
      </c>
      <c r="H92" s="137">
        <v>2</v>
      </c>
    </row>
    <row r="93" spans="1:8" x14ac:dyDescent="0.25">
      <c r="A93" s="101"/>
      <c r="B93" s="568" t="s">
        <v>433</v>
      </c>
      <c r="C93" s="548"/>
      <c r="D93" s="143">
        <f>SUM(D5:D92)</f>
        <v>10810</v>
      </c>
      <c r="E93" s="143">
        <f>SUM(E5:E92)</f>
        <v>13261.6</v>
      </c>
      <c r="F93" s="143">
        <f>SUM(F5:F92)</f>
        <v>8459</v>
      </c>
      <c r="G93" s="143">
        <f>SUM(G5:G92)</f>
        <v>14292.5</v>
      </c>
      <c r="H93" s="143">
        <f>SUM(H5:H92)</f>
        <v>13773</v>
      </c>
    </row>
    <row r="104" spans="7:7" ht="17.399999999999999" x14ac:dyDescent="0.3">
      <c r="G104" s="33"/>
    </row>
  </sheetData>
  <sheetProtection algorithmName="SHA-512" hashValue="Q6TsrHCQQaEXPi6umbKxCrYZ4J1/sd8HLhluYg0Yopawvh0VjpNdntGFtdEwt+xdzlS/HTaGXTUvMybgT4eWbw==" saltValue="xiGTZ5ZT6tRLSRoK74btoA==" spinCount="100000" sheet="1" objects="1" scenarios="1"/>
  <sortState xmlns:xlrd2="http://schemas.microsoft.com/office/spreadsheetml/2017/richdata2" ref="B5:G91">
    <sortCondition ref="B5:B91"/>
  </sortState>
  <mergeCells count="2">
    <mergeCell ref="B93:C93"/>
    <mergeCell ref="C2:H2"/>
  </mergeCells>
  <pageMargins left="0.15748031496062992" right="0.31496062992125984" top="0.74803149606299213" bottom="0.51181102362204722" header="0.31496062992125984" footer="0.31496062992125984"/>
  <pageSetup paperSize="9" scale="69" firstPageNumber="29" orientation="portrait" useFirstPageNumber="1" r:id="rId1"/>
  <headerFooter>
    <oddFooter>עמוד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J107"/>
  <sheetViews>
    <sheetView rightToLeft="1" topLeftCell="C1" zoomScale="110" zoomScaleNormal="110" zoomScaleSheetLayoutView="82" workbookViewId="0">
      <pane ySplit="4" topLeftCell="A87" activePane="bottomLeft" state="frozen"/>
      <selection activeCell="C1" sqref="C1"/>
      <selection pane="bottomLeft" activeCell="E36" sqref="E36"/>
    </sheetView>
  </sheetViews>
  <sheetFormatPr defaultRowHeight="13.8" x14ac:dyDescent="0.25"/>
  <cols>
    <col min="1" max="2" width="8.59765625" hidden="1" customWidth="1"/>
    <col min="3" max="3" width="4.8984375" customWidth="1"/>
    <col min="4" max="4" width="12.59765625" customWidth="1"/>
    <col min="5" max="5" width="33.19921875" style="27" customWidth="1"/>
    <col min="6" max="6" width="9.8984375" customWidth="1"/>
    <col min="7" max="7" width="13.3984375" customWidth="1"/>
    <col min="8" max="8" width="14.09765625" customWidth="1"/>
    <col min="9" max="9" width="13" customWidth="1"/>
    <col min="10" max="10" width="14.19921875" customWidth="1"/>
    <col min="12" max="12" width="12.69921875" customWidth="1"/>
  </cols>
  <sheetData>
    <row r="2" spans="3:10" ht="24" customHeight="1" x14ac:dyDescent="0.25">
      <c r="D2" s="9">
        <v>782</v>
      </c>
      <c r="E2" s="580" t="s">
        <v>471</v>
      </c>
      <c r="F2" s="580"/>
      <c r="G2" s="580"/>
      <c r="H2" s="580"/>
      <c r="I2" s="580"/>
      <c r="J2" s="580"/>
    </row>
    <row r="4" spans="3:10" s="177" customFormat="1" ht="48.75" customHeight="1" x14ac:dyDescent="0.25">
      <c r="C4" s="176" t="s">
        <v>623</v>
      </c>
      <c r="D4" s="176" t="s">
        <v>0</v>
      </c>
      <c r="E4" s="164" t="s">
        <v>1</v>
      </c>
      <c r="F4" s="165" t="s">
        <v>1250</v>
      </c>
      <c r="G4" s="165" t="s">
        <v>1051</v>
      </c>
      <c r="H4" s="165" t="s">
        <v>1059</v>
      </c>
      <c r="I4" s="165" t="s">
        <v>1060</v>
      </c>
      <c r="J4" s="165" t="s">
        <v>1058</v>
      </c>
    </row>
    <row r="5" spans="3:10" ht="18" customHeight="1" x14ac:dyDescent="0.25">
      <c r="C5" s="4">
        <v>1</v>
      </c>
      <c r="D5" s="4">
        <v>1611000782</v>
      </c>
      <c r="E5" s="22" t="s">
        <v>523</v>
      </c>
      <c r="F5" s="90">
        <v>8</v>
      </c>
      <c r="G5" s="90">
        <v>6</v>
      </c>
      <c r="H5" s="99">
        <v>7</v>
      </c>
      <c r="I5" s="29">
        <v>8</v>
      </c>
      <c r="J5" s="4">
        <v>8</v>
      </c>
    </row>
    <row r="6" spans="3:10" ht="18" customHeight="1" x14ac:dyDescent="0.25">
      <c r="C6" s="4">
        <v>2</v>
      </c>
      <c r="D6" s="4">
        <v>1611200782</v>
      </c>
      <c r="E6" s="22" t="s">
        <v>522</v>
      </c>
      <c r="F6" s="90">
        <v>37</v>
      </c>
      <c r="G6" s="90">
        <v>55</v>
      </c>
      <c r="H6" s="99">
        <v>22</v>
      </c>
      <c r="I6" s="29">
        <v>35</v>
      </c>
      <c r="J6" s="4">
        <v>35</v>
      </c>
    </row>
    <row r="7" spans="3:10" ht="18" customHeight="1" x14ac:dyDescent="0.25">
      <c r="C7" s="4">
        <v>3</v>
      </c>
      <c r="D7" s="4">
        <v>1611300782</v>
      </c>
      <c r="E7" s="22" t="s">
        <v>1040</v>
      </c>
      <c r="F7" s="90">
        <v>2</v>
      </c>
      <c r="G7" s="90">
        <v>5</v>
      </c>
      <c r="H7" s="99">
        <v>3</v>
      </c>
      <c r="I7" s="29">
        <v>5</v>
      </c>
      <c r="J7" s="4">
        <v>5</v>
      </c>
    </row>
    <row r="8" spans="3:10" ht="18" customHeight="1" x14ac:dyDescent="0.25">
      <c r="C8" s="4">
        <v>4</v>
      </c>
      <c r="D8" s="4">
        <v>1611400782</v>
      </c>
      <c r="E8" s="22" t="s">
        <v>166</v>
      </c>
      <c r="F8" s="90">
        <v>3</v>
      </c>
      <c r="G8" s="90">
        <v>5</v>
      </c>
      <c r="H8" s="99">
        <v>4</v>
      </c>
      <c r="I8" s="29">
        <v>5</v>
      </c>
      <c r="J8" s="4">
        <v>5</v>
      </c>
    </row>
    <row r="9" spans="3:10" ht="18" customHeight="1" x14ac:dyDescent="0.25">
      <c r="C9" s="4">
        <v>5</v>
      </c>
      <c r="D9" s="4">
        <v>1611500782</v>
      </c>
      <c r="E9" s="22" t="s">
        <v>524</v>
      </c>
      <c r="F9" s="90">
        <v>3</v>
      </c>
      <c r="G9" s="90">
        <v>10</v>
      </c>
      <c r="H9" s="99">
        <v>6</v>
      </c>
      <c r="I9" s="29">
        <v>10</v>
      </c>
      <c r="J9" s="4">
        <v>10</v>
      </c>
    </row>
    <row r="10" spans="3:10" ht="18" customHeight="1" x14ac:dyDescent="0.25">
      <c r="C10" s="4">
        <v>6</v>
      </c>
      <c r="D10" s="4">
        <v>1611510782</v>
      </c>
      <c r="E10" s="22" t="s">
        <v>167</v>
      </c>
      <c r="F10" s="90">
        <v>1</v>
      </c>
      <c r="G10" s="90">
        <v>3</v>
      </c>
      <c r="H10" s="99">
        <v>1</v>
      </c>
      <c r="I10" s="29">
        <v>3</v>
      </c>
      <c r="J10" s="4">
        <v>3</v>
      </c>
    </row>
    <row r="11" spans="3:10" ht="18" customHeight="1" x14ac:dyDescent="0.25">
      <c r="C11" s="4">
        <v>7</v>
      </c>
      <c r="D11" s="4">
        <v>1611520782</v>
      </c>
      <c r="E11" s="22" t="s">
        <v>1056</v>
      </c>
      <c r="F11" s="90">
        <v>0</v>
      </c>
      <c r="G11" s="90">
        <v>35</v>
      </c>
      <c r="H11" s="99">
        <v>26</v>
      </c>
      <c r="I11" s="29">
        <v>30</v>
      </c>
      <c r="J11" s="4">
        <v>30</v>
      </c>
    </row>
    <row r="12" spans="3:10" ht="18" customHeight="1" x14ac:dyDescent="0.25">
      <c r="C12" s="4">
        <v>9</v>
      </c>
      <c r="D12" s="4">
        <v>1612000782</v>
      </c>
      <c r="E12" s="22" t="s">
        <v>526</v>
      </c>
      <c r="F12" s="90">
        <v>2</v>
      </c>
      <c r="G12" s="90">
        <f>5+2</f>
        <v>7</v>
      </c>
      <c r="H12" s="99">
        <v>3</v>
      </c>
      <c r="I12" s="29">
        <v>5</v>
      </c>
      <c r="J12" s="4">
        <v>5</v>
      </c>
    </row>
    <row r="13" spans="3:10" ht="18" customHeight="1" x14ac:dyDescent="0.25">
      <c r="C13" s="4">
        <v>10</v>
      </c>
      <c r="D13" s="4">
        <v>1612100782</v>
      </c>
      <c r="E13" s="22" t="s">
        <v>172</v>
      </c>
      <c r="F13" s="90">
        <v>1</v>
      </c>
      <c r="G13" s="90">
        <v>1</v>
      </c>
      <c r="H13" s="99">
        <v>0</v>
      </c>
      <c r="I13" s="29">
        <v>1</v>
      </c>
      <c r="J13" s="4">
        <v>1</v>
      </c>
    </row>
    <row r="14" spans="3:10" ht="18" customHeight="1" x14ac:dyDescent="0.25">
      <c r="C14" s="4">
        <v>11</v>
      </c>
      <c r="D14" s="4">
        <v>1613000782</v>
      </c>
      <c r="E14" s="22" t="s">
        <v>527</v>
      </c>
      <c r="F14" s="90">
        <f>106+1</f>
        <v>107</v>
      </c>
      <c r="G14" s="90">
        <f>130+1</f>
        <v>131</v>
      </c>
      <c r="H14" s="99">
        <v>29</v>
      </c>
      <c r="I14" s="29">
        <v>130</v>
      </c>
      <c r="J14" s="4">
        <v>130</v>
      </c>
    </row>
    <row r="15" spans="3:10" ht="18" customHeight="1" x14ac:dyDescent="0.25">
      <c r="C15" s="4">
        <v>13</v>
      </c>
      <c r="D15" s="4">
        <v>1613200782</v>
      </c>
      <c r="E15" s="22" t="s">
        <v>529</v>
      </c>
      <c r="F15" s="90">
        <v>31</v>
      </c>
      <c r="G15" s="90">
        <v>50</v>
      </c>
      <c r="H15" s="99">
        <v>22</v>
      </c>
      <c r="I15" s="29">
        <v>50</v>
      </c>
      <c r="J15" s="4">
        <v>50</v>
      </c>
    </row>
    <row r="16" spans="3:10" ht="18" customHeight="1" x14ac:dyDescent="0.25">
      <c r="C16" s="4">
        <v>14</v>
      </c>
      <c r="D16" s="4">
        <v>1613300782</v>
      </c>
      <c r="E16" s="22" t="s">
        <v>530</v>
      </c>
      <c r="F16" s="90">
        <v>29</v>
      </c>
      <c r="G16" s="90">
        <v>50</v>
      </c>
      <c r="H16" s="99">
        <v>17</v>
      </c>
      <c r="I16" s="282">
        <f>47-20</f>
        <v>27</v>
      </c>
      <c r="J16" s="4">
        <v>20</v>
      </c>
    </row>
    <row r="17" spans="3:10" ht="18" customHeight="1" x14ac:dyDescent="0.25">
      <c r="C17" s="4">
        <v>15</v>
      </c>
      <c r="D17" s="4">
        <v>1613400782</v>
      </c>
      <c r="E17" s="22" t="s">
        <v>531</v>
      </c>
      <c r="F17" s="90">
        <v>11</v>
      </c>
      <c r="G17" s="90">
        <v>15</v>
      </c>
      <c r="H17" s="99">
        <v>0</v>
      </c>
      <c r="I17" s="29">
        <v>5</v>
      </c>
      <c r="J17" s="4">
        <v>5</v>
      </c>
    </row>
    <row r="18" spans="3:10" ht="18" customHeight="1" x14ac:dyDescent="0.25">
      <c r="C18" s="4">
        <v>16</v>
      </c>
      <c r="D18" s="4">
        <v>1613500782</v>
      </c>
      <c r="E18" s="22" t="s">
        <v>532</v>
      </c>
      <c r="F18" s="90">
        <v>17</v>
      </c>
      <c r="G18" s="90">
        <v>10</v>
      </c>
      <c r="H18" s="99">
        <v>3</v>
      </c>
      <c r="I18" s="29">
        <v>10</v>
      </c>
      <c r="J18" s="4">
        <v>10</v>
      </c>
    </row>
    <row r="19" spans="3:10" ht="18" customHeight="1" x14ac:dyDescent="0.25">
      <c r="C19" s="4">
        <v>17</v>
      </c>
      <c r="D19" s="4">
        <v>1613600782</v>
      </c>
      <c r="E19" s="22" t="s">
        <v>533</v>
      </c>
      <c r="F19" s="90">
        <v>7</v>
      </c>
      <c r="G19" s="90">
        <v>10</v>
      </c>
      <c r="H19" s="99">
        <v>10</v>
      </c>
      <c r="I19" s="29">
        <v>10</v>
      </c>
      <c r="J19" s="4">
        <v>10</v>
      </c>
    </row>
    <row r="20" spans="3:10" ht="18" customHeight="1" x14ac:dyDescent="0.25">
      <c r="C20" s="4">
        <v>19</v>
      </c>
      <c r="D20" s="4">
        <v>1613900782</v>
      </c>
      <c r="E20" s="22" t="s">
        <v>182</v>
      </c>
      <c r="F20" s="90">
        <v>6</v>
      </c>
      <c r="G20" s="90">
        <v>10</v>
      </c>
      <c r="H20" s="99">
        <v>3</v>
      </c>
      <c r="I20" s="107">
        <v>10</v>
      </c>
      <c r="J20" s="4">
        <v>10</v>
      </c>
    </row>
    <row r="21" spans="3:10" ht="18" customHeight="1" x14ac:dyDescent="0.25">
      <c r="C21" s="4">
        <v>20</v>
      </c>
      <c r="D21" s="4">
        <v>1613910782</v>
      </c>
      <c r="E21" s="22" t="s">
        <v>183</v>
      </c>
      <c r="F21" s="90">
        <v>2</v>
      </c>
      <c r="G21" s="90">
        <v>4</v>
      </c>
      <c r="H21" s="99">
        <v>2</v>
      </c>
      <c r="I21" s="29">
        <v>4</v>
      </c>
      <c r="J21" s="4">
        <v>4</v>
      </c>
    </row>
    <row r="22" spans="3:10" ht="18" customHeight="1" x14ac:dyDescent="0.25">
      <c r="C22" s="4">
        <v>21</v>
      </c>
      <c r="D22" s="4">
        <v>1613920782</v>
      </c>
      <c r="E22" s="22" t="s">
        <v>1030</v>
      </c>
      <c r="F22" s="90">
        <v>0</v>
      </c>
      <c r="G22" s="90">
        <v>10</v>
      </c>
      <c r="H22" s="99">
        <v>9</v>
      </c>
      <c r="I22" s="29">
        <v>12</v>
      </c>
      <c r="J22" s="4">
        <v>12</v>
      </c>
    </row>
    <row r="23" spans="3:10" s="40" customFormat="1" ht="15.6" customHeight="1" x14ac:dyDescent="0.25">
      <c r="C23" s="233">
        <v>22</v>
      </c>
      <c r="D23" s="233">
        <v>1617000782</v>
      </c>
      <c r="E23" s="452" t="s">
        <v>191</v>
      </c>
      <c r="F23" s="243">
        <v>968</v>
      </c>
      <c r="G23" s="243">
        <v>650</v>
      </c>
      <c r="H23" s="160">
        <v>745</v>
      </c>
      <c r="I23" s="160">
        <v>1000</v>
      </c>
      <c r="J23" s="450">
        <v>500</v>
      </c>
    </row>
    <row r="24" spans="3:10" ht="18" customHeight="1" x14ac:dyDescent="0.25">
      <c r="C24" s="4">
        <v>23</v>
      </c>
      <c r="D24" s="4">
        <v>1621000782</v>
      </c>
      <c r="E24" s="22" t="s">
        <v>534</v>
      </c>
      <c r="F24" s="90">
        <v>18</v>
      </c>
      <c r="G24" s="90">
        <v>35</v>
      </c>
      <c r="H24" s="99">
        <v>11</v>
      </c>
      <c r="I24" s="29">
        <v>35</v>
      </c>
      <c r="J24" s="4">
        <v>35</v>
      </c>
    </row>
    <row r="25" spans="3:10" ht="18" customHeight="1" x14ac:dyDescent="0.25">
      <c r="C25" s="4">
        <v>24</v>
      </c>
      <c r="D25" s="4">
        <v>1621100782</v>
      </c>
      <c r="E25" s="22" t="s">
        <v>535</v>
      </c>
      <c r="F25" s="90">
        <v>1</v>
      </c>
      <c r="G25" s="90">
        <v>1</v>
      </c>
      <c r="H25" s="99">
        <v>3</v>
      </c>
      <c r="I25" s="29">
        <v>3</v>
      </c>
      <c r="J25" s="4">
        <v>3</v>
      </c>
    </row>
    <row r="26" spans="3:10" ht="18" customHeight="1" x14ac:dyDescent="0.25">
      <c r="C26" s="4">
        <v>27</v>
      </c>
      <c r="D26" s="4">
        <v>1621300782</v>
      </c>
      <c r="E26" s="22" t="s">
        <v>601</v>
      </c>
      <c r="F26" s="90">
        <v>9</v>
      </c>
      <c r="G26" s="90">
        <v>9</v>
      </c>
      <c r="H26" s="99">
        <v>7</v>
      </c>
      <c r="I26" s="29">
        <v>9</v>
      </c>
      <c r="J26" s="4">
        <v>9</v>
      </c>
    </row>
    <row r="27" spans="3:10" ht="18" customHeight="1" x14ac:dyDescent="0.25">
      <c r="C27" s="4">
        <v>28</v>
      </c>
      <c r="D27" s="4">
        <v>1623000782</v>
      </c>
      <c r="E27" s="22" t="s">
        <v>536</v>
      </c>
      <c r="F27" s="90">
        <v>0</v>
      </c>
      <c r="G27" s="90">
        <v>2</v>
      </c>
      <c r="H27" s="99">
        <v>1</v>
      </c>
      <c r="I27" s="29">
        <v>2</v>
      </c>
      <c r="J27" s="4">
        <v>2</v>
      </c>
    </row>
    <row r="28" spans="3:10" ht="18" customHeight="1" x14ac:dyDescent="0.25">
      <c r="C28" s="4">
        <v>29</v>
      </c>
      <c r="D28" s="4">
        <v>1623100782</v>
      </c>
      <c r="E28" s="22" t="s">
        <v>1214</v>
      </c>
      <c r="F28" s="90">
        <v>81</v>
      </c>
      <c r="G28" s="90">
        <v>70</v>
      </c>
      <c r="H28" s="99">
        <v>47</v>
      </c>
      <c r="I28" s="29">
        <v>70</v>
      </c>
      <c r="J28" s="4">
        <v>70</v>
      </c>
    </row>
    <row r="29" spans="3:10" ht="18" customHeight="1" x14ac:dyDescent="0.25">
      <c r="C29" s="4">
        <v>30</v>
      </c>
      <c r="D29" s="4">
        <v>1623110782</v>
      </c>
      <c r="E29" s="22" t="s">
        <v>871</v>
      </c>
      <c r="F29" s="90">
        <v>29</v>
      </c>
      <c r="G29" s="90">
        <v>25</v>
      </c>
      <c r="H29" s="99">
        <v>19</v>
      </c>
      <c r="I29" s="137">
        <v>25</v>
      </c>
      <c r="J29" s="233">
        <v>25</v>
      </c>
    </row>
    <row r="30" spans="3:10" ht="18" customHeight="1" x14ac:dyDescent="0.25">
      <c r="C30" s="4">
        <v>31</v>
      </c>
      <c r="D30" s="4">
        <v>1623200782</v>
      </c>
      <c r="E30" s="334" t="s">
        <v>1215</v>
      </c>
      <c r="F30" s="90">
        <v>6</v>
      </c>
      <c r="G30" s="490">
        <v>6</v>
      </c>
      <c r="H30" s="491">
        <v>4</v>
      </c>
      <c r="I30" s="333">
        <v>6</v>
      </c>
      <c r="J30" s="323">
        <v>6</v>
      </c>
    </row>
    <row r="31" spans="3:10" ht="18" customHeight="1" x14ac:dyDescent="0.25">
      <c r="C31" s="4">
        <v>32</v>
      </c>
      <c r="D31" s="4">
        <v>1623300782</v>
      </c>
      <c r="E31" s="334" t="s">
        <v>1216</v>
      </c>
      <c r="F31" s="90">
        <v>5</v>
      </c>
      <c r="G31" s="490">
        <v>4</v>
      </c>
      <c r="H31" s="491">
        <v>3</v>
      </c>
      <c r="I31" s="491">
        <f>3.8-0.76</f>
        <v>3.04</v>
      </c>
      <c r="J31" s="323">
        <v>3</v>
      </c>
    </row>
    <row r="32" spans="3:10" ht="18" customHeight="1" x14ac:dyDescent="0.25">
      <c r="C32" s="4">
        <v>33</v>
      </c>
      <c r="D32" s="4">
        <v>1623500782</v>
      </c>
      <c r="E32" s="150" t="s">
        <v>1252</v>
      </c>
      <c r="F32" s="90">
        <v>83</v>
      </c>
      <c r="G32" s="490">
        <v>100</v>
      </c>
      <c r="H32" s="491">
        <v>54</v>
      </c>
      <c r="I32" s="333">
        <v>120</v>
      </c>
      <c r="J32" s="323">
        <v>120</v>
      </c>
    </row>
    <row r="33" spans="3:10" ht="18" customHeight="1" x14ac:dyDescent="0.25">
      <c r="C33" s="4">
        <v>34</v>
      </c>
      <c r="D33" s="233">
        <v>1711000782</v>
      </c>
      <c r="E33" s="22" t="s">
        <v>539</v>
      </c>
      <c r="F33" s="90">
        <v>170</v>
      </c>
      <c r="G33" s="490">
        <v>240</v>
      </c>
      <c r="H33" s="491">
        <v>160</v>
      </c>
      <c r="I33" s="333">
        <f>228-3</f>
        <v>225</v>
      </c>
      <c r="J33" s="323">
        <v>225</v>
      </c>
    </row>
    <row r="34" spans="3:10" ht="18" customHeight="1" x14ac:dyDescent="0.25">
      <c r="C34" s="4">
        <v>35</v>
      </c>
      <c r="D34" s="4">
        <v>1711100782</v>
      </c>
      <c r="E34" s="22" t="s">
        <v>540</v>
      </c>
      <c r="F34" s="90">
        <v>9</v>
      </c>
      <c r="G34" s="490">
        <v>12</v>
      </c>
      <c r="H34" s="491">
        <v>6</v>
      </c>
      <c r="I34" s="333">
        <f>11-4</f>
        <v>7</v>
      </c>
      <c r="J34" s="323">
        <v>7</v>
      </c>
    </row>
    <row r="35" spans="3:10" ht="18" customHeight="1" x14ac:dyDescent="0.25">
      <c r="C35" s="4">
        <v>36</v>
      </c>
      <c r="D35" s="4">
        <v>1711400782</v>
      </c>
      <c r="E35" s="22" t="s">
        <v>1217</v>
      </c>
      <c r="F35" s="90">
        <v>0</v>
      </c>
      <c r="G35" s="490">
        <v>2</v>
      </c>
      <c r="H35" s="491">
        <v>0</v>
      </c>
      <c r="I35" s="333">
        <v>2</v>
      </c>
      <c r="J35" s="323">
        <v>2</v>
      </c>
    </row>
    <row r="36" spans="3:10" s="40" customFormat="1" ht="18" customHeight="1" x14ac:dyDescent="0.25">
      <c r="C36" s="233">
        <v>37</v>
      </c>
      <c r="D36" s="233">
        <v>1712400782</v>
      </c>
      <c r="E36" s="170" t="s">
        <v>541</v>
      </c>
      <c r="F36" s="243">
        <f>3082+17+2</f>
        <v>3101</v>
      </c>
      <c r="G36" s="454">
        <f>2130+10</f>
        <v>2140</v>
      </c>
      <c r="H36" s="466">
        <v>1359</v>
      </c>
      <c r="I36" s="453">
        <f>2600-260</f>
        <v>2340</v>
      </c>
      <c r="J36" s="450">
        <f>3133-260</f>
        <v>2873</v>
      </c>
    </row>
    <row r="37" spans="3:10" s="209" customFormat="1" ht="15.6" customHeight="1" x14ac:dyDescent="0.25">
      <c r="C37" s="256">
        <v>38</v>
      </c>
      <c r="D37" s="256">
        <v>1712410782</v>
      </c>
      <c r="E37" s="492" t="s">
        <v>544</v>
      </c>
      <c r="F37" s="448">
        <f>5886+3</f>
        <v>5889</v>
      </c>
      <c r="G37" s="459">
        <v>7000</v>
      </c>
      <c r="H37" s="408">
        <f>2539+30</f>
        <v>2569</v>
      </c>
      <c r="I37" s="493">
        <f>7144-412-1004</f>
        <v>5728</v>
      </c>
      <c r="J37" s="457">
        <f>7144-1004</f>
        <v>6140</v>
      </c>
    </row>
    <row r="38" spans="3:10" s="40" customFormat="1" ht="14.4" customHeight="1" x14ac:dyDescent="0.25">
      <c r="C38" s="233">
        <v>39</v>
      </c>
      <c r="D38" s="233">
        <v>1712411782</v>
      </c>
      <c r="E38" s="170" t="s">
        <v>1194</v>
      </c>
      <c r="F38" s="243">
        <v>0</v>
      </c>
      <c r="G38" s="454">
        <v>0</v>
      </c>
      <c r="H38" s="466">
        <v>0</v>
      </c>
      <c r="I38" s="453">
        <v>465</v>
      </c>
      <c r="J38" s="450">
        <v>1110</v>
      </c>
    </row>
    <row r="39" spans="3:10" ht="18" customHeight="1" x14ac:dyDescent="0.25">
      <c r="C39" s="4">
        <v>40</v>
      </c>
      <c r="D39" s="4">
        <v>1712420782</v>
      </c>
      <c r="E39" s="22" t="s">
        <v>1020</v>
      </c>
      <c r="F39" s="90">
        <v>0</v>
      </c>
      <c r="G39" s="90">
        <v>2</v>
      </c>
      <c r="H39" s="99">
        <v>0</v>
      </c>
      <c r="I39" s="29">
        <v>2</v>
      </c>
      <c r="J39" s="4">
        <v>2</v>
      </c>
    </row>
    <row r="40" spans="3:10" ht="18" customHeight="1" x14ac:dyDescent="0.25">
      <c r="C40" s="4">
        <v>41</v>
      </c>
      <c r="D40" s="4">
        <v>1721000782</v>
      </c>
      <c r="E40" s="22" t="s">
        <v>231</v>
      </c>
      <c r="F40" s="90">
        <v>2</v>
      </c>
      <c r="G40" s="90">
        <v>2</v>
      </c>
      <c r="H40" s="99">
        <v>0</v>
      </c>
      <c r="I40" s="29">
        <v>2</v>
      </c>
      <c r="J40" s="4">
        <v>2</v>
      </c>
    </row>
    <row r="41" spans="3:10" ht="18" customHeight="1" x14ac:dyDescent="0.25">
      <c r="C41" s="4">
        <v>42</v>
      </c>
      <c r="D41" s="4">
        <v>1721100782</v>
      </c>
      <c r="E41" s="22" t="s">
        <v>545</v>
      </c>
      <c r="F41" s="90">
        <v>9</v>
      </c>
      <c r="G41" s="90">
        <v>2</v>
      </c>
      <c r="H41" s="99">
        <v>3</v>
      </c>
      <c r="I41" s="29">
        <v>3</v>
      </c>
      <c r="J41" s="4">
        <v>2</v>
      </c>
    </row>
    <row r="42" spans="3:10" ht="18" customHeight="1" x14ac:dyDescent="0.25">
      <c r="C42" s="4">
        <v>43</v>
      </c>
      <c r="D42" s="4">
        <v>1721200782</v>
      </c>
      <c r="E42" s="22" t="s">
        <v>546</v>
      </c>
      <c r="F42" s="90">
        <v>2</v>
      </c>
      <c r="G42" s="90">
        <v>12</v>
      </c>
      <c r="H42" s="99">
        <v>1</v>
      </c>
      <c r="I42" s="29">
        <v>10</v>
      </c>
      <c r="J42" s="4">
        <v>10</v>
      </c>
    </row>
    <row r="43" spans="3:10" ht="18" customHeight="1" x14ac:dyDescent="0.25">
      <c r="C43" s="4">
        <v>44</v>
      </c>
      <c r="D43" s="4">
        <v>1721400782</v>
      </c>
      <c r="E43" s="170" t="s">
        <v>1210</v>
      </c>
      <c r="F43" s="90">
        <v>0</v>
      </c>
      <c r="G43" s="90">
        <v>0</v>
      </c>
      <c r="H43" s="99">
        <v>0</v>
      </c>
      <c r="I43" s="29">
        <v>0</v>
      </c>
      <c r="J43" s="4">
        <v>4</v>
      </c>
    </row>
    <row r="44" spans="3:10" ht="18" customHeight="1" x14ac:dyDescent="0.25">
      <c r="C44" s="4">
        <v>45</v>
      </c>
      <c r="D44" s="4">
        <v>1723000782</v>
      </c>
      <c r="E44" s="22" t="s">
        <v>234</v>
      </c>
      <c r="F44" s="90">
        <v>0</v>
      </c>
      <c r="G44" s="90">
        <v>3</v>
      </c>
      <c r="H44" s="131">
        <v>0</v>
      </c>
      <c r="I44" s="29">
        <v>3</v>
      </c>
      <c r="J44" s="4">
        <v>3</v>
      </c>
    </row>
    <row r="45" spans="3:10" ht="18" customHeight="1" x14ac:dyDescent="0.25">
      <c r="C45" s="4">
        <v>46</v>
      </c>
      <c r="D45" s="4">
        <v>1732000782</v>
      </c>
      <c r="E45" s="22" t="s">
        <v>1014</v>
      </c>
      <c r="F45" s="90">
        <v>29</v>
      </c>
      <c r="G45" s="90">
        <v>5</v>
      </c>
      <c r="H45" s="99">
        <v>3</v>
      </c>
      <c r="I45" s="99">
        <v>5</v>
      </c>
      <c r="J45" s="4">
        <v>5</v>
      </c>
    </row>
    <row r="46" spans="3:10" ht="18" customHeight="1" x14ac:dyDescent="0.25">
      <c r="C46" s="4">
        <v>47</v>
      </c>
      <c r="D46" s="4">
        <v>1746000782</v>
      </c>
      <c r="E46" s="170" t="s">
        <v>550</v>
      </c>
      <c r="F46" s="243">
        <v>10</v>
      </c>
      <c r="G46" s="243">
        <v>15</v>
      </c>
      <c r="H46" s="160">
        <v>-13</v>
      </c>
      <c r="I46" s="137">
        <v>-14</v>
      </c>
      <c r="J46" s="233">
        <v>-14</v>
      </c>
    </row>
    <row r="47" spans="3:10" ht="18" customHeight="1" x14ac:dyDescent="0.25">
      <c r="C47" s="4">
        <v>48</v>
      </c>
      <c r="D47" s="4">
        <v>1761000782</v>
      </c>
      <c r="E47" s="22" t="s">
        <v>260</v>
      </c>
      <c r="F47" s="90">
        <v>2</v>
      </c>
      <c r="G47" s="90">
        <v>3</v>
      </c>
      <c r="H47" s="99">
        <v>2</v>
      </c>
      <c r="I47" s="29">
        <v>3</v>
      </c>
      <c r="J47" s="4">
        <v>3</v>
      </c>
    </row>
    <row r="48" spans="3:10" ht="18" customHeight="1" x14ac:dyDescent="0.25">
      <c r="C48" s="4">
        <v>49</v>
      </c>
      <c r="D48" s="4">
        <v>1772000782</v>
      </c>
      <c r="E48" s="22" t="s">
        <v>1158</v>
      </c>
      <c r="F48" s="90">
        <v>0</v>
      </c>
      <c r="G48" s="90">
        <v>0</v>
      </c>
      <c r="H48" s="99">
        <v>30</v>
      </c>
      <c r="I48" s="29">
        <v>59</v>
      </c>
      <c r="J48" s="4">
        <v>59</v>
      </c>
    </row>
    <row r="49" spans="3:10" ht="18" customHeight="1" x14ac:dyDescent="0.25">
      <c r="C49" s="4">
        <v>52</v>
      </c>
      <c r="D49" s="4">
        <v>1811600782</v>
      </c>
      <c r="E49" s="22" t="s">
        <v>1213</v>
      </c>
      <c r="F49" s="90">
        <v>0</v>
      </c>
      <c r="G49" s="90">
        <v>1</v>
      </c>
      <c r="H49" s="131">
        <v>0</v>
      </c>
      <c r="I49" s="131">
        <v>1</v>
      </c>
      <c r="J49" s="38">
        <v>1</v>
      </c>
    </row>
    <row r="50" spans="3:10" ht="18" customHeight="1" x14ac:dyDescent="0.25">
      <c r="C50" s="4">
        <v>53</v>
      </c>
      <c r="D50" s="4">
        <v>1812200782</v>
      </c>
      <c r="E50" s="22" t="s">
        <v>278</v>
      </c>
      <c r="F50" s="90">
        <f>517+1+1+1</f>
        <v>520</v>
      </c>
      <c r="G50" s="90">
        <v>978</v>
      </c>
      <c r="H50" s="99">
        <v>228</v>
      </c>
      <c r="I50" s="29">
        <v>800</v>
      </c>
      <c r="J50" s="4">
        <v>800</v>
      </c>
    </row>
    <row r="51" spans="3:10" ht="18" customHeight="1" x14ac:dyDescent="0.25">
      <c r="C51" s="4">
        <v>54</v>
      </c>
      <c r="D51" s="10">
        <v>1812210782</v>
      </c>
      <c r="E51" s="28" t="s">
        <v>551</v>
      </c>
      <c r="F51" s="86">
        <v>35</v>
      </c>
      <c r="G51" s="86">
        <v>46</v>
      </c>
      <c r="H51" s="99">
        <v>17</v>
      </c>
      <c r="I51" s="29">
        <v>46</v>
      </c>
      <c r="J51" s="4">
        <v>46</v>
      </c>
    </row>
    <row r="52" spans="3:10" ht="18" customHeight="1" x14ac:dyDescent="0.25">
      <c r="C52" s="4">
        <v>55</v>
      </c>
      <c r="D52" s="10">
        <v>1812220782</v>
      </c>
      <c r="E52" s="28" t="s">
        <v>552</v>
      </c>
      <c r="F52" s="86">
        <v>174</v>
      </c>
      <c r="G52" s="86">
        <v>53</v>
      </c>
      <c r="H52" s="99">
        <v>23</v>
      </c>
      <c r="I52" s="29">
        <v>53</v>
      </c>
      <c r="J52" s="4">
        <v>53</v>
      </c>
    </row>
    <row r="53" spans="3:10" ht="18" customHeight="1" x14ac:dyDescent="0.25">
      <c r="C53" s="4">
        <v>56</v>
      </c>
      <c r="D53" s="10">
        <v>1812230782</v>
      </c>
      <c r="E53" s="28" t="s">
        <v>553</v>
      </c>
      <c r="F53" s="86">
        <v>13</v>
      </c>
      <c r="G53" s="86">
        <v>32</v>
      </c>
      <c r="H53" s="99">
        <v>12</v>
      </c>
      <c r="I53" s="29">
        <v>33</v>
      </c>
      <c r="J53" s="4">
        <v>36</v>
      </c>
    </row>
    <row r="54" spans="3:10" ht="18" customHeight="1" x14ac:dyDescent="0.25">
      <c r="C54" s="4">
        <v>60</v>
      </c>
      <c r="D54" s="10">
        <v>1812270782</v>
      </c>
      <c r="E54" s="28" t="s">
        <v>557</v>
      </c>
      <c r="F54" s="243">
        <v>15</v>
      </c>
      <c r="G54" s="86">
        <v>18</v>
      </c>
      <c r="H54" s="99">
        <v>3</v>
      </c>
      <c r="I54" s="29">
        <v>19</v>
      </c>
      <c r="J54" s="4">
        <v>20</v>
      </c>
    </row>
    <row r="55" spans="3:10" ht="18" customHeight="1" x14ac:dyDescent="0.25">
      <c r="C55" s="4">
        <v>63</v>
      </c>
      <c r="D55" s="10">
        <v>1812291782</v>
      </c>
      <c r="E55" s="28" t="s">
        <v>946</v>
      </c>
      <c r="F55" s="86">
        <v>1</v>
      </c>
      <c r="G55" s="86">
        <v>1</v>
      </c>
      <c r="H55" s="156">
        <v>1</v>
      </c>
      <c r="I55" s="156">
        <v>1</v>
      </c>
      <c r="J55" s="38">
        <v>1</v>
      </c>
    </row>
    <row r="56" spans="3:10" ht="18" customHeight="1" x14ac:dyDescent="0.25">
      <c r="C56" s="4">
        <v>64</v>
      </c>
      <c r="D56" s="10">
        <v>1812292782</v>
      </c>
      <c r="E56" s="28" t="s">
        <v>560</v>
      </c>
      <c r="F56" s="86">
        <v>166</v>
      </c>
      <c r="G56" s="86">
        <f>120+3</f>
        <v>123</v>
      </c>
      <c r="H56" s="99">
        <v>18</v>
      </c>
      <c r="I56" s="99">
        <v>159</v>
      </c>
      <c r="J56" s="38">
        <v>170</v>
      </c>
    </row>
    <row r="57" spans="3:10" ht="18" customHeight="1" x14ac:dyDescent="0.25">
      <c r="C57" s="4">
        <v>65</v>
      </c>
      <c r="D57" s="10">
        <v>1812293782</v>
      </c>
      <c r="E57" s="28" t="s">
        <v>561</v>
      </c>
      <c r="F57" s="86">
        <v>19</v>
      </c>
      <c r="G57" s="86">
        <v>12</v>
      </c>
      <c r="H57" s="99">
        <v>0</v>
      </c>
      <c r="I57" s="99">
        <v>12</v>
      </c>
      <c r="J57" s="38">
        <v>12</v>
      </c>
    </row>
    <row r="58" spans="3:10" ht="18" customHeight="1" x14ac:dyDescent="0.25">
      <c r="C58" s="4">
        <v>68</v>
      </c>
      <c r="D58" s="10">
        <v>1816696782</v>
      </c>
      <c r="E58" s="28" t="s">
        <v>928</v>
      </c>
      <c r="F58" s="86">
        <v>16</v>
      </c>
      <c r="G58" s="86">
        <v>20</v>
      </c>
      <c r="H58" s="99">
        <v>0</v>
      </c>
      <c r="I58" s="99">
        <v>15</v>
      </c>
      <c r="J58" s="38">
        <v>15</v>
      </c>
    </row>
    <row r="59" spans="3:10" ht="18" customHeight="1" x14ac:dyDescent="0.25">
      <c r="C59" s="4">
        <v>69</v>
      </c>
      <c r="D59" s="10">
        <v>1812297782</v>
      </c>
      <c r="E59" t="s">
        <v>1087</v>
      </c>
      <c r="F59" s="86">
        <v>23</v>
      </c>
      <c r="G59" s="86">
        <v>0</v>
      </c>
      <c r="H59" s="99">
        <v>0</v>
      </c>
      <c r="I59" s="99">
        <v>0</v>
      </c>
      <c r="J59" s="38">
        <v>10</v>
      </c>
    </row>
    <row r="60" spans="3:10" ht="18" customHeight="1" x14ac:dyDescent="0.25">
      <c r="C60" s="4">
        <v>71</v>
      </c>
      <c r="D60" s="10">
        <v>1812310782</v>
      </c>
      <c r="E60" s="28" t="s">
        <v>564</v>
      </c>
      <c r="F60" s="86">
        <v>54</v>
      </c>
      <c r="G60" s="86">
        <v>66</v>
      </c>
      <c r="H60" s="38">
        <v>14</v>
      </c>
      <c r="I60" s="99">
        <v>66</v>
      </c>
      <c r="J60" s="38">
        <v>65</v>
      </c>
    </row>
    <row r="61" spans="3:10" ht="18" customHeight="1" x14ac:dyDescent="0.25">
      <c r="C61" s="4">
        <v>72</v>
      </c>
      <c r="D61" s="10">
        <v>1812320782</v>
      </c>
      <c r="E61" s="28" t="s">
        <v>565</v>
      </c>
      <c r="F61" s="86">
        <v>33</v>
      </c>
      <c r="G61" s="86">
        <v>113</v>
      </c>
      <c r="H61" s="38">
        <v>55</v>
      </c>
      <c r="I61" s="156">
        <v>113</v>
      </c>
      <c r="J61" s="38">
        <v>111</v>
      </c>
    </row>
    <row r="62" spans="3:10" ht="18" customHeight="1" x14ac:dyDescent="0.25">
      <c r="C62" s="4">
        <v>73</v>
      </c>
      <c r="D62" s="10">
        <v>1812330782</v>
      </c>
      <c r="E62" s="28" t="s">
        <v>566</v>
      </c>
      <c r="F62" s="86">
        <v>29</v>
      </c>
      <c r="G62" s="86">
        <v>36</v>
      </c>
      <c r="H62" s="4">
        <v>18</v>
      </c>
      <c r="I62" s="136">
        <v>38</v>
      </c>
      <c r="J62" s="4">
        <v>40</v>
      </c>
    </row>
    <row r="63" spans="3:10" ht="18" customHeight="1" x14ac:dyDescent="0.25">
      <c r="C63" s="4">
        <v>74</v>
      </c>
      <c r="D63" s="10">
        <v>1812340782</v>
      </c>
      <c r="E63" s="28" t="s">
        <v>567</v>
      </c>
      <c r="F63" s="86">
        <v>18</v>
      </c>
      <c r="G63" s="86">
        <v>18</v>
      </c>
      <c r="H63" s="242">
        <v>5</v>
      </c>
      <c r="I63" s="29">
        <v>18</v>
      </c>
      <c r="J63" s="4">
        <v>20</v>
      </c>
    </row>
    <row r="64" spans="3:10" ht="18" customHeight="1" x14ac:dyDescent="0.25">
      <c r="C64" s="4">
        <v>75</v>
      </c>
      <c r="D64" s="4">
        <v>1812400782</v>
      </c>
      <c r="E64" s="150" t="s">
        <v>569</v>
      </c>
      <c r="F64" s="90">
        <v>139</v>
      </c>
      <c r="G64" s="90">
        <v>240</v>
      </c>
      <c r="H64" s="99">
        <v>99</v>
      </c>
      <c r="I64" s="29">
        <v>240</v>
      </c>
      <c r="J64" s="4">
        <v>240</v>
      </c>
    </row>
    <row r="65" spans="3:10" ht="18" customHeight="1" x14ac:dyDescent="0.25">
      <c r="C65" s="4">
        <v>76</v>
      </c>
      <c r="D65" s="4">
        <v>1812420782</v>
      </c>
      <c r="E65" s="22" t="s">
        <v>570</v>
      </c>
      <c r="F65" s="90">
        <v>4</v>
      </c>
      <c r="G65" s="90">
        <v>5</v>
      </c>
      <c r="H65" s="99">
        <v>1</v>
      </c>
      <c r="I65" s="29">
        <v>5</v>
      </c>
      <c r="J65" s="4">
        <v>5</v>
      </c>
    </row>
    <row r="66" spans="3:10" ht="18" customHeight="1" x14ac:dyDescent="0.25">
      <c r="C66" s="4">
        <v>77</v>
      </c>
      <c r="D66" s="4">
        <v>1812430782</v>
      </c>
      <c r="E66" s="22" t="s">
        <v>571</v>
      </c>
      <c r="F66" s="90">
        <v>4</v>
      </c>
      <c r="G66" s="90">
        <v>5</v>
      </c>
      <c r="H66" s="99">
        <v>3</v>
      </c>
      <c r="I66" s="29">
        <v>5</v>
      </c>
      <c r="J66" s="4">
        <v>5</v>
      </c>
    </row>
    <row r="67" spans="3:10" ht="18" customHeight="1" x14ac:dyDescent="0.25">
      <c r="C67" s="4">
        <v>78</v>
      </c>
      <c r="D67" s="4">
        <v>1812440782</v>
      </c>
      <c r="E67" s="22" t="s">
        <v>572</v>
      </c>
      <c r="F67" s="90">
        <v>1</v>
      </c>
      <c r="G67" s="90">
        <v>1</v>
      </c>
      <c r="H67" s="99">
        <v>0</v>
      </c>
      <c r="I67" s="29">
        <v>1</v>
      </c>
      <c r="J67" s="4">
        <v>1</v>
      </c>
    </row>
    <row r="68" spans="3:10" ht="18" customHeight="1" x14ac:dyDescent="0.25">
      <c r="C68" s="4">
        <v>79</v>
      </c>
      <c r="D68" s="4">
        <v>1812450782</v>
      </c>
      <c r="E68" s="22" t="s">
        <v>573</v>
      </c>
      <c r="F68" s="90">
        <v>4</v>
      </c>
      <c r="G68" s="90">
        <v>4</v>
      </c>
      <c r="H68" s="99">
        <v>2</v>
      </c>
      <c r="I68" s="29">
        <v>5</v>
      </c>
      <c r="J68" s="4">
        <v>5</v>
      </c>
    </row>
    <row r="69" spans="3:10" ht="18" customHeight="1" x14ac:dyDescent="0.25">
      <c r="C69" s="4">
        <v>80</v>
      </c>
      <c r="D69" s="4">
        <v>1812460782</v>
      </c>
      <c r="E69" s="22" t="s">
        <v>574</v>
      </c>
      <c r="F69" s="90">
        <v>4</v>
      </c>
      <c r="G69" s="90">
        <v>5</v>
      </c>
      <c r="H69" s="99">
        <v>2</v>
      </c>
      <c r="I69" s="29">
        <v>5</v>
      </c>
      <c r="J69" s="4">
        <v>5</v>
      </c>
    </row>
    <row r="70" spans="3:10" ht="18" customHeight="1" x14ac:dyDescent="0.25">
      <c r="C70" s="4">
        <v>81</v>
      </c>
      <c r="D70" s="4">
        <v>1812470782</v>
      </c>
      <c r="E70" s="22" t="s">
        <v>575</v>
      </c>
      <c r="F70" s="90">
        <v>1</v>
      </c>
      <c r="G70" s="90">
        <v>1</v>
      </c>
      <c r="H70" s="99">
        <v>0</v>
      </c>
      <c r="I70" s="29">
        <v>1</v>
      </c>
      <c r="J70" s="4">
        <v>1</v>
      </c>
    </row>
    <row r="71" spans="3:10" ht="18" customHeight="1" x14ac:dyDescent="0.25">
      <c r="C71" s="4">
        <v>82</v>
      </c>
      <c r="D71" s="4">
        <v>1812490782</v>
      </c>
      <c r="E71" s="22" t="s">
        <v>576</v>
      </c>
      <c r="F71" s="90">
        <v>1</v>
      </c>
      <c r="G71" s="90">
        <v>1</v>
      </c>
      <c r="H71" s="99">
        <v>0</v>
      </c>
      <c r="I71" s="29">
        <v>1</v>
      </c>
      <c r="J71" s="4">
        <v>2</v>
      </c>
    </row>
    <row r="72" spans="3:10" ht="18" customHeight="1" x14ac:dyDescent="0.25">
      <c r="C72" s="4">
        <v>83</v>
      </c>
      <c r="D72" s="4">
        <v>1812491782</v>
      </c>
      <c r="E72" s="22" t="s">
        <v>577</v>
      </c>
      <c r="F72" s="90">
        <v>1</v>
      </c>
      <c r="G72" s="90">
        <v>2</v>
      </c>
      <c r="H72" s="99">
        <v>0</v>
      </c>
      <c r="I72" s="29">
        <v>2</v>
      </c>
      <c r="J72" s="4">
        <v>2</v>
      </c>
    </row>
    <row r="73" spans="3:10" ht="18" customHeight="1" x14ac:dyDescent="0.25">
      <c r="C73" s="4">
        <v>85</v>
      </c>
      <c r="D73" s="4">
        <v>1813210782</v>
      </c>
      <c r="E73" s="22" t="s">
        <v>578</v>
      </c>
      <c r="F73" s="90">
        <v>2</v>
      </c>
      <c r="G73" s="90">
        <v>3.5</v>
      </c>
      <c r="H73" s="99">
        <v>1</v>
      </c>
      <c r="I73" s="99">
        <v>4</v>
      </c>
      <c r="J73" s="38">
        <v>4</v>
      </c>
    </row>
    <row r="74" spans="3:10" ht="18" customHeight="1" x14ac:dyDescent="0.25">
      <c r="C74" s="4">
        <v>87</v>
      </c>
      <c r="D74" s="4">
        <v>1813310782</v>
      </c>
      <c r="E74" s="170" t="s">
        <v>1187</v>
      </c>
      <c r="F74" s="243">
        <f>759+5+1498+15</f>
        <v>2277</v>
      </c>
      <c r="G74" s="90">
        <f>200+7+25</f>
        <v>232</v>
      </c>
      <c r="H74" s="99">
        <v>121</v>
      </c>
      <c r="I74" s="99">
        <v>121</v>
      </c>
      <c r="J74" s="38">
        <v>200</v>
      </c>
    </row>
    <row r="75" spans="3:10" ht="18" customHeight="1" x14ac:dyDescent="0.25">
      <c r="C75" s="4">
        <v>88</v>
      </c>
      <c r="D75" s="4">
        <v>1813212782</v>
      </c>
      <c r="E75" s="22" t="s">
        <v>947</v>
      </c>
      <c r="F75" s="90">
        <v>0</v>
      </c>
      <c r="G75" s="90">
        <f>600+300</f>
        <v>900</v>
      </c>
      <c r="H75" s="99">
        <v>160</v>
      </c>
      <c r="I75" s="99">
        <v>870</v>
      </c>
      <c r="J75" s="38">
        <v>760</v>
      </c>
    </row>
    <row r="76" spans="3:10" ht="18" customHeight="1" x14ac:dyDescent="0.25">
      <c r="C76" s="4">
        <v>89</v>
      </c>
      <c r="D76" s="10">
        <v>1813320782</v>
      </c>
      <c r="E76" s="28" t="s">
        <v>579</v>
      </c>
      <c r="F76" s="86">
        <v>75</v>
      </c>
      <c r="G76" s="86">
        <v>84</v>
      </c>
      <c r="H76" s="99">
        <v>38</v>
      </c>
      <c r="I76" s="99">
        <v>74</v>
      </c>
      <c r="J76" s="38">
        <v>74</v>
      </c>
    </row>
    <row r="77" spans="3:10" ht="18" customHeight="1" x14ac:dyDescent="0.25">
      <c r="C77" s="4">
        <v>90</v>
      </c>
      <c r="D77" s="4">
        <v>1813710782</v>
      </c>
      <c r="E77" s="22" t="s">
        <v>1022</v>
      </c>
      <c r="F77" s="90">
        <v>3</v>
      </c>
      <c r="G77" s="90">
        <v>1</v>
      </c>
      <c r="H77" s="99">
        <v>1</v>
      </c>
      <c r="I77" s="99">
        <v>1</v>
      </c>
      <c r="J77" s="38">
        <v>1</v>
      </c>
    </row>
    <row r="78" spans="3:10" ht="18" customHeight="1" x14ac:dyDescent="0.25">
      <c r="C78" s="4">
        <v>91</v>
      </c>
      <c r="D78" s="4">
        <v>1813720782</v>
      </c>
      <c r="E78" s="22" t="s">
        <v>580</v>
      </c>
      <c r="F78" s="90">
        <v>1</v>
      </c>
      <c r="G78" s="90">
        <v>1</v>
      </c>
      <c r="H78" s="99">
        <v>1</v>
      </c>
      <c r="I78" s="99">
        <v>1</v>
      </c>
      <c r="J78" s="38">
        <v>2</v>
      </c>
    </row>
    <row r="79" spans="3:10" s="7" customFormat="1" ht="18" customHeight="1" x14ac:dyDescent="0.25">
      <c r="C79" s="4">
        <v>92</v>
      </c>
      <c r="D79" s="58">
        <v>1813730782</v>
      </c>
      <c r="E79" s="81" t="s">
        <v>1012</v>
      </c>
      <c r="F79" s="87">
        <v>14</v>
      </c>
      <c r="G79" s="87">
        <v>24</v>
      </c>
      <c r="H79" s="88">
        <v>24</v>
      </c>
      <c r="I79" s="88">
        <v>25</v>
      </c>
      <c r="J79" s="319">
        <v>25</v>
      </c>
    </row>
    <row r="80" spans="3:10" ht="18" customHeight="1" x14ac:dyDescent="0.25">
      <c r="C80" s="4">
        <v>93</v>
      </c>
      <c r="D80" s="4">
        <v>1815500782</v>
      </c>
      <c r="E80" s="22" t="s">
        <v>581</v>
      </c>
      <c r="F80" s="90">
        <v>4</v>
      </c>
      <c r="G80" s="90">
        <v>5</v>
      </c>
      <c r="H80" s="99">
        <v>2</v>
      </c>
      <c r="I80" s="99">
        <v>5</v>
      </c>
      <c r="J80" s="38">
        <v>5</v>
      </c>
    </row>
    <row r="81" spans="3:10" ht="18" customHeight="1" x14ac:dyDescent="0.25">
      <c r="C81" s="4">
        <v>95</v>
      </c>
      <c r="D81" s="4">
        <v>1817200782</v>
      </c>
      <c r="E81" s="22" t="s">
        <v>1025</v>
      </c>
      <c r="F81" s="90">
        <v>28</v>
      </c>
      <c r="G81" s="90">
        <v>25</v>
      </c>
      <c r="H81" s="99">
        <v>0</v>
      </c>
      <c r="I81" s="99">
        <v>28</v>
      </c>
      <c r="J81" s="38">
        <v>28</v>
      </c>
    </row>
    <row r="82" spans="3:10" ht="18" customHeight="1" x14ac:dyDescent="0.25">
      <c r="C82" s="4">
        <v>96</v>
      </c>
      <c r="D82" s="4">
        <v>1817210782</v>
      </c>
      <c r="E82" s="22" t="s">
        <v>297</v>
      </c>
      <c r="F82" s="90">
        <v>2</v>
      </c>
      <c r="G82" s="90">
        <v>1</v>
      </c>
      <c r="H82" s="99">
        <v>1</v>
      </c>
      <c r="I82" s="99">
        <v>1</v>
      </c>
      <c r="J82" s="38">
        <v>1</v>
      </c>
    </row>
    <row r="83" spans="3:10" ht="18" customHeight="1" x14ac:dyDescent="0.25">
      <c r="C83" s="4">
        <v>97</v>
      </c>
      <c r="D83" s="4">
        <v>1817220782</v>
      </c>
      <c r="E83" s="22" t="s">
        <v>1026</v>
      </c>
      <c r="F83" s="90">
        <v>12</v>
      </c>
      <c r="G83" s="90">
        <v>12</v>
      </c>
      <c r="H83" s="99">
        <v>13</v>
      </c>
      <c r="I83" s="99">
        <v>24</v>
      </c>
      <c r="J83" s="38">
        <v>12</v>
      </c>
    </row>
    <row r="84" spans="3:10" ht="18" customHeight="1" x14ac:dyDescent="0.25">
      <c r="C84" s="4">
        <v>98</v>
      </c>
      <c r="D84" s="4">
        <v>1817300782</v>
      </c>
      <c r="E84" s="22" t="s">
        <v>300</v>
      </c>
      <c r="F84" s="90">
        <v>41</v>
      </c>
      <c r="G84" s="90">
        <v>21</v>
      </c>
      <c r="H84" s="99">
        <v>24</v>
      </c>
      <c r="I84" s="99">
        <v>30</v>
      </c>
      <c r="J84" s="38">
        <v>30</v>
      </c>
    </row>
    <row r="85" spans="3:10" ht="18" customHeight="1" x14ac:dyDescent="0.25">
      <c r="C85" s="4">
        <v>99</v>
      </c>
      <c r="D85" s="4">
        <v>1817310782</v>
      </c>
      <c r="E85" s="22" t="s">
        <v>582</v>
      </c>
      <c r="F85" s="90">
        <v>5</v>
      </c>
      <c r="G85" s="90">
        <v>6</v>
      </c>
      <c r="H85" s="99">
        <v>9</v>
      </c>
      <c r="I85" s="99">
        <v>12</v>
      </c>
      <c r="J85" s="38">
        <v>12</v>
      </c>
    </row>
    <row r="86" spans="3:10" ht="18" customHeight="1" x14ac:dyDescent="0.25">
      <c r="C86" s="4">
        <v>100</v>
      </c>
      <c r="D86" s="4">
        <v>1817311782</v>
      </c>
      <c r="E86" s="22" t="s">
        <v>301</v>
      </c>
      <c r="F86" s="90">
        <v>4</v>
      </c>
      <c r="G86" s="90">
        <v>5</v>
      </c>
      <c r="H86" s="99">
        <v>1</v>
      </c>
      <c r="I86" s="29">
        <v>5</v>
      </c>
      <c r="J86" s="4">
        <v>5</v>
      </c>
    </row>
    <row r="87" spans="3:10" ht="18" customHeight="1" x14ac:dyDescent="0.25">
      <c r="C87" s="4">
        <v>101</v>
      </c>
      <c r="D87" s="4">
        <v>1817320782</v>
      </c>
      <c r="E87" s="22" t="s">
        <v>583</v>
      </c>
      <c r="F87" s="90">
        <v>1</v>
      </c>
      <c r="G87" s="90">
        <v>1</v>
      </c>
      <c r="H87" s="99">
        <v>1</v>
      </c>
      <c r="I87" s="29">
        <v>2</v>
      </c>
      <c r="J87" s="4">
        <v>2</v>
      </c>
    </row>
    <row r="88" spans="3:10" s="40" customFormat="1" ht="18" customHeight="1" x14ac:dyDescent="0.25">
      <c r="C88" s="4">
        <v>102</v>
      </c>
      <c r="D88" s="233">
        <v>1823000782</v>
      </c>
      <c r="E88" s="170" t="s">
        <v>584</v>
      </c>
      <c r="F88" s="243">
        <v>3</v>
      </c>
      <c r="G88" s="243">
        <v>10</v>
      </c>
      <c r="H88" s="160">
        <v>7</v>
      </c>
      <c r="I88" s="160">
        <v>10</v>
      </c>
      <c r="J88" s="238">
        <v>10</v>
      </c>
    </row>
    <row r="89" spans="3:10" s="207" customFormat="1" ht="18" customHeight="1" x14ac:dyDescent="0.25">
      <c r="C89" s="213">
        <v>103</v>
      </c>
      <c r="D89" s="213">
        <v>1823200782</v>
      </c>
      <c r="E89" s="479" t="s">
        <v>1033</v>
      </c>
      <c r="F89" s="480">
        <v>0</v>
      </c>
      <c r="G89" s="480">
        <v>10</v>
      </c>
      <c r="H89" s="481">
        <v>0</v>
      </c>
      <c r="I89" s="481">
        <v>0</v>
      </c>
      <c r="J89" s="482">
        <v>6</v>
      </c>
    </row>
    <row r="90" spans="3:10" ht="18" customHeight="1" x14ac:dyDescent="0.25">
      <c r="C90" s="4">
        <v>105</v>
      </c>
      <c r="D90" s="4">
        <v>1841000782</v>
      </c>
      <c r="E90" s="483" t="s">
        <v>585</v>
      </c>
      <c r="F90" s="484">
        <v>29</v>
      </c>
      <c r="G90" s="484">
        <v>28</v>
      </c>
      <c r="H90" s="485">
        <v>26</v>
      </c>
      <c r="I90" s="485">
        <v>28</v>
      </c>
      <c r="J90" s="486">
        <v>28</v>
      </c>
    </row>
    <row r="91" spans="3:10" ht="18" customHeight="1" x14ac:dyDescent="0.25">
      <c r="C91" s="4">
        <v>106</v>
      </c>
      <c r="D91" s="4">
        <v>1841100782</v>
      </c>
      <c r="E91" s="483" t="s">
        <v>1119</v>
      </c>
      <c r="F91" s="484">
        <v>8</v>
      </c>
      <c r="G91" s="484">
        <v>8</v>
      </c>
      <c r="H91" s="485">
        <v>9</v>
      </c>
      <c r="I91" s="485">
        <f>8.55-1.45</f>
        <v>7.1000000000000005</v>
      </c>
      <c r="J91" s="486">
        <v>7</v>
      </c>
    </row>
    <row r="92" spans="3:10" ht="18" customHeight="1" x14ac:dyDescent="0.25">
      <c r="C92" s="4">
        <v>107</v>
      </c>
      <c r="D92" s="4">
        <v>1841200782</v>
      </c>
      <c r="E92" s="483" t="s">
        <v>1052</v>
      </c>
      <c r="F92" s="484">
        <v>0</v>
      </c>
      <c r="G92" s="484">
        <v>20</v>
      </c>
      <c r="H92" s="484">
        <v>4</v>
      </c>
      <c r="I92" s="485">
        <f>19-12</f>
        <v>7</v>
      </c>
      <c r="J92" s="486">
        <v>7</v>
      </c>
    </row>
    <row r="93" spans="3:10" ht="18" customHeight="1" x14ac:dyDescent="0.25">
      <c r="C93" s="4">
        <v>108</v>
      </c>
      <c r="D93" s="4">
        <v>1841120782</v>
      </c>
      <c r="E93" s="483" t="s">
        <v>335</v>
      </c>
      <c r="F93" s="484">
        <v>10</v>
      </c>
      <c r="G93" s="484">
        <v>6</v>
      </c>
      <c r="H93" s="485">
        <v>3</v>
      </c>
      <c r="I93" s="282">
        <v>6</v>
      </c>
      <c r="J93" s="487">
        <v>6</v>
      </c>
    </row>
    <row r="94" spans="3:10" ht="18" customHeight="1" x14ac:dyDescent="0.25">
      <c r="C94" s="4">
        <v>110</v>
      </c>
      <c r="D94" s="4">
        <v>1841300782</v>
      </c>
      <c r="E94" s="483" t="s">
        <v>1120</v>
      </c>
      <c r="F94" s="484">
        <v>0</v>
      </c>
      <c r="G94" s="484">
        <v>150</v>
      </c>
      <c r="H94" s="446">
        <v>88</v>
      </c>
      <c r="I94" s="488">
        <v>150</v>
      </c>
      <c r="J94" s="487">
        <v>100</v>
      </c>
    </row>
    <row r="95" spans="3:10" ht="18" customHeight="1" x14ac:dyDescent="0.25">
      <c r="C95" s="4">
        <v>111</v>
      </c>
      <c r="D95" s="4">
        <v>1937000782</v>
      </c>
      <c r="E95" s="483" t="s">
        <v>568</v>
      </c>
      <c r="F95" s="489">
        <v>0</v>
      </c>
      <c r="G95" s="489">
        <v>40</v>
      </c>
      <c r="H95" s="446">
        <v>80</v>
      </c>
      <c r="I95" s="488">
        <v>80</v>
      </c>
      <c r="J95" s="487">
        <v>80</v>
      </c>
    </row>
    <row r="96" spans="3:10" ht="18" customHeight="1" x14ac:dyDescent="0.25">
      <c r="C96" s="4">
        <v>112</v>
      </c>
      <c r="D96" s="4">
        <v>1939000782</v>
      </c>
      <c r="E96" s="483" t="s">
        <v>1152</v>
      </c>
      <c r="F96" s="484">
        <v>0</v>
      </c>
      <c r="G96" s="484">
        <v>1</v>
      </c>
      <c r="H96" s="446">
        <v>2</v>
      </c>
      <c r="I96" s="488">
        <v>4</v>
      </c>
      <c r="J96" s="487">
        <v>4</v>
      </c>
    </row>
    <row r="97" spans="3:10" x14ac:dyDescent="0.25">
      <c r="C97" s="101"/>
      <c r="D97" s="548" t="s">
        <v>433</v>
      </c>
      <c r="E97" s="548"/>
      <c r="F97" s="143">
        <f>SUM(F5:F96)</f>
        <v>14484</v>
      </c>
      <c r="G97" s="143">
        <f>SUM(G5:G96)</f>
        <v>14132.5</v>
      </c>
      <c r="H97" s="143">
        <f>SUM(H5:H96)</f>
        <v>6298</v>
      </c>
      <c r="I97" s="143">
        <f>SUM(I5:I96)</f>
        <v>13607.140000000001</v>
      </c>
      <c r="J97" s="143">
        <f>SUM(J5:J96)</f>
        <v>14634</v>
      </c>
    </row>
    <row r="98" spans="3:10" x14ac:dyDescent="0.25">
      <c r="J98" s="18"/>
    </row>
    <row r="99" spans="3:10" x14ac:dyDescent="0.25">
      <c r="J99" s="18"/>
    </row>
    <row r="100" spans="3:10" x14ac:dyDescent="0.25">
      <c r="J100" s="18"/>
    </row>
    <row r="101" spans="3:10" x14ac:dyDescent="0.25">
      <c r="J101" s="18"/>
    </row>
    <row r="102" spans="3:10" x14ac:dyDescent="0.25">
      <c r="J102" s="18"/>
    </row>
    <row r="103" spans="3:10" x14ac:dyDescent="0.25">
      <c r="J103" s="18"/>
    </row>
    <row r="104" spans="3:10" x14ac:dyDescent="0.25">
      <c r="J104" s="18"/>
    </row>
    <row r="105" spans="3:10" x14ac:dyDescent="0.25">
      <c r="J105" s="18"/>
    </row>
    <row r="106" spans="3:10" x14ac:dyDescent="0.25">
      <c r="J106" s="18"/>
    </row>
    <row r="107" spans="3:10" x14ac:dyDescent="0.25">
      <c r="J107" s="18"/>
    </row>
  </sheetData>
  <sheetProtection algorithmName="SHA-512" hashValue="RRtzT1f+w6hTiY590vox+5CvhJ0RzowfH4vNdQAbIsnhpG6ZMdtqBc9bJogcsvNigRnpTNGwCIdF7lmy0fnamA==" saltValue="P3h/jrnwV/rfslvQXUz46Q==" spinCount="100000" sheet="1" objects="1" scenarios="1"/>
  <mergeCells count="2">
    <mergeCell ref="D97:E97"/>
    <mergeCell ref="E2:J2"/>
  </mergeCells>
  <pageMargins left="0.43307086614173229" right="0.70866141732283472" top="0.74803149606299213" bottom="0.74803149606299213" header="0.31496062992125984" footer="0.31496062992125984"/>
  <pageSetup paperSize="9" scale="75" firstPageNumber="31" orientation="portrait" useFirstPageNumber="1" r:id="rId1"/>
  <headerFooter>
    <oddFooter>עמוד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L72"/>
  <sheetViews>
    <sheetView rightToLeft="1" zoomScale="110" zoomScaleNormal="110" workbookViewId="0">
      <selection activeCell="A50" sqref="A50"/>
    </sheetView>
  </sheetViews>
  <sheetFormatPr defaultRowHeight="13.8" x14ac:dyDescent="0.25"/>
  <cols>
    <col min="1" max="1" width="5.59765625" customWidth="1"/>
    <col min="2" max="2" width="11.3984375" bestFit="1" customWidth="1"/>
    <col min="3" max="3" width="41.69921875" style="27" customWidth="1"/>
    <col min="4" max="4" width="10.69921875" bestFit="1" customWidth="1"/>
    <col min="5" max="5" width="15.8984375" customWidth="1"/>
    <col min="6" max="6" width="18.5" customWidth="1"/>
    <col min="7" max="7" width="13.59765625" customWidth="1"/>
    <col min="8" max="8" width="15.3984375" customWidth="1"/>
  </cols>
  <sheetData>
    <row r="2" spans="1:9" ht="22.8" x14ac:dyDescent="0.3">
      <c r="B2" s="35">
        <v>810</v>
      </c>
      <c r="C2" s="580" t="s">
        <v>427</v>
      </c>
      <c r="D2" s="580"/>
      <c r="E2" s="580"/>
      <c r="F2" s="580"/>
      <c r="G2" s="580"/>
      <c r="H2" s="580"/>
    </row>
    <row r="4" spans="1:9" s="177" customFormat="1" ht="43.8" customHeight="1" x14ac:dyDescent="0.25">
      <c r="A4" s="176" t="s">
        <v>626</v>
      </c>
      <c r="B4" s="176" t="s">
        <v>0</v>
      </c>
      <c r="C4" s="164" t="s">
        <v>1</v>
      </c>
      <c r="D4" s="165" t="s">
        <v>1250</v>
      </c>
      <c r="E4" s="165" t="s">
        <v>1061</v>
      </c>
      <c r="F4" s="165" t="s">
        <v>1059</v>
      </c>
      <c r="G4" s="165" t="s">
        <v>1060</v>
      </c>
      <c r="H4" s="165" t="s">
        <v>1058</v>
      </c>
    </row>
    <row r="5" spans="1:9" x14ac:dyDescent="0.25">
      <c r="A5" s="59">
        <v>1</v>
      </c>
      <c r="B5" s="59">
        <v>1611000810</v>
      </c>
      <c r="C5" s="80" t="s">
        <v>950</v>
      </c>
      <c r="D5" s="259">
        <v>181</v>
      </c>
      <c r="E5" s="259">
        <v>250</v>
      </c>
      <c r="F5" s="258">
        <v>103</v>
      </c>
      <c r="G5" s="173">
        <v>250</v>
      </c>
      <c r="H5" s="173">
        <v>250</v>
      </c>
      <c r="I5" s="161"/>
    </row>
    <row r="6" spans="1:9" x14ac:dyDescent="0.25">
      <c r="A6" s="59">
        <v>2</v>
      </c>
      <c r="B6" s="59">
        <v>1613000810</v>
      </c>
      <c r="C6" s="80" t="s">
        <v>586</v>
      </c>
      <c r="D6" s="258">
        <v>85</v>
      </c>
      <c r="E6" s="258">
        <v>123</v>
      </c>
      <c r="F6" s="258">
        <v>123</v>
      </c>
      <c r="G6" s="173">
        <v>123</v>
      </c>
      <c r="H6" s="173">
        <v>123</v>
      </c>
      <c r="I6" s="161"/>
    </row>
    <row r="7" spans="1:9" x14ac:dyDescent="0.25">
      <c r="A7" s="59">
        <v>3</v>
      </c>
      <c r="B7" s="59">
        <v>1724000810</v>
      </c>
      <c r="C7" s="257" t="s">
        <v>235</v>
      </c>
      <c r="D7" s="258">
        <v>1</v>
      </c>
      <c r="E7" s="258">
        <v>10</v>
      </c>
      <c r="F7" s="258">
        <v>27</v>
      </c>
      <c r="G7" s="173">
        <v>30</v>
      </c>
      <c r="H7" s="173">
        <v>30</v>
      </c>
      <c r="I7" s="161"/>
    </row>
    <row r="8" spans="1:9" x14ac:dyDescent="0.25">
      <c r="A8" s="59">
        <v>4</v>
      </c>
      <c r="B8" s="59">
        <v>1766000810</v>
      </c>
      <c r="C8" s="80" t="s">
        <v>264</v>
      </c>
      <c r="D8" s="259">
        <v>10</v>
      </c>
      <c r="E8" s="259">
        <v>304</v>
      </c>
      <c r="F8" s="258">
        <v>301</v>
      </c>
      <c r="G8" s="173">
        <v>310</v>
      </c>
      <c r="H8" s="173">
        <v>310</v>
      </c>
      <c r="I8" s="161"/>
    </row>
    <row r="9" spans="1:9" s="14" customFormat="1" x14ac:dyDescent="0.25">
      <c r="A9" s="59">
        <v>6</v>
      </c>
      <c r="B9" s="59">
        <v>1766200810</v>
      </c>
      <c r="C9" s="494" t="s">
        <v>617</v>
      </c>
      <c r="D9" s="259">
        <v>72</v>
      </c>
      <c r="E9" s="259">
        <v>180</v>
      </c>
      <c r="F9" s="259">
        <v>94</v>
      </c>
      <c r="G9" s="288">
        <v>140</v>
      </c>
      <c r="H9" s="495">
        <v>140</v>
      </c>
      <c r="I9" s="161"/>
    </row>
    <row r="10" spans="1:9" s="14" customFormat="1" x14ac:dyDescent="0.25">
      <c r="A10" s="59">
        <v>7</v>
      </c>
      <c r="B10" s="59">
        <v>1772000810</v>
      </c>
      <c r="C10" s="80" t="s">
        <v>1075</v>
      </c>
      <c r="D10" s="259">
        <v>42</v>
      </c>
      <c r="E10" s="259">
        <v>170</v>
      </c>
      <c r="F10" s="258">
        <v>87</v>
      </c>
      <c r="G10" s="396">
        <v>170</v>
      </c>
      <c r="H10" s="347">
        <v>170</v>
      </c>
      <c r="I10" s="162"/>
    </row>
    <row r="11" spans="1:9" s="14" customFormat="1" x14ac:dyDescent="0.25">
      <c r="A11" s="59">
        <v>8</v>
      </c>
      <c r="B11" s="59">
        <v>1772100810</v>
      </c>
      <c r="C11" s="80" t="s">
        <v>951</v>
      </c>
      <c r="D11" s="259">
        <v>107</v>
      </c>
      <c r="E11" s="259">
        <v>342</v>
      </c>
      <c r="F11" s="258">
        <v>240</v>
      </c>
      <c r="G11" s="396">
        <v>221</v>
      </c>
      <c r="H11" s="396">
        <v>219</v>
      </c>
      <c r="I11" s="162"/>
    </row>
    <row r="12" spans="1:9" x14ac:dyDescent="0.25">
      <c r="A12" s="59">
        <v>9</v>
      </c>
      <c r="B12" s="245">
        <v>1812310810</v>
      </c>
      <c r="C12" s="80" t="s">
        <v>952</v>
      </c>
      <c r="D12" s="261">
        <v>12212</v>
      </c>
      <c r="E12" s="261">
        <v>7400</v>
      </c>
      <c r="F12" s="258">
        <v>3650</v>
      </c>
      <c r="G12" s="173">
        <v>7400</v>
      </c>
      <c r="H12" s="173">
        <v>7400</v>
      </c>
      <c r="I12" s="162"/>
    </row>
    <row r="13" spans="1:9" x14ac:dyDescent="0.25">
      <c r="A13" s="59">
        <v>10</v>
      </c>
      <c r="B13" s="245">
        <v>1812311810</v>
      </c>
      <c r="C13" s="257" t="s">
        <v>390</v>
      </c>
      <c r="D13" s="4">
        <v>0</v>
      </c>
      <c r="E13" s="4">
        <v>0</v>
      </c>
      <c r="F13" s="4">
        <v>0</v>
      </c>
      <c r="G13" s="397">
        <v>0</v>
      </c>
      <c r="H13" s="397">
        <v>0</v>
      </c>
      <c r="I13" s="161"/>
    </row>
    <row r="14" spans="1:9" x14ac:dyDescent="0.25">
      <c r="A14" s="59">
        <v>11</v>
      </c>
      <c r="B14" s="59">
        <v>1812400810</v>
      </c>
      <c r="C14" s="80" t="s">
        <v>280</v>
      </c>
      <c r="D14" s="4">
        <v>15</v>
      </c>
      <c r="E14" s="4">
        <v>15</v>
      </c>
      <c r="F14" s="4">
        <v>6</v>
      </c>
      <c r="G14" s="173">
        <v>15</v>
      </c>
      <c r="H14" s="173">
        <v>15</v>
      </c>
      <c r="I14" s="161"/>
    </row>
    <row r="15" spans="1:9" x14ac:dyDescent="0.25">
      <c r="A15" s="59">
        <v>12</v>
      </c>
      <c r="B15" s="59">
        <v>1812411810</v>
      </c>
      <c r="C15" s="80" t="s">
        <v>1121</v>
      </c>
      <c r="D15" s="4">
        <v>0</v>
      </c>
      <c r="E15" s="4">
        <v>2</v>
      </c>
      <c r="F15" s="4">
        <v>1</v>
      </c>
      <c r="G15" s="496">
        <f>2-1</f>
        <v>1</v>
      </c>
      <c r="H15" s="496">
        <v>1</v>
      </c>
      <c r="I15" s="161"/>
    </row>
    <row r="16" spans="1:9" x14ac:dyDescent="0.25">
      <c r="A16" s="59">
        <v>13</v>
      </c>
      <c r="B16" s="59">
        <v>1813300810</v>
      </c>
      <c r="C16" s="80" t="s">
        <v>1123</v>
      </c>
      <c r="D16" s="4">
        <v>0</v>
      </c>
      <c r="E16" s="4">
        <v>0</v>
      </c>
      <c r="F16" s="4">
        <v>11</v>
      </c>
      <c r="G16" s="496">
        <v>22</v>
      </c>
      <c r="H16" s="496">
        <v>22</v>
      </c>
      <c r="I16" s="161"/>
    </row>
    <row r="17" spans="1:12" x14ac:dyDescent="0.25">
      <c r="A17" s="59">
        <v>14</v>
      </c>
      <c r="B17" s="59">
        <v>1815500810</v>
      </c>
      <c r="C17" s="80" t="s">
        <v>1122</v>
      </c>
      <c r="D17" s="4">
        <v>14</v>
      </c>
      <c r="E17" s="4">
        <v>30</v>
      </c>
      <c r="F17" s="4">
        <v>38</v>
      </c>
      <c r="G17" s="496">
        <v>60</v>
      </c>
      <c r="H17" s="496">
        <v>45</v>
      </c>
      <c r="I17" s="161"/>
    </row>
    <row r="18" spans="1:12" ht="15.6" customHeight="1" x14ac:dyDescent="0.3">
      <c r="A18" s="59">
        <v>15</v>
      </c>
      <c r="B18" s="59">
        <v>1815510810</v>
      </c>
      <c r="C18" s="80" t="s">
        <v>296</v>
      </c>
      <c r="D18" s="4">
        <v>0</v>
      </c>
      <c r="E18" s="4">
        <v>100</v>
      </c>
      <c r="F18" s="4">
        <v>100</v>
      </c>
      <c r="G18" s="496">
        <v>100</v>
      </c>
      <c r="H18" s="496">
        <v>50</v>
      </c>
      <c r="I18" s="289"/>
      <c r="J18" s="290"/>
      <c r="K18" s="290"/>
      <c r="L18" s="290"/>
    </row>
    <row r="19" spans="1:12" x14ac:dyDescent="0.25">
      <c r="A19" s="59">
        <v>16</v>
      </c>
      <c r="B19" s="245">
        <v>1815520810</v>
      </c>
      <c r="C19" s="157" t="s">
        <v>1193</v>
      </c>
      <c r="D19" s="4">
        <v>179</v>
      </c>
      <c r="E19" s="4">
        <v>134</v>
      </c>
      <c r="F19" s="4">
        <v>51</v>
      </c>
      <c r="G19" s="495">
        <v>134</v>
      </c>
      <c r="H19" s="495">
        <v>134</v>
      </c>
      <c r="I19" s="161"/>
    </row>
    <row r="20" spans="1:12" x14ac:dyDescent="0.25">
      <c r="A20" s="59">
        <v>17</v>
      </c>
      <c r="B20" s="10">
        <v>1815530810</v>
      </c>
      <c r="C20" s="158" t="s">
        <v>953</v>
      </c>
      <c r="D20" s="4">
        <v>144</v>
      </c>
      <c r="E20" s="4">
        <v>120</v>
      </c>
      <c r="F20" s="4">
        <v>86</v>
      </c>
      <c r="G20" s="496">
        <v>130</v>
      </c>
      <c r="H20" s="496">
        <v>130</v>
      </c>
      <c r="I20" s="161"/>
    </row>
    <row r="21" spans="1:12" x14ac:dyDescent="0.25">
      <c r="A21" s="59">
        <v>18</v>
      </c>
      <c r="B21" s="10">
        <v>1816800810</v>
      </c>
      <c r="C21" s="28" t="s">
        <v>587</v>
      </c>
      <c r="D21" s="4">
        <v>70</v>
      </c>
      <c r="E21" s="4">
        <v>100</v>
      </c>
      <c r="F21" s="4">
        <v>100</v>
      </c>
      <c r="G21" s="496">
        <v>100</v>
      </c>
      <c r="H21" s="496">
        <v>20</v>
      </c>
      <c r="I21" s="161"/>
    </row>
    <row r="22" spans="1:12" x14ac:dyDescent="0.25">
      <c r="A22" s="59">
        <v>19</v>
      </c>
      <c r="B22" s="10">
        <v>1824000810</v>
      </c>
      <c r="C22" s="28" t="s">
        <v>1011</v>
      </c>
      <c r="D22" s="4">
        <v>1497</v>
      </c>
      <c r="E22" s="4">
        <v>1750</v>
      </c>
      <c r="F22" s="4">
        <v>1500</v>
      </c>
      <c r="G22" s="496">
        <v>1000</v>
      </c>
      <c r="H22" s="496">
        <v>3000</v>
      </c>
      <c r="I22" s="161"/>
    </row>
    <row r="23" spans="1:12" x14ac:dyDescent="0.25">
      <c r="A23" s="59">
        <v>20</v>
      </c>
      <c r="B23" s="10">
        <v>1824100810</v>
      </c>
      <c r="C23" s="28" t="s">
        <v>590</v>
      </c>
      <c r="D23" s="4">
        <v>23</v>
      </c>
      <c r="E23" s="4">
        <v>144</v>
      </c>
      <c r="F23" s="4">
        <v>0</v>
      </c>
      <c r="G23" s="496">
        <v>144</v>
      </c>
      <c r="H23" s="496">
        <v>144</v>
      </c>
      <c r="I23" s="161"/>
    </row>
    <row r="24" spans="1:12" s="14" customFormat="1" x14ac:dyDescent="0.25">
      <c r="A24" s="59">
        <v>21</v>
      </c>
      <c r="B24" s="59">
        <v>1824110810</v>
      </c>
      <c r="C24" s="80" t="s">
        <v>611</v>
      </c>
      <c r="D24" s="4">
        <v>9</v>
      </c>
      <c r="E24" s="4">
        <v>113</v>
      </c>
      <c r="F24" s="4">
        <v>0</v>
      </c>
      <c r="G24" s="496">
        <v>113</v>
      </c>
      <c r="H24" s="496">
        <v>113</v>
      </c>
      <c r="I24" s="161"/>
    </row>
    <row r="25" spans="1:12" x14ac:dyDescent="0.25">
      <c r="A25" s="59">
        <v>22</v>
      </c>
      <c r="B25" s="58">
        <v>1824200810</v>
      </c>
      <c r="C25" s="257" t="s">
        <v>1236</v>
      </c>
      <c r="D25" s="4">
        <f>15+16</f>
        <v>31</v>
      </c>
      <c r="E25" s="4">
        <f>88+20</f>
        <v>108</v>
      </c>
      <c r="F25" s="4">
        <v>45</v>
      </c>
      <c r="G25" s="497">
        <v>88</v>
      </c>
      <c r="H25" s="497">
        <v>100</v>
      </c>
      <c r="I25" s="162"/>
    </row>
    <row r="26" spans="1:12" x14ac:dyDescent="0.25">
      <c r="A26" s="59">
        <v>24</v>
      </c>
      <c r="B26" s="58">
        <v>1826100810</v>
      </c>
      <c r="C26" s="83" t="s">
        <v>321</v>
      </c>
      <c r="D26" s="4">
        <v>1740</v>
      </c>
      <c r="E26" s="4">
        <v>1940</v>
      </c>
      <c r="F26" s="4">
        <v>1256</v>
      </c>
      <c r="G26" s="320">
        <v>1940</v>
      </c>
      <c r="H26" s="338">
        <v>1850</v>
      </c>
      <c r="I26" s="161"/>
    </row>
    <row r="27" spans="1:12" x14ac:dyDescent="0.25">
      <c r="A27" s="59">
        <v>25</v>
      </c>
      <c r="B27" s="58">
        <v>1826120810</v>
      </c>
      <c r="C27" s="81" t="s">
        <v>1013</v>
      </c>
      <c r="D27" s="4">
        <v>0</v>
      </c>
      <c r="E27" s="4">
        <v>668</v>
      </c>
      <c r="F27" s="4">
        <v>0</v>
      </c>
      <c r="G27" s="320">
        <v>434</v>
      </c>
      <c r="H27" s="338">
        <v>868</v>
      </c>
      <c r="I27" s="161"/>
    </row>
    <row r="28" spans="1:12" x14ac:dyDescent="0.25">
      <c r="A28" s="59">
        <v>26</v>
      </c>
      <c r="B28" s="323">
        <v>1826110810</v>
      </c>
      <c r="C28" s="334" t="s">
        <v>322</v>
      </c>
      <c r="D28" s="323">
        <v>307</v>
      </c>
      <c r="E28" s="323">
        <v>310</v>
      </c>
      <c r="F28" s="323">
        <v>151</v>
      </c>
      <c r="G28" s="499">
        <v>310</v>
      </c>
      <c r="H28" s="499">
        <v>310</v>
      </c>
      <c r="I28" s="161"/>
    </row>
    <row r="29" spans="1:12" x14ac:dyDescent="0.25">
      <c r="A29" s="59">
        <v>27</v>
      </c>
      <c r="B29" s="323">
        <v>1827000810</v>
      </c>
      <c r="C29" s="334" t="s">
        <v>324</v>
      </c>
      <c r="D29" s="323">
        <v>50</v>
      </c>
      <c r="E29" s="323">
        <v>60</v>
      </c>
      <c r="F29" s="323">
        <v>25</v>
      </c>
      <c r="G29" s="499">
        <f>60-32</f>
        <v>28</v>
      </c>
      <c r="H29" s="499">
        <v>60</v>
      </c>
      <c r="I29" s="161"/>
    </row>
    <row r="30" spans="1:12" x14ac:dyDescent="0.25">
      <c r="A30" s="59">
        <v>28</v>
      </c>
      <c r="B30" s="323">
        <v>1828000810</v>
      </c>
      <c r="C30" s="334" t="s">
        <v>591</v>
      </c>
      <c r="D30" s="323">
        <v>1</v>
      </c>
      <c r="E30" s="323">
        <v>3</v>
      </c>
      <c r="F30" s="323">
        <v>3</v>
      </c>
      <c r="G30" s="499">
        <v>3</v>
      </c>
      <c r="H30" s="499">
        <v>3</v>
      </c>
      <c r="I30" s="161"/>
    </row>
    <row r="31" spans="1:12" x14ac:dyDescent="0.25">
      <c r="A31" s="59">
        <v>29</v>
      </c>
      <c r="B31" s="323">
        <v>1828900810</v>
      </c>
      <c r="C31" s="334" t="s">
        <v>606</v>
      </c>
      <c r="D31" s="323">
        <v>0</v>
      </c>
      <c r="E31" s="323">
        <v>460</v>
      </c>
      <c r="F31" s="323">
        <v>0</v>
      </c>
      <c r="G31" s="499">
        <v>0</v>
      </c>
      <c r="H31" s="499">
        <v>460</v>
      </c>
      <c r="I31" s="161"/>
    </row>
    <row r="32" spans="1:12" x14ac:dyDescent="0.25">
      <c r="A32" s="59">
        <v>30</v>
      </c>
      <c r="B32" s="323">
        <v>1828910810</v>
      </c>
      <c r="C32" s="334" t="s">
        <v>327</v>
      </c>
      <c r="D32" s="323">
        <v>19</v>
      </c>
      <c r="E32" s="323">
        <v>0</v>
      </c>
      <c r="F32" s="323">
        <v>0</v>
      </c>
      <c r="G32" s="500">
        <f>19-19</f>
        <v>0</v>
      </c>
      <c r="H32" s="500">
        <v>0</v>
      </c>
      <c r="I32" s="161"/>
    </row>
    <row r="33" spans="1:9" x14ac:dyDescent="0.25">
      <c r="A33" s="59">
        <v>31</v>
      </c>
      <c r="B33" s="323">
        <v>1828911810</v>
      </c>
      <c r="C33" s="334" t="s">
        <v>485</v>
      </c>
      <c r="D33" s="323">
        <v>0</v>
      </c>
      <c r="E33" s="323">
        <v>0</v>
      </c>
      <c r="F33" s="323">
        <v>0</v>
      </c>
      <c r="G33" s="500">
        <f>12-3</f>
        <v>9</v>
      </c>
      <c r="H33" s="500">
        <v>0</v>
      </c>
      <c r="I33" s="161"/>
    </row>
    <row r="34" spans="1:9" x14ac:dyDescent="0.25">
      <c r="A34" s="59">
        <v>32</v>
      </c>
      <c r="B34" s="323">
        <v>1828912810</v>
      </c>
      <c r="C34" s="334" t="s">
        <v>484</v>
      </c>
      <c r="D34" s="501">
        <v>19.709</v>
      </c>
      <c r="E34" s="323">
        <v>0</v>
      </c>
      <c r="F34" s="323">
        <v>13</v>
      </c>
      <c r="G34" s="500">
        <f>24-4</f>
        <v>20</v>
      </c>
      <c r="H34" s="500">
        <v>0</v>
      </c>
      <c r="I34" s="161"/>
    </row>
    <row r="35" spans="1:9" x14ac:dyDescent="0.25">
      <c r="A35" s="59">
        <v>33</v>
      </c>
      <c r="B35" s="323">
        <v>1828913810</v>
      </c>
      <c r="C35" s="334" t="s">
        <v>483</v>
      </c>
      <c r="D35" s="501">
        <v>6</v>
      </c>
      <c r="E35" s="323">
        <v>0</v>
      </c>
      <c r="F35" s="323">
        <v>0</v>
      </c>
      <c r="G35" s="500">
        <f>10-10</f>
        <v>0</v>
      </c>
      <c r="H35" s="500">
        <v>0</v>
      </c>
      <c r="I35" s="161"/>
    </row>
    <row r="36" spans="1:9" x14ac:dyDescent="0.25">
      <c r="A36" s="59">
        <v>34</v>
      </c>
      <c r="B36" s="323">
        <v>1828914810</v>
      </c>
      <c r="C36" s="428" t="s">
        <v>1088</v>
      </c>
      <c r="D36" s="501">
        <v>10</v>
      </c>
      <c r="E36" s="323">
        <v>0</v>
      </c>
      <c r="F36" s="502">
        <v>3</v>
      </c>
      <c r="G36" s="500">
        <f>6-2</f>
        <v>4</v>
      </c>
      <c r="H36" s="500">
        <v>0</v>
      </c>
      <c r="I36" s="161"/>
    </row>
    <row r="37" spans="1:9" x14ac:dyDescent="0.25">
      <c r="A37" s="59">
        <v>35</v>
      </c>
      <c r="B37" s="323">
        <v>1828920810</v>
      </c>
      <c r="C37" s="334" t="s">
        <v>588</v>
      </c>
      <c r="D37" s="501">
        <v>53.27</v>
      </c>
      <c r="E37" s="323">
        <v>0</v>
      </c>
      <c r="F37" s="502">
        <v>21</v>
      </c>
      <c r="G37" s="500">
        <f>40-7</f>
        <v>33</v>
      </c>
      <c r="H37" s="500">
        <v>0</v>
      </c>
      <c r="I37" s="161"/>
    </row>
    <row r="38" spans="1:9" x14ac:dyDescent="0.25">
      <c r="A38" s="59">
        <v>36</v>
      </c>
      <c r="B38" s="323">
        <v>1828930810</v>
      </c>
      <c r="C38" s="334" t="s">
        <v>589</v>
      </c>
      <c r="D38" s="501">
        <v>103.14700000000001</v>
      </c>
      <c r="E38" s="323">
        <v>0</v>
      </c>
      <c r="F38" s="502">
        <v>46</v>
      </c>
      <c r="G38" s="500">
        <f>110-15</f>
        <v>95</v>
      </c>
      <c r="H38" s="500">
        <v>0</v>
      </c>
      <c r="I38" s="161"/>
    </row>
    <row r="39" spans="1:9" x14ac:dyDescent="0.25">
      <c r="A39" s="59">
        <v>37</v>
      </c>
      <c r="B39" s="323">
        <v>1828940810</v>
      </c>
      <c r="C39" s="334" t="s">
        <v>482</v>
      </c>
      <c r="D39" s="501">
        <v>61.709000000000003</v>
      </c>
      <c r="E39" s="323">
        <v>0</v>
      </c>
      <c r="F39" s="502">
        <v>43</v>
      </c>
      <c r="G39" s="500">
        <f>62-3</f>
        <v>59</v>
      </c>
      <c r="H39" s="500">
        <v>0</v>
      </c>
      <c r="I39" s="161"/>
    </row>
    <row r="40" spans="1:9" x14ac:dyDescent="0.25">
      <c r="A40" s="59">
        <v>38</v>
      </c>
      <c r="B40" s="323">
        <v>1828950810</v>
      </c>
      <c r="C40" s="334" t="s">
        <v>954</v>
      </c>
      <c r="D40" s="501">
        <v>49.743000000000002</v>
      </c>
      <c r="E40" s="323">
        <v>0</v>
      </c>
      <c r="F40" s="502">
        <v>24</v>
      </c>
      <c r="G40" s="500">
        <f>45-7</f>
        <v>38</v>
      </c>
      <c r="H40" s="500">
        <v>0</v>
      </c>
      <c r="I40" s="161"/>
    </row>
    <row r="41" spans="1:9" x14ac:dyDescent="0.25">
      <c r="A41" s="59">
        <v>39</v>
      </c>
      <c r="B41" s="323">
        <v>1828960810</v>
      </c>
      <c r="C41" s="334" t="s">
        <v>481</v>
      </c>
      <c r="D41" s="501">
        <v>37.630000000000003</v>
      </c>
      <c r="E41" s="323">
        <v>0</v>
      </c>
      <c r="F41" s="502">
        <v>13</v>
      </c>
      <c r="G41" s="500">
        <f>34-4</f>
        <v>30</v>
      </c>
      <c r="H41" s="500">
        <v>0</v>
      </c>
      <c r="I41" s="161"/>
    </row>
    <row r="42" spans="1:9" x14ac:dyDescent="0.25">
      <c r="A42" s="59">
        <v>40</v>
      </c>
      <c r="B42" s="323">
        <v>1828970810</v>
      </c>
      <c r="C42" s="334" t="s">
        <v>1235</v>
      </c>
      <c r="D42" s="501">
        <v>34.048000000000002</v>
      </c>
      <c r="E42" s="323">
        <v>0</v>
      </c>
      <c r="F42" s="498">
        <v>0</v>
      </c>
      <c r="G42" s="500">
        <f>34-12</f>
        <v>22</v>
      </c>
      <c r="H42" s="500">
        <v>0</v>
      </c>
      <c r="I42" s="161"/>
    </row>
    <row r="43" spans="1:9" x14ac:dyDescent="0.25">
      <c r="A43" s="59">
        <v>41</v>
      </c>
      <c r="B43" s="323">
        <v>1828980810</v>
      </c>
      <c r="C43" s="334" t="s">
        <v>480</v>
      </c>
      <c r="D43" s="501">
        <v>35</v>
      </c>
      <c r="E43" s="323">
        <v>0</v>
      </c>
      <c r="F43" s="502">
        <v>16</v>
      </c>
      <c r="G43" s="500">
        <f>29-5</f>
        <v>24</v>
      </c>
      <c r="H43" s="500">
        <v>0</v>
      </c>
      <c r="I43" s="161"/>
    </row>
    <row r="44" spans="1:9" x14ac:dyDescent="0.25">
      <c r="A44" s="59">
        <v>42</v>
      </c>
      <c r="B44" s="323">
        <v>1828990810</v>
      </c>
      <c r="C44" s="334" t="s">
        <v>592</v>
      </c>
      <c r="D44" s="501">
        <v>15.167999999999999</v>
      </c>
      <c r="E44" s="323">
        <v>0</v>
      </c>
      <c r="F44" s="502">
        <v>3</v>
      </c>
      <c r="G44" s="500">
        <f>12-3</f>
        <v>9</v>
      </c>
      <c r="H44" s="500">
        <v>0</v>
      </c>
      <c r="I44" s="161"/>
    </row>
    <row r="45" spans="1:9" x14ac:dyDescent="0.25">
      <c r="A45" s="59">
        <v>43</v>
      </c>
      <c r="B45" s="503">
        <v>1829900810</v>
      </c>
      <c r="C45" s="494" t="s">
        <v>328</v>
      </c>
      <c r="D45" s="501">
        <v>1343</v>
      </c>
      <c r="E45" s="323">
        <v>1850</v>
      </c>
      <c r="F45" s="501">
        <v>1136</v>
      </c>
      <c r="G45" s="496">
        <v>1725</v>
      </c>
      <c r="H45" s="495">
        <v>1725</v>
      </c>
      <c r="I45" s="161"/>
    </row>
    <row r="46" spans="1:9" x14ac:dyDescent="0.25">
      <c r="A46" s="59">
        <v>44</v>
      </c>
      <c r="B46" s="323">
        <v>1829910810</v>
      </c>
      <c r="C46" s="494" t="s">
        <v>593</v>
      </c>
      <c r="D46" s="323">
        <v>0</v>
      </c>
      <c r="E46" s="323">
        <v>160</v>
      </c>
      <c r="F46" s="498">
        <v>0</v>
      </c>
      <c r="G46" s="499">
        <v>0</v>
      </c>
      <c r="H46" s="496">
        <v>160</v>
      </c>
      <c r="I46" s="161"/>
    </row>
    <row r="47" spans="1:9" x14ac:dyDescent="0.25">
      <c r="A47" s="59">
        <v>45</v>
      </c>
      <c r="B47" s="323">
        <v>1835000810</v>
      </c>
      <c r="C47" s="334" t="s">
        <v>329</v>
      </c>
      <c r="D47" s="501">
        <v>139</v>
      </c>
      <c r="E47" s="323">
        <v>280</v>
      </c>
      <c r="F47" s="502">
        <v>142</v>
      </c>
      <c r="G47" s="499">
        <v>280</v>
      </c>
      <c r="H47" s="499">
        <v>280</v>
      </c>
      <c r="I47" s="161"/>
    </row>
    <row r="48" spans="1:9" x14ac:dyDescent="0.25">
      <c r="A48" s="59">
        <v>49</v>
      </c>
      <c r="B48" s="323">
        <v>1851000810</v>
      </c>
      <c r="C48" s="334" t="s">
        <v>368</v>
      </c>
      <c r="D48" s="501">
        <f>174.75*12</f>
        <v>2097</v>
      </c>
      <c r="E48" s="501">
        <v>2097</v>
      </c>
      <c r="F48" s="502">
        <v>892</v>
      </c>
      <c r="G48" s="499">
        <v>1779</v>
      </c>
      <c r="H48" s="499">
        <v>1779</v>
      </c>
      <c r="I48" s="161"/>
    </row>
    <row r="49" spans="1:9" x14ac:dyDescent="0.25">
      <c r="A49" s="59">
        <v>50</v>
      </c>
      <c r="B49" s="323">
        <v>1860000810</v>
      </c>
      <c r="C49" s="334" t="s">
        <v>370</v>
      </c>
      <c r="D49" s="501">
        <v>48</v>
      </c>
      <c r="E49" s="501">
        <v>25</v>
      </c>
      <c r="F49" s="502">
        <v>12</v>
      </c>
      <c r="G49" s="499">
        <f>23-12</f>
        <v>11</v>
      </c>
      <c r="H49" s="499">
        <v>25</v>
      </c>
      <c r="I49" s="161"/>
    </row>
    <row r="50" spans="1:9" x14ac:dyDescent="0.25">
      <c r="A50" s="59">
        <v>51</v>
      </c>
      <c r="B50" s="323">
        <v>1870000810</v>
      </c>
      <c r="C50" s="334" t="s">
        <v>371</v>
      </c>
      <c r="D50" s="501">
        <f>45.103*4</f>
        <v>180.41200000000001</v>
      </c>
      <c r="E50" s="501">
        <v>180</v>
      </c>
      <c r="F50" s="498">
        <v>0</v>
      </c>
      <c r="G50" s="499">
        <v>180</v>
      </c>
      <c r="H50" s="499">
        <v>180</v>
      </c>
      <c r="I50" s="161"/>
    </row>
    <row r="51" spans="1:9" x14ac:dyDescent="0.25">
      <c r="A51" s="101"/>
      <c r="B51" s="567" t="s">
        <v>433</v>
      </c>
      <c r="C51" s="568"/>
      <c r="D51" s="159">
        <f t="shared" ref="D51" si="0">SUM(D5:D50)</f>
        <v>21041.835999999999</v>
      </c>
      <c r="E51" s="159">
        <f>SUM(E5:E50)</f>
        <v>19428</v>
      </c>
      <c r="F51" s="91">
        <f>SUM(F5:F50)</f>
        <v>10362</v>
      </c>
      <c r="G51" s="91">
        <f>SUM(G5:G50)</f>
        <v>17584</v>
      </c>
      <c r="H51" s="91">
        <f>SUM(H5:H50)</f>
        <v>20116</v>
      </c>
      <c r="I51" s="161"/>
    </row>
    <row r="54" spans="1:9" x14ac:dyDescent="0.25">
      <c r="B54" s="25"/>
      <c r="C54" s="25"/>
    </row>
    <row r="55" spans="1:9" x14ac:dyDescent="0.25">
      <c r="B55" s="25"/>
      <c r="C55" s="25"/>
    </row>
    <row r="56" spans="1:9" x14ac:dyDescent="0.25">
      <c r="B56" s="25"/>
      <c r="C56" s="25"/>
    </row>
    <row r="57" spans="1:9" x14ac:dyDescent="0.25">
      <c r="B57" s="25"/>
      <c r="C57" s="25"/>
    </row>
    <row r="58" spans="1:9" x14ac:dyDescent="0.25">
      <c r="B58" s="25"/>
      <c r="C58" s="25"/>
    </row>
    <row r="59" spans="1:9" x14ac:dyDescent="0.25">
      <c r="B59" s="25"/>
      <c r="C59" s="25"/>
    </row>
    <row r="60" spans="1:9" x14ac:dyDescent="0.25">
      <c r="B60" s="25"/>
      <c r="C60" s="25"/>
    </row>
    <row r="61" spans="1:9" x14ac:dyDescent="0.25">
      <c r="B61" s="25"/>
      <c r="C61" s="25"/>
    </row>
    <row r="62" spans="1:9" x14ac:dyDescent="0.25">
      <c r="B62" s="25"/>
      <c r="C62" s="25"/>
    </row>
    <row r="63" spans="1:9" x14ac:dyDescent="0.25">
      <c r="B63" s="25"/>
      <c r="C63" s="25"/>
    </row>
    <row r="64" spans="1:9" x14ac:dyDescent="0.25">
      <c r="B64" s="25"/>
      <c r="C64" s="25"/>
    </row>
    <row r="65" spans="2:3" x14ac:dyDescent="0.25">
      <c r="B65" s="25"/>
      <c r="C65" s="25"/>
    </row>
    <row r="66" spans="2:3" x14ac:dyDescent="0.25">
      <c r="B66" s="25"/>
      <c r="C66" s="25"/>
    </row>
    <row r="67" spans="2:3" x14ac:dyDescent="0.25">
      <c r="B67" s="25"/>
      <c r="C67" s="25"/>
    </row>
    <row r="68" spans="2:3" x14ac:dyDescent="0.25">
      <c r="B68" s="25"/>
      <c r="C68" s="25"/>
    </row>
    <row r="69" spans="2:3" x14ac:dyDescent="0.25">
      <c r="B69" s="25"/>
      <c r="C69" s="25"/>
    </row>
    <row r="70" spans="2:3" x14ac:dyDescent="0.25">
      <c r="B70" s="25"/>
      <c r="C70" s="25"/>
    </row>
    <row r="71" spans="2:3" x14ac:dyDescent="0.25">
      <c r="B71" s="25"/>
      <c r="C71" s="25"/>
    </row>
    <row r="72" spans="2:3" x14ac:dyDescent="0.25">
      <c r="B72" s="25"/>
      <c r="C72" s="25"/>
    </row>
  </sheetData>
  <sheetProtection algorithmName="SHA-512" hashValue="H6Ke3j4BvzSjTFIFQbC2f+CM6sDCWC0GYPG67Occikcb13lv8i6oxmGmHC93RghOJxhc9E0dVxKH/hy/Fd57qQ==" saltValue="cfQqjAhRM5TMoEaOAJl1mA==" spinCount="100000" sheet="1" objects="1" scenarios="1"/>
  <mergeCells count="2">
    <mergeCell ref="C2:H2"/>
    <mergeCell ref="B51:C51"/>
  </mergeCells>
  <pageMargins left="0.27559055118110237" right="0.39370078740157483" top="0.74803149606299213" bottom="0.74803149606299213" header="0.31496062992125984" footer="0.31496062992125984"/>
  <pageSetup paperSize="9" scale="74" firstPageNumber="33" orientation="portrait" useFirstPageNumber="1" r:id="rId1"/>
  <headerFooter>
    <oddFooter>עמוד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I860"/>
  <sheetViews>
    <sheetView rightToLeft="1" topLeftCell="A235" workbookViewId="0">
      <selection activeCell="H274" sqref="H274"/>
    </sheetView>
  </sheetViews>
  <sheetFormatPr defaultRowHeight="13.8" x14ac:dyDescent="0.25"/>
  <cols>
    <col min="1" max="1" width="5.5" customWidth="1"/>
    <col min="2" max="2" width="10.8984375" bestFit="1" customWidth="1"/>
    <col min="4" max="4" width="14.09765625" bestFit="1" customWidth="1"/>
    <col min="5" max="5" width="12.3984375" hidden="1" customWidth="1"/>
    <col min="6" max="8" width="0" hidden="1" customWidth="1"/>
    <col min="9" max="9" width="14" style="79" bestFit="1" customWidth="1"/>
  </cols>
  <sheetData>
    <row r="2" spans="1:9" x14ac:dyDescent="0.25">
      <c r="A2">
        <v>100</v>
      </c>
      <c r="B2">
        <v>1111000</v>
      </c>
      <c r="C2">
        <v>0</v>
      </c>
      <c r="D2" s="1">
        <v>143216005.75</v>
      </c>
      <c r="E2">
        <v>0</v>
      </c>
      <c r="F2" s="1">
        <v>4150005.75</v>
      </c>
      <c r="G2" s="1">
        <v>139066000</v>
      </c>
      <c r="H2" s="1">
        <v>158936015.61000001</v>
      </c>
      <c r="I2" s="79" t="s">
        <v>2</v>
      </c>
    </row>
    <row r="3" spans="1:9" x14ac:dyDescent="0.25">
      <c r="A3">
        <v>910</v>
      </c>
      <c r="B3">
        <v>1111000</v>
      </c>
      <c r="C3">
        <v>0</v>
      </c>
      <c r="D3" s="1">
        <v>22711486</v>
      </c>
      <c r="E3">
        <v>0</v>
      </c>
      <c r="F3">
        <v>486</v>
      </c>
      <c r="G3" s="1">
        <v>22711000</v>
      </c>
      <c r="H3">
        <v>0</v>
      </c>
      <c r="I3" s="79" t="s">
        <v>2</v>
      </c>
    </row>
    <row r="4" spans="1:9" x14ac:dyDescent="0.25">
      <c r="A4">
        <v>911</v>
      </c>
      <c r="B4">
        <v>1111000</v>
      </c>
      <c r="C4">
        <v>0</v>
      </c>
      <c r="D4" s="1">
        <v>3178338.6</v>
      </c>
      <c r="E4" s="1">
        <v>1650661.4</v>
      </c>
      <c r="F4">
        <v>0</v>
      </c>
      <c r="G4" s="1">
        <v>4829000</v>
      </c>
      <c r="H4">
        <v>0</v>
      </c>
      <c r="I4" s="79" t="s">
        <v>2</v>
      </c>
    </row>
    <row r="5" spans="1:9" x14ac:dyDescent="0.25">
      <c r="A5">
        <v>100</v>
      </c>
      <c r="B5">
        <v>1111200</v>
      </c>
      <c r="C5">
        <v>0</v>
      </c>
      <c r="D5" s="1">
        <v>3829.42</v>
      </c>
      <c r="E5">
        <v>0</v>
      </c>
      <c r="F5" s="1">
        <v>3829.42</v>
      </c>
      <c r="G5">
        <v>0</v>
      </c>
      <c r="H5">
        <v>0</v>
      </c>
      <c r="I5" s="79" t="s">
        <v>2</v>
      </c>
    </row>
    <row r="6" spans="1:9" x14ac:dyDescent="0.25">
      <c r="A6">
        <v>100</v>
      </c>
      <c r="B6">
        <v>1113000</v>
      </c>
      <c r="C6">
        <v>0</v>
      </c>
      <c r="D6" s="1">
        <v>49539189</v>
      </c>
      <c r="E6">
        <v>0</v>
      </c>
      <c r="F6" s="1">
        <v>514189</v>
      </c>
      <c r="G6" s="1">
        <v>49025000</v>
      </c>
      <c r="H6" s="1">
        <v>31433157.390000001</v>
      </c>
      <c r="I6" s="79" t="s">
        <v>2</v>
      </c>
    </row>
    <row r="7" spans="1:9" x14ac:dyDescent="0.25">
      <c r="A7">
        <v>220</v>
      </c>
      <c r="B7">
        <v>1121000</v>
      </c>
      <c r="C7">
        <v>0</v>
      </c>
      <c r="D7" s="1">
        <v>41861.769999999997</v>
      </c>
      <c r="E7">
        <v>0</v>
      </c>
      <c r="F7" s="1">
        <v>1861.77</v>
      </c>
      <c r="G7" s="1">
        <v>40000</v>
      </c>
      <c r="H7" s="1">
        <v>51968.17</v>
      </c>
      <c r="I7" s="79" t="s">
        <v>2</v>
      </c>
    </row>
    <row r="8" spans="1:9" x14ac:dyDescent="0.25">
      <c r="A8">
        <v>220</v>
      </c>
      <c r="B8">
        <v>1121100</v>
      </c>
      <c r="C8">
        <v>0</v>
      </c>
      <c r="D8" s="1">
        <v>311009.01</v>
      </c>
      <c r="E8">
        <v>0</v>
      </c>
      <c r="F8" s="1">
        <v>31009.01</v>
      </c>
      <c r="G8" s="1">
        <v>280000</v>
      </c>
      <c r="H8" s="1">
        <v>392865.71</v>
      </c>
      <c r="I8" s="79" t="s">
        <v>2</v>
      </c>
    </row>
    <row r="9" spans="1:9" x14ac:dyDescent="0.25">
      <c r="A9">
        <v>210</v>
      </c>
      <c r="B9">
        <v>1122000</v>
      </c>
      <c r="C9">
        <v>0</v>
      </c>
      <c r="D9" s="1">
        <v>969817.78</v>
      </c>
      <c r="E9">
        <v>0</v>
      </c>
      <c r="F9" s="1">
        <v>24817.78</v>
      </c>
      <c r="G9" s="1">
        <v>945000</v>
      </c>
      <c r="H9" s="1">
        <v>1034173.53</v>
      </c>
      <c r="I9" s="79" t="s">
        <v>2</v>
      </c>
    </row>
    <row r="10" spans="1:9" x14ac:dyDescent="0.25">
      <c r="A10">
        <v>210</v>
      </c>
      <c r="B10">
        <v>1122100</v>
      </c>
      <c r="C10">
        <v>0</v>
      </c>
      <c r="D10">
        <v>0</v>
      </c>
      <c r="E10">
        <v>0</v>
      </c>
      <c r="F10">
        <v>0</v>
      </c>
      <c r="G10">
        <v>0</v>
      </c>
      <c r="H10" s="1">
        <v>1913.88</v>
      </c>
      <c r="I10" s="79" t="s">
        <v>2</v>
      </c>
    </row>
    <row r="11" spans="1:9" x14ac:dyDescent="0.25">
      <c r="A11">
        <v>220</v>
      </c>
      <c r="B11">
        <v>1124100</v>
      </c>
      <c r="C11">
        <v>0</v>
      </c>
      <c r="D11">
        <v>0</v>
      </c>
      <c r="E11">
        <v>0</v>
      </c>
      <c r="F11">
        <v>0</v>
      </c>
      <c r="G11">
        <v>0</v>
      </c>
      <c r="H11">
        <v>600</v>
      </c>
      <c r="I11" s="79" t="s">
        <v>2</v>
      </c>
    </row>
    <row r="12" spans="1:9" x14ac:dyDescent="0.25">
      <c r="A12">
        <v>290</v>
      </c>
      <c r="B12">
        <v>1129000</v>
      </c>
      <c r="C12">
        <v>0</v>
      </c>
      <c r="D12" s="1">
        <v>39870</v>
      </c>
      <c r="E12">
        <v>130</v>
      </c>
      <c r="F12">
        <v>0</v>
      </c>
      <c r="G12" s="1">
        <v>40000</v>
      </c>
      <c r="H12" s="1">
        <v>74318.16</v>
      </c>
      <c r="I12" s="79" t="s">
        <v>2</v>
      </c>
    </row>
    <row r="13" spans="1:9" x14ac:dyDescent="0.25">
      <c r="A13">
        <v>291</v>
      </c>
      <c r="B13">
        <v>1129000</v>
      </c>
      <c r="C13">
        <v>0</v>
      </c>
      <c r="D13" s="1">
        <v>17101</v>
      </c>
      <c r="E13">
        <v>0</v>
      </c>
      <c r="F13" s="1">
        <v>17101</v>
      </c>
      <c r="G13">
        <v>0</v>
      </c>
      <c r="H13">
        <v>0</v>
      </c>
      <c r="I13" s="79" t="s">
        <v>2</v>
      </c>
    </row>
    <row r="14" spans="1:9" x14ac:dyDescent="0.25">
      <c r="A14">
        <v>910</v>
      </c>
      <c r="B14">
        <v>1191000</v>
      </c>
      <c r="C14">
        <v>0</v>
      </c>
      <c r="D14" s="1">
        <v>4198522</v>
      </c>
      <c r="E14" s="1">
        <v>300478</v>
      </c>
      <c r="F14">
        <v>0</v>
      </c>
      <c r="G14" s="1">
        <v>4499000</v>
      </c>
      <c r="H14" s="1">
        <v>5471595.1699999999</v>
      </c>
      <c r="I14" s="79" t="s">
        <v>2</v>
      </c>
    </row>
    <row r="15" spans="1:9" x14ac:dyDescent="0.25">
      <c r="A15">
        <v>910</v>
      </c>
      <c r="B15">
        <v>1192000</v>
      </c>
      <c r="C15">
        <v>0</v>
      </c>
      <c r="D15" s="1">
        <v>5320704</v>
      </c>
      <c r="E15">
        <v>0</v>
      </c>
      <c r="F15" s="1">
        <v>1753704</v>
      </c>
      <c r="G15" s="1">
        <v>3567000</v>
      </c>
      <c r="H15" s="1">
        <v>5943355.8300000001</v>
      </c>
      <c r="I15" s="79" t="s">
        <v>2</v>
      </c>
    </row>
    <row r="16" spans="1:9" x14ac:dyDescent="0.25">
      <c r="A16">
        <v>420</v>
      </c>
      <c r="B16">
        <v>1212300</v>
      </c>
      <c r="C16">
        <v>0</v>
      </c>
      <c r="D16" s="1">
        <v>5242.24</v>
      </c>
      <c r="E16">
        <v>0</v>
      </c>
      <c r="F16" s="1">
        <v>5242.24</v>
      </c>
      <c r="G16">
        <v>0</v>
      </c>
      <c r="H16">
        <v>300</v>
      </c>
      <c r="I16" s="79" t="s">
        <v>2</v>
      </c>
    </row>
    <row r="17" spans="1:9" x14ac:dyDescent="0.25">
      <c r="A17">
        <v>650</v>
      </c>
      <c r="B17">
        <v>1212300</v>
      </c>
      <c r="C17">
        <v>0</v>
      </c>
      <c r="D17" s="1">
        <v>371553.79</v>
      </c>
      <c r="E17" s="1">
        <v>182446.21</v>
      </c>
      <c r="F17">
        <v>0</v>
      </c>
      <c r="G17" s="1">
        <v>554000</v>
      </c>
      <c r="H17" s="1">
        <v>619553</v>
      </c>
      <c r="I17" s="79" t="s">
        <v>2</v>
      </c>
    </row>
    <row r="18" spans="1:9" x14ac:dyDescent="0.25">
      <c r="A18">
        <v>690</v>
      </c>
      <c r="B18">
        <v>1212300</v>
      </c>
      <c r="C18">
        <v>0</v>
      </c>
      <c r="D18" s="1">
        <v>17622</v>
      </c>
      <c r="E18" s="1">
        <v>2378</v>
      </c>
      <c r="F18">
        <v>0</v>
      </c>
      <c r="G18" s="1">
        <v>20000</v>
      </c>
      <c r="H18" s="1">
        <v>24885</v>
      </c>
      <c r="I18" s="79" t="s">
        <v>2</v>
      </c>
    </row>
    <row r="19" spans="1:9" x14ac:dyDescent="0.25">
      <c r="A19">
        <v>490</v>
      </c>
      <c r="B19">
        <v>1212400</v>
      </c>
      <c r="C19">
        <v>0</v>
      </c>
      <c r="D19">
        <v>0</v>
      </c>
      <c r="E19">
        <v>0</v>
      </c>
      <c r="F19">
        <v>0</v>
      </c>
      <c r="G19">
        <v>0</v>
      </c>
      <c r="H19" s="1">
        <v>1200000</v>
      </c>
      <c r="I19" s="79" t="s">
        <v>2</v>
      </c>
    </row>
    <row r="20" spans="1:9" x14ac:dyDescent="0.25">
      <c r="A20">
        <v>220</v>
      </c>
      <c r="B20">
        <v>1214200</v>
      </c>
      <c r="C20">
        <v>0</v>
      </c>
      <c r="D20" s="1">
        <v>174964.15</v>
      </c>
      <c r="E20" s="1">
        <v>25035.85</v>
      </c>
      <c r="F20">
        <v>0</v>
      </c>
      <c r="G20" s="1">
        <v>200000</v>
      </c>
      <c r="H20" s="1">
        <v>311813.5</v>
      </c>
      <c r="I20" s="79" t="s">
        <v>2</v>
      </c>
    </row>
    <row r="21" spans="1:9" x14ac:dyDescent="0.25">
      <c r="A21">
        <v>220</v>
      </c>
      <c r="B21">
        <v>1214210</v>
      </c>
      <c r="C21">
        <v>0</v>
      </c>
      <c r="D21" s="1">
        <v>216780.39</v>
      </c>
      <c r="E21">
        <v>0</v>
      </c>
      <c r="F21" s="1">
        <v>36780.39</v>
      </c>
      <c r="G21" s="1">
        <v>180000</v>
      </c>
      <c r="H21" s="1">
        <v>202323.05</v>
      </c>
      <c r="I21" s="79" t="s">
        <v>2</v>
      </c>
    </row>
    <row r="22" spans="1:9" x14ac:dyDescent="0.25">
      <c r="A22">
        <v>910</v>
      </c>
      <c r="B22">
        <v>1222100</v>
      </c>
      <c r="C22">
        <v>0</v>
      </c>
      <c r="D22" s="1">
        <v>26000</v>
      </c>
      <c r="E22">
        <v>0</v>
      </c>
      <c r="F22">
        <v>0</v>
      </c>
      <c r="G22" s="1">
        <v>26000</v>
      </c>
      <c r="H22" s="1">
        <v>26000</v>
      </c>
      <c r="I22" s="79" t="s">
        <v>2</v>
      </c>
    </row>
    <row r="23" spans="1:9" x14ac:dyDescent="0.25">
      <c r="A23">
        <v>910</v>
      </c>
      <c r="B23">
        <v>1229999</v>
      </c>
      <c r="C23">
        <v>0</v>
      </c>
      <c r="D23" s="1">
        <v>965359.74</v>
      </c>
      <c r="E23">
        <v>0</v>
      </c>
      <c r="F23" s="1">
        <v>143359.74</v>
      </c>
      <c r="G23" s="1">
        <v>822000</v>
      </c>
      <c r="H23">
        <v>0</v>
      </c>
      <c r="I23" s="79" t="s">
        <v>2</v>
      </c>
    </row>
    <row r="24" spans="1:9" x14ac:dyDescent="0.25">
      <c r="A24">
        <v>690</v>
      </c>
      <c r="B24">
        <v>1230000</v>
      </c>
      <c r="C24">
        <v>0</v>
      </c>
      <c r="D24" s="1">
        <v>4057500</v>
      </c>
      <c r="E24">
        <v>0</v>
      </c>
      <c r="F24" s="1">
        <v>3957500</v>
      </c>
      <c r="G24" s="1">
        <v>100000</v>
      </c>
      <c r="H24" s="1">
        <v>4969411.99</v>
      </c>
      <c r="I24" s="79" t="s">
        <v>2</v>
      </c>
    </row>
    <row r="25" spans="1:9" x14ac:dyDescent="0.25">
      <c r="A25">
        <v>690</v>
      </c>
      <c r="B25">
        <v>1232000</v>
      </c>
      <c r="C25">
        <v>0</v>
      </c>
      <c r="D25" s="1">
        <v>1749</v>
      </c>
      <c r="E25">
        <v>0</v>
      </c>
      <c r="F25" s="1">
        <v>1749</v>
      </c>
      <c r="G25">
        <v>0</v>
      </c>
      <c r="H25">
        <v>192</v>
      </c>
      <c r="I25" s="79" t="s">
        <v>2</v>
      </c>
    </row>
    <row r="26" spans="1:9" x14ac:dyDescent="0.25">
      <c r="A26">
        <v>290</v>
      </c>
      <c r="B26">
        <v>1233100</v>
      </c>
      <c r="C26">
        <v>0</v>
      </c>
      <c r="D26" s="1">
        <v>1920615</v>
      </c>
      <c r="E26" s="1">
        <v>79385</v>
      </c>
      <c r="F26">
        <v>0</v>
      </c>
      <c r="G26" s="1">
        <v>2000000</v>
      </c>
      <c r="H26" s="1">
        <v>3064648.1</v>
      </c>
      <c r="I26" s="79" t="s">
        <v>2</v>
      </c>
    </row>
    <row r="27" spans="1:9" x14ac:dyDescent="0.25">
      <c r="A27">
        <v>540</v>
      </c>
      <c r="B27">
        <v>1269000</v>
      </c>
      <c r="C27">
        <v>0</v>
      </c>
      <c r="D27" s="1">
        <v>408417.32</v>
      </c>
      <c r="E27">
        <v>0</v>
      </c>
      <c r="F27" s="1">
        <v>328417.32</v>
      </c>
      <c r="G27" s="1">
        <v>80000</v>
      </c>
      <c r="H27" s="1">
        <v>342666.45</v>
      </c>
      <c r="I27" s="79" t="s">
        <v>2</v>
      </c>
    </row>
    <row r="28" spans="1:9" x14ac:dyDescent="0.25">
      <c r="A28">
        <v>620</v>
      </c>
      <c r="B28">
        <v>1269000</v>
      </c>
      <c r="C28">
        <v>0</v>
      </c>
      <c r="D28" s="1">
        <v>3700</v>
      </c>
      <c r="E28" s="1">
        <v>2300</v>
      </c>
      <c r="F28">
        <v>0</v>
      </c>
      <c r="G28" s="1">
        <v>6000</v>
      </c>
      <c r="H28" s="1">
        <v>124086</v>
      </c>
      <c r="I28" s="79" t="s">
        <v>2</v>
      </c>
    </row>
    <row r="29" spans="1:9" x14ac:dyDescent="0.25">
      <c r="A29">
        <v>640</v>
      </c>
      <c r="B29">
        <v>1269000</v>
      </c>
      <c r="C29">
        <v>0</v>
      </c>
      <c r="D29">
        <v>0</v>
      </c>
      <c r="E29">
        <v>0</v>
      </c>
      <c r="F29">
        <v>0</v>
      </c>
      <c r="G29">
        <v>0</v>
      </c>
      <c r="H29" s="1">
        <v>383355</v>
      </c>
      <c r="I29" s="79" t="s">
        <v>2</v>
      </c>
    </row>
    <row r="30" spans="1:9" x14ac:dyDescent="0.25">
      <c r="A30">
        <v>690</v>
      </c>
      <c r="B30">
        <v>1269000</v>
      </c>
      <c r="C30">
        <v>0</v>
      </c>
      <c r="D30" s="1">
        <v>817934.56</v>
      </c>
      <c r="E30" s="1">
        <v>183065.44</v>
      </c>
      <c r="F30">
        <v>0</v>
      </c>
      <c r="G30" s="1">
        <v>1001000</v>
      </c>
      <c r="H30" s="1">
        <v>9004939.4800000004</v>
      </c>
      <c r="I30" s="79" t="s">
        <v>2</v>
      </c>
    </row>
    <row r="31" spans="1:9" x14ac:dyDescent="0.25">
      <c r="A31">
        <v>990</v>
      </c>
      <c r="B31">
        <v>1269000</v>
      </c>
      <c r="C31">
        <v>0</v>
      </c>
      <c r="D31" s="1">
        <v>120000</v>
      </c>
      <c r="E31" s="1">
        <v>106000</v>
      </c>
      <c r="F31">
        <v>0</v>
      </c>
      <c r="G31" s="1">
        <v>226000</v>
      </c>
      <c r="H31" s="1">
        <v>-11310.1</v>
      </c>
      <c r="I31" s="79" t="s">
        <v>2</v>
      </c>
    </row>
    <row r="32" spans="1:9" x14ac:dyDescent="0.25">
      <c r="A32">
        <v>690</v>
      </c>
      <c r="B32">
        <v>1269011</v>
      </c>
      <c r="C32">
        <v>0</v>
      </c>
      <c r="D32" s="1">
        <v>67210.8</v>
      </c>
      <c r="E32">
        <v>0</v>
      </c>
      <c r="F32" s="1">
        <v>37210.800000000003</v>
      </c>
      <c r="G32" s="1">
        <v>30000</v>
      </c>
      <c r="H32" s="1">
        <v>126250</v>
      </c>
      <c r="I32" s="79" t="s">
        <v>2</v>
      </c>
    </row>
    <row r="33" spans="1:9" x14ac:dyDescent="0.25">
      <c r="A33">
        <v>690</v>
      </c>
      <c r="B33">
        <v>1269012</v>
      </c>
      <c r="C33">
        <v>0</v>
      </c>
      <c r="D33" s="1">
        <v>32470</v>
      </c>
      <c r="E33">
        <v>0</v>
      </c>
      <c r="F33" s="1">
        <v>2470</v>
      </c>
      <c r="G33" s="1">
        <v>30000</v>
      </c>
      <c r="H33" s="1">
        <v>29760</v>
      </c>
      <c r="I33" s="79" t="s">
        <v>2</v>
      </c>
    </row>
    <row r="34" spans="1:9" x14ac:dyDescent="0.25">
      <c r="A34">
        <v>690</v>
      </c>
      <c r="B34">
        <v>1269021</v>
      </c>
      <c r="C34">
        <v>0</v>
      </c>
      <c r="D34">
        <v>34.4</v>
      </c>
      <c r="E34">
        <v>0</v>
      </c>
      <c r="F34">
        <v>34.4</v>
      </c>
      <c r="G34">
        <v>0</v>
      </c>
      <c r="H34">
        <v>0</v>
      </c>
      <c r="I34" s="79" t="s">
        <v>2</v>
      </c>
    </row>
    <row r="35" spans="1:9" x14ac:dyDescent="0.25">
      <c r="A35">
        <v>690</v>
      </c>
      <c r="B35">
        <v>1269022</v>
      </c>
      <c r="C35">
        <v>0</v>
      </c>
      <c r="D35">
        <v>180.2</v>
      </c>
      <c r="E35">
        <v>819.8</v>
      </c>
      <c r="F35">
        <v>0</v>
      </c>
      <c r="G35" s="1">
        <v>1000</v>
      </c>
      <c r="H35">
        <v>562.4</v>
      </c>
      <c r="I35" s="79" t="s">
        <v>2</v>
      </c>
    </row>
    <row r="36" spans="1:9" x14ac:dyDescent="0.25">
      <c r="A36">
        <v>690</v>
      </c>
      <c r="B36">
        <v>1269023</v>
      </c>
      <c r="C36">
        <v>0</v>
      </c>
      <c r="D36" s="1">
        <v>9600</v>
      </c>
      <c r="E36">
        <v>0</v>
      </c>
      <c r="F36" s="1">
        <v>9600</v>
      </c>
      <c r="G36">
        <v>0</v>
      </c>
      <c r="H36">
        <v>0</v>
      </c>
      <c r="I36" s="79" t="s">
        <v>2</v>
      </c>
    </row>
    <row r="37" spans="1:9" x14ac:dyDescent="0.25">
      <c r="A37">
        <v>690</v>
      </c>
      <c r="B37">
        <v>1269034</v>
      </c>
      <c r="C37">
        <v>0</v>
      </c>
      <c r="D37" s="1">
        <v>1620</v>
      </c>
      <c r="E37" s="1">
        <v>3380</v>
      </c>
      <c r="F37">
        <v>0</v>
      </c>
      <c r="G37" s="1">
        <v>5000</v>
      </c>
      <c r="H37" s="1">
        <v>12420.03</v>
      </c>
      <c r="I37" s="79" t="s">
        <v>2</v>
      </c>
    </row>
    <row r="38" spans="1:9" x14ac:dyDescent="0.25">
      <c r="A38">
        <v>690</v>
      </c>
      <c r="B38">
        <v>1269045</v>
      </c>
      <c r="C38">
        <v>0</v>
      </c>
      <c r="D38">
        <v>0</v>
      </c>
      <c r="E38">
        <v>0</v>
      </c>
      <c r="F38">
        <v>0</v>
      </c>
      <c r="G38">
        <v>0</v>
      </c>
      <c r="H38">
        <v>-1.26</v>
      </c>
      <c r="I38" s="79" t="s">
        <v>2</v>
      </c>
    </row>
    <row r="39" spans="1:9" x14ac:dyDescent="0.25">
      <c r="A39">
        <v>690</v>
      </c>
      <c r="B39">
        <v>1269050</v>
      </c>
      <c r="C39">
        <v>0</v>
      </c>
      <c r="D39" s="1">
        <v>6550</v>
      </c>
      <c r="E39">
        <v>0</v>
      </c>
      <c r="F39">
        <v>550</v>
      </c>
      <c r="G39" s="1">
        <v>6000</v>
      </c>
      <c r="H39" s="1">
        <v>15750</v>
      </c>
      <c r="I39" s="79" t="s">
        <v>2</v>
      </c>
    </row>
    <row r="40" spans="1:9" x14ac:dyDescent="0.25">
      <c r="A40">
        <v>690</v>
      </c>
      <c r="B40">
        <v>1269051</v>
      </c>
      <c r="C40">
        <v>0</v>
      </c>
      <c r="D40">
        <v>13.8</v>
      </c>
      <c r="E40">
        <v>0</v>
      </c>
      <c r="F40">
        <v>13.8</v>
      </c>
      <c r="G40">
        <v>0</v>
      </c>
      <c r="H40">
        <v>52.4</v>
      </c>
      <c r="I40" s="79" t="s">
        <v>2</v>
      </c>
    </row>
    <row r="41" spans="1:9" x14ac:dyDescent="0.25">
      <c r="A41">
        <v>690</v>
      </c>
      <c r="B41">
        <v>1269053</v>
      </c>
      <c r="C41">
        <v>0</v>
      </c>
      <c r="D41">
        <v>0</v>
      </c>
      <c r="E41" s="1">
        <v>229000</v>
      </c>
      <c r="F41">
        <v>0</v>
      </c>
      <c r="G41" s="1">
        <v>229000</v>
      </c>
      <c r="H41">
        <v>0</v>
      </c>
      <c r="I41" s="79" t="s">
        <v>2</v>
      </c>
    </row>
    <row r="42" spans="1:9" x14ac:dyDescent="0.25">
      <c r="A42">
        <v>690</v>
      </c>
      <c r="B42">
        <v>1269056</v>
      </c>
      <c r="C42">
        <v>0</v>
      </c>
      <c r="D42" s="1">
        <v>222364.53</v>
      </c>
      <c r="E42">
        <v>0</v>
      </c>
      <c r="F42" s="1">
        <v>22364.53</v>
      </c>
      <c r="G42" s="1">
        <v>200000</v>
      </c>
      <c r="H42" s="1">
        <v>253423.65</v>
      </c>
      <c r="I42" s="79" t="s">
        <v>2</v>
      </c>
    </row>
    <row r="43" spans="1:9" x14ac:dyDescent="0.25">
      <c r="A43">
        <v>690</v>
      </c>
      <c r="B43">
        <v>1269058</v>
      </c>
      <c r="C43">
        <v>0</v>
      </c>
      <c r="D43">
        <v>400</v>
      </c>
      <c r="E43">
        <v>0</v>
      </c>
      <c r="F43">
        <v>400</v>
      </c>
      <c r="G43">
        <v>0</v>
      </c>
      <c r="H43">
        <v>700</v>
      </c>
      <c r="I43" s="79" t="s">
        <v>2</v>
      </c>
    </row>
    <row r="44" spans="1:9" x14ac:dyDescent="0.25">
      <c r="A44">
        <v>690</v>
      </c>
      <c r="B44">
        <v>1269063</v>
      </c>
      <c r="C44">
        <v>0</v>
      </c>
      <c r="D44">
        <v>0</v>
      </c>
      <c r="E44">
        <v>0</v>
      </c>
      <c r="F44">
        <v>0</v>
      </c>
      <c r="G44">
        <v>0</v>
      </c>
      <c r="H44" s="1">
        <v>3007.6</v>
      </c>
      <c r="I44" s="79" t="s">
        <v>2</v>
      </c>
    </row>
    <row r="45" spans="1:9" x14ac:dyDescent="0.25">
      <c r="A45">
        <v>690</v>
      </c>
      <c r="B45">
        <v>1269068</v>
      </c>
      <c r="C45">
        <v>0</v>
      </c>
      <c r="D45">
        <v>0</v>
      </c>
      <c r="E45">
        <v>0</v>
      </c>
      <c r="F45">
        <v>0</v>
      </c>
      <c r="G45">
        <v>0</v>
      </c>
      <c r="H45">
        <v>500</v>
      </c>
      <c r="I45" s="79" t="s">
        <v>2</v>
      </c>
    </row>
    <row r="46" spans="1:9" x14ac:dyDescent="0.25">
      <c r="A46">
        <v>690</v>
      </c>
      <c r="B46">
        <v>1269069</v>
      </c>
      <c r="C46">
        <v>0</v>
      </c>
      <c r="D46" s="1">
        <v>194114.6</v>
      </c>
      <c r="E46">
        <v>0</v>
      </c>
      <c r="F46" s="1">
        <v>10114.6</v>
      </c>
      <c r="G46" s="1">
        <v>184000</v>
      </c>
      <c r="H46" s="1">
        <v>183695.76</v>
      </c>
      <c r="I46" s="79" t="s">
        <v>2</v>
      </c>
    </row>
    <row r="47" spans="1:9" x14ac:dyDescent="0.25">
      <c r="A47">
        <v>690</v>
      </c>
      <c r="B47">
        <v>1269074</v>
      </c>
      <c r="C47">
        <v>0</v>
      </c>
      <c r="D47" s="1">
        <v>19926</v>
      </c>
      <c r="E47">
        <v>0</v>
      </c>
      <c r="F47" s="1">
        <v>4926</v>
      </c>
      <c r="G47" s="1">
        <v>15000</v>
      </c>
      <c r="H47" s="1">
        <v>45614</v>
      </c>
      <c r="I47" s="79" t="s">
        <v>2</v>
      </c>
    </row>
    <row r="48" spans="1:9" x14ac:dyDescent="0.25">
      <c r="A48">
        <v>690</v>
      </c>
      <c r="B48">
        <v>1269077</v>
      </c>
      <c r="C48">
        <v>0</v>
      </c>
      <c r="D48" s="1">
        <v>4256</v>
      </c>
      <c r="E48" s="1">
        <v>1744</v>
      </c>
      <c r="F48">
        <v>0</v>
      </c>
      <c r="G48" s="1">
        <v>6000</v>
      </c>
      <c r="H48" s="1">
        <v>9037</v>
      </c>
      <c r="I48" s="79" t="s">
        <v>2</v>
      </c>
    </row>
    <row r="49" spans="1:9" x14ac:dyDescent="0.25">
      <c r="A49">
        <v>690</v>
      </c>
      <c r="B49">
        <v>1269090</v>
      </c>
      <c r="C49">
        <v>0</v>
      </c>
      <c r="D49">
        <v>-450</v>
      </c>
      <c r="E49">
        <v>450</v>
      </c>
      <c r="F49">
        <v>0</v>
      </c>
      <c r="G49">
        <v>0</v>
      </c>
      <c r="H49" s="1">
        <v>3450</v>
      </c>
      <c r="I49" s="79" t="s">
        <v>2</v>
      </c>
    </row>
    <row r="50" spans="1:9" x14ac:dyDescent="0.25">
      <c r="A50">
        <v>990</v>
      </c>
      <c r="B50">
        <v>1269100</v>
      </c>
      <c r="C50">
        <v>0</v>
      </c>
      <c r="D50" s="1">
        <v>-751390.81</v>
      </c>
      <c r="E50" s="1">
        <v>1451390.81</v>
      </c>
      <c r="F50">
        <v>0</v>
      </c>
      <c r="G50" s="1">
        <v>700000</v>
      </c>
      <c r="H50" s="1">
        <v>1433895.72</v>
      </c>
      <c r="I50" s="79" t="s">
        <v>2</v>
      </c>
    </row>
    <row r="51" spans="1:9" x14ac:dyDescent="0.25">
      <c r="A51">
        <v>690</v>
      </c>
      <c r="B51">
        <v>1269200</v>
      </c>
      <c r="C51">
        <v>0</v>
      </c>
      <c r="D51" s="1">
        <v>2270</v>
      </c>
      <c r="E51">
        <v>0</v>
      </c>
      <c r="F51">
        <v>270</v>
      </c>
      <c r="G51" s="1">
        <v>2000</v>
      </c>
      <c r="H51" s="1">
        <v>1620</v>
      </c>
      <c r="I51" s="79" t="s">
        <v>2</v>
      </c>
    </row>
    <row r="52" spans="1:9" x14ac:dyDescent="0.25">
      <c r="A52">
        <v>690</v>
      </c>
      <c r="B52">
        <v>1273200</v>
      </c>
      <c r="C52">
        <v>0</v>
      </c>
      <c r="D52" s="1">
        <v>372000</v>
      </c>
      <c r="E52" s="1">
        <v>1104000</v>
      </c>
      <c r="F52">
        <v>0</v>
      </c>
      <c r="G52" s="1">
        <v>1476000</v>
      </c>
      <c r="H52" s="1">
        <v>3418000</v>
      </c>
      <c r="I52" s="79" t="s">
        <v>2</v>
      </c>
    </row>
    <row r="53" spans="1:9" x14ac:dyDescent="0.25">
      <c r="A53">
        <v>690</v>
      </c>
      <c r="B53">
        <v>1281200</v>
      </c>
      <c r="C53">
        <v>0</v>
      </c>
      <c r="D53" s="1">
        <v>406154</v>
      </c>
      <c r="E53">
        <v>0</v>
      </c>
      <c r="F53" s="1">
        <v>156154</v>
      </c>
      <c r="G53" s="1">
        <v>250000</v>
      </c>
      <c r="H53" s="1">
        <v>124456.42</v>
      </c>
      <c r="I53" s="79" t="s">
        <v>2</v>
      </c>
    </row>
    <row r="54" spans="1:9" x14ac:dyDescent="0.25">
      <c r="A54">
        <v>690</v>
      </c>
      <c r="B54">
        <v>1282000</v>
      </c>
      <c r="C54">
        <v>0</v>
      </c>
      <c r="D54" s="1">
        <v>222057</v>
      </c>
      <c r="E54">
        <v>0</v>
      </c>
      <c r="F54" s="1">
        <v>22057</v>
      </c>
      <c r="G54" s="1">
        <v>200000</v>
      </c>
      <c r="H54" s="1">
        <v>278904.96000000002</v>
      </c>
      <c r="I54" s="79" t="s">
        <v>2</v>
      </c>
    </row>
    <row r="55" spans="1:9" x14ac:dyDescent="0.25">
      <c r="A55">
        <v>690</v>
      </c>
      <c r="B55">
        <v>1282100</v>
      </c>
      <c r="C55">
        <v>0</v>
      </c>
      <c r="D55" s="1">
        <v>26895.83</v>
      </c>
      <c r="E55" s="1">
        <v>233104.17</v>
      </c>
      <c r="F55">
        <v>0</v>
      </c>
      <c r="G55" s="1">
        <v>260000</v>
      </c>
      <c r="H55" s="1">
        <v>152138.28</v>
      </c>
      <c r="I55" s="79" t="s">
        <v>2</v>
      </c>
    </row>
    <row r="56" spans="1:9" x14ac:dyDescent="0.25">
      <c r="A56">
        <v>410</v>
      </c>
      <c r="B56">
        <v>1312200</v>
      </c>
      <c r="C56">
        <v>0</v>
      </c>
      <c r="D56">
        <v>-448</v>
      </c>
      <c r="E56">
        <v>448</v>
      </c>
      <c r="F56">
        <v>0</v>
      </c>
      <c r="G56">
        <v>0</v>
      </c>
      <c r="H56">
        <v>184.13</v>
      </c>
      <c r="I56" s="79" t="s">
        <v>2</v>
      </c>
    </row>
    <row r="57" spans="1:9" x14ac:dyDescent="0.25">
      <c r="A57">
        <v>420</v>
      </c>
      <c r="B57">
        <v>1312200</v>
      </c>
      <c r="C57">
        <v>0</v>
      </c>
      <c r="D57" s="1">
        <v>251453.31</v>
      </c>
      <c r="E57">
        <v>0</v>
      </c>
      <c r="F57" s="1">
        <v>20453.310000000001</v>
      </c>
      <c r="G57" s="1">
        <v>231000</v>
      </c>
      <c r="H57" s="1">
        <v>325020.59999999998</v>
      </c>
      <c r="I57" s="79" t="s">
        <v>2</v>
      </c>
    </row>
    <row r="58" spans="1:9" x14ac:dyDescent="0.25">
      <c r="A58">
        <v>421</v>
      </c>
      <c r="B58">
        <v>1312200</v>
      </c>
      <c r="C58">
        <v>0</v>
      </c>
      <c r="D58" s="1">
        <v>69961.5</v>
      </c>
      <c r="E58">
        <v>0</v>
      </c>
      <c r="F58" s="1">
        <v>69961.5</v>
      </c>
      <c r="G58">
        <v>0</v>
      </c>
      <c r="H58">
        <v>0</v>
      </c>
      <c r="I58" s="79" t="s">
        <v>2</v>
      </c>
    </row>
    <row r="59" spans="1:9" x14ac:dyDescent="0.25">
      <c r="A59">
        <v>920</v>
      </c>
      <c r="B59">
        <v>1312200</v>
      </c>
      <c r="C59">
        <v>0</v>
      </c>
      <c r="D59" s="1">
        <v>4667346.5199999996</v>
      </c>
      <c r="E59">
        <v>0</v>
      </c>
      <c r="F59" s="1">
        <v>4667346.5199999996</v>
      </c>
      <c r="G59">
        <v>0</v>
      </c>
      <c r="H59" s="1">
        <v>4427708.67</v>
      </c>
      <c r="I59" s="79" t="s">
        <v>2</v>
      </c>
    </row>
    <row r="60" spans="1:9" x14ac:dyDescent="0.25">
      <c r="A60">
        <v>410</v>
      </c>
      <c r="B60">
        <v>1312300</v>
      </c>
      <c r="C60">
        <v>0</v>
      </c>
      <c r="D60" s="1">
        <v>981673.01</v>
      </c>
      <c r="E60">
        <v>0</v>
      </c>
      <c r="F60" s="1">
        <v>613673.01</v>
      </c>
      <c r="G60" s="1">
        <v>368000</v>
      </c>
      <c r="H60" s="1">
        <v>307759.40999999997</v>
      </c>
      <c r="I60" s="79" t="s">
        <v>2</v>
      </c>
    </row>
    <row r="61" spans="1:9" x14ac:dyDescent="0.25">
      <c r="A61">
        <v>920</v>
      </c>
      <c r="B61">
        <v>1312300</v>
      </c>
      <c r="C61">
        <v>0</v>
      </c>
      <c r="D61" s="1">
        <v>10362118.07</v>
      </c>
      <c r="E61" s="1">
        <v>779881.93</v>
      </c>
      <c r="F61">
        <v>0</v>
      </c>
      <c r="G61" s="1">
        <v>11142000</v>
      </c>
      <c r="H61" s="1">
        <v>11285952.48</v>
      </c>
      <c r="I61" s="79" t="s">
        <v>2</v>
      </c>
    </row>
    <row r="62" spans="1:9" x14ac:dyDescent="0.25">
      <c r="A62">
        <v>410</v>
      </c>
      <c r="B62">
        <v>1312310</v>
      </c>
      <c r="C62">
        <v>0</v>
      </c>
      <c r="D62" s="1">
        <v>11325.31</v>
      </c>
      <c r="E62" s="1">
        <v>28674.69</v>
      </c>
      <c r="F62">
        <v>0</v>
      </c>
      <c r="G62" s="1">
        <v>40000</v>
      </c>
      <c r="H62" s="1">
        <v>418649.84</v>
      </c>
      <c r="I62" s="79" t="s">
        <v>2</v>
      </c>
    </row>
    <row r="63" spans="1:9" x14ac:dyDescent="0.25">
      <c r="A63">
        <v>920</v>
      </c>
      <c r="B63">
        <v>1312310</v>
      </c>
      <c r="C63">
        <v>0</v>
      </c>
      <c r="D63" s="1">
        <v>5382778.2699999996</v>
      </c>
      <c r="E63" s="1">
        <v>3168221.73</v>
      </c>
      <c r="F63">
        <v>0</v>
      </c>
      <c r="G63" s="1">
        <v>8551000</v>
      </c>
      <c r="H63" s="1">
        <v>2746532.48</v>
      </c>
      <c r="I63" s="79" t="s">
        <v>2</v>
      </c>
    </row>
    <row r="64" spans="1:9" x14ac:dyDescent="0.25">
      <c r="A64">
        <v>410</v>
      </c>
      <c r="B64">
        <v>1312400</v>
      </c>
      <c r="C64">
        <v>0</v>
      </c>
      <c r="D64" s="1">
        <v>927868.19</v>
      </c>
      <c r="E64" s="1">
        <v>1128131.81</v>
      </c>
      <c r="F64">
        <v>0</v>
      </c>
      <c r="G64" s="1">
        <v>2056000</v>
      </c>
      <c r="H64" s="1">
        <v>3115707.62</v>
      </c>
      <c r="I64" s="79" t="s">
        <v>2</v>
      </c>
    </row>
    <row r="65" spans="1:9" x14ac:dyDescent="0.25">
      <c r="A65">
        <v>920</v>
      </c>
      <c r="B65">
        <v>1312500</v>
      </c>
      <c r="C65">
        <v>0</v>
      </c>
      <c r="D65" s="1">
        <v>231941.01</v>
      </c>
      <c r="E65">
        <v>0</v>
      </c>
      <c r="F65" s="1">
        <v>105941.01</v>
      </c>
      <c r="G65" s="1">
        <v>126000</v>
      </c>
      <c r="H65" s="1">
        <v>59520.99</v>
      </c>
      <c r="I65" s="79" t="s">
        <v>2</v>
      </c>
    </row>
    <row r="66" spans="1:9" x14ac:dyDescent="0.25">
      <c r="A66">
        <v>220</v>
      </c>
      <c r="B66">
        <v>1312800</v>
      </c>
      <c r="C66">
        <v>0</v>
      </c>
      <c r="D66" s="1">
        <v>460939.81</v>
      </c>
      <c r="E66" s="1">
        <v>23060.19</v>
      </c>
      <c r="F66">
        <v>0</v>
      </c>
      <c r="G66" s="1">
        <v>484000</v>
      </c>
      <c r="H66" s="1">
        <v>440275.61</v>
      </c>
      <c r="I66" s="79" t="s">
        <v>2</v>
      </c>
    </row>
    <row r="67" spans="1:9" x14ac:dyDescent="0.25">
      <c r="A67">
        <v>221</v>
      </c>
      <c r="B67">
        <v>1312800</v>
      </c>
      <c r="C67">
        <v>0</v>
      </c>
      <c r="D67" s="1">
        <v>3330</v>
      </c>
      <c r="E67">
        <v>0</v>
      </c>
      <c r="F67" s="1">
        <v>3330</v>
      </c>
      <c r="G67">
        <v>0</v>
      </c>
      <c r="H67">
        <v>0</v>
      </c>
      <c r="I67" s="79" t="s">
        <v>2</v>
      </c>
    </row>
    <row r="68" spans="1:9" x14ac:dyDescent="0.25">
      <c r="A68">
        <v>920</v>
      </c>
      <c r="B68">
        <v>1312800</v>
      </c>
      <c r="C68">
        <v>0</v>
      </c>
      <c r="D68" s="1">
        <v>288203.40000000002</v>
      </c>
      <c r="E68" s="1">
        <v>671796.6</v>
      </c>
      <c r="F68">
        <v>0</v>
      </c>
      <c r="G68" s="1">
        <v>960000</v>
      </c>
      <c r="H68">
        <v>0</v>
      </c>
      <c r="I68" s="79" t="s">
        <v>2</v>
      </c>
    </row>
    <row r="69" spans="1:9" x14ac:dyDescent="0.25">
      <c r="A69">
        <v>920</v>
      </c>
      <c r="B69">
        <v>1312900</v>
      </c>
      <c r="C69">
        <v>0</v>
      </c>
      <c r="D69">
        <v>0</v>
      </c>
      <c r="E69" s="1">
        <v>91000</v>
      </c>
      <c r="F69">
        <v>0</v>
      </c>
      <c r="G69" s="1">
        <v>91000</v>
      </c>
      <c r="H69">
        <v>0</v>
      </c>
      <c r="I69" s="79" t="s">
        <v>2</v>
      </c>
    </row>
    <row r="70" spans="1:9" x14ac:dyDescent="0.25">
      <c r="A70">
        <v>920</v>
      </c>
      <c r="B70">
        <v>1313200</v>
      </c>
      <c r="C70">
        <v>0</v>
      </c>
      <c r="D70" s="1">
        <v>4853040.42</v>
      </c>
      <c r="E70">
        <v>0</v>
      </c>
      <c r="F70" s="1">
        <v>491040.42</v>
      </c>
      <c r="G70" s="1">
        <v>4362000</v>
      </c>
      <c r="H70" s="1">
        <v>2737582.02</v>
      </c>
      <c r="I70" s="79" t="s">
        <v>2</v>
      </c>
    </row>
    <row r="71" spans="1:9" x14ac:dyDescent="0.25">
      <c r="A71">
        <v>921</v>
      </c>
      <c r="B71">
        <v>1313200</v>
      </c>
      <c r="C71">
        <v>0</v>
      </c>
      <c r="D71" s="1">
        <v>1528087.11</v>
      </c>
      <c r="E71">
        <v>0</v>
      </c>
      <c r="F71" s="1">
        <v>144087.10999999999</v>
      </c>
      <c r="G71" s="1">
        <v>1384000</v>
      </c>
      <c r="H71" s="1">
        <v>4403002.71</v>
      </c>
      <c r="I71" s="79" t="s">
        <v>2</v>
      </c>
    </row>
    <row r="72" spans="1:9" x14ac:dyDescent="0.25">
      <c r="A72">
        <v>921</v>
      </c>
      <c r="B72">
        <v>1313201</v>
      </c>
      <c r="C72">
        <v>0</v>
      </c>
      <c r="D72" s="1">
        <v>232765.25</v>
      </c>
      <c r="E72">
        <v>0</v>
      </c>
      <c r="F72" s="1">
        <v>152765.25</v>
      </c>
      <c r="G72" s="1">
        <v>80000</v>
      </c>
      <c r="H72" s="1">
        <v>-214532.97</v>
      </c>
      <c r="I72" s="79" t="s">
        <v>2</v>
      </c>
    </row>
    <row r="73" spans="1:9" x14ac:dyDescent="0.25">
      <c r="A73">
        <v>920</v>
      </c>
      <c r="B73">
        <v>1313213</v>
      </c>
      <c r="C73">
        <v>0</v>
      </c>
      <c r="D73" s="1">
        <v>-53624</v>
      </c>
      <c r="E73" s="1">
        <v>561624</v>
      </c>
      <c r="F73">
        <v>0</v>
      </c>
      <c r="G73" s="1">
        <v>508000</v>
      </c>
      <c r="H73" s="1">
        <v>1087052.8</v>
      </c>
      <c r="I73" s="79" t="s">
        <v>2</v>
      </c>
    </row>
    <row r="74" spans="1:9" x14ac:dyDescent="0.25">
      <c r="A74">
        <v>920</v>
      </c>
      <c r="B74">
        <v>1313214</v>
      </c>
      <c r="C74">
        <v>0</v>
      </c>
      <c r="D74" s="1">
        <v>323182.03000000003</v>
      </c>
      <c r="E74">
        <v>0</v>
      </c>
      <c r="F74" s="1">
        <v>123182.03</v>
      </c>
      <c r="G74" s="1">
        <v>200000</v>
      </c>
      <c r="H74" s="1">
        <v>309787.12</v>
      </c>
      <c r="I74" s="79" t="s">
        <v>2</v>
      </c>
    </row>
    <row r="75" spans="1:9" x14ac:dyDescent="0.25">
      <c r="A75">
        <v>920</v>
      </c>
      <c r="B75">
        <v>1313215</v>
      </c>
      <c r="C75">
        <v>0</v>
      </c>
      <c r="D75" s="1">
        <v>11961</v>
      </c>
      <c r="E75" s="1">
        <v>138039</v>
      </c>
      <c r="F75">
        <v>0</v>
      </c>
      <c r="G75" s="1">
        <v>150000</v>
      </c>
      <c r="H75" s="1">
        <v>675026</v>
      </c>
      <c r="I75" s="79" t="s">
        <v>2</v>
      </c>
    </row>
    <row r="76" spans="1:9" x14ac:dyDescent="0.25">
      <c r="A76">
        <v>920</v>
      </c>
      <c r="B76">
        <v>1313230</v>
      </c>
      <c r="C76">
        <v>0</v>
      </c>
      <c r="D76" s="1">
        <v>9196.0499999999993</v>
      </c>
      <c r="E76" s="1">
        <v>20803.95</v>
      </c>
      <c r="F76">
        <v>0</v>
      </c>
      <c r="G76" s="1">
        <v>30000</v>
      </c>
      <c r="H76" s="1">
        <v>49821.96</v>
      </c>
      <c r="I76" s="79" t="s">
        <v>2</v>
      </c>
    </row>
    <row r="77" spans="1:9" x14ac:dyDescent="0.25">
      <c r="A77">
        <v>920</v>
      </c>
      <c r="B77">
        <v>1313240</v>
      </c>
      <c r="C77">
        <v>0</v>
      </c>
      <c r="D77" s="1">
        <v>10739702.98</v>
      </c>
      <c r="E77">
        <v>0</v>
      </c>
      <c r="F77" s="1">
        <v>1041702.98</v>
      </c>
      <c r="G77" s="1">
        <v>9698000</v>
      </c>
      <c r="H77" s="1">
        <v>9249893.6300000008</v>
      </c>
      <c r="I77" s="79" t="s">
        <v>2</v>
      </c>
    </row>
    <row r="78" spans="1:9" x14ac:dyDescent="0.25">
      <c r="A78">
        <v>920</v>
      </c>
      <c r="B78">
        <v>1313250</v>
      </c>
      <c r="C78">
        <v>0</v>
      </c>
      <c r="D78" s="1">
        <v>3052551.61</v>
      </c>
      <c r="E78">
        <v>0</v>
      </c>
      <c r="F78" s="1">
        <v>237551.61</v>
      </c>
      <c r="G78" s="1">
        <v>2815000</v>
      </c>
      <c r="H78" s="1">
        <v>3041654.14</v>
      </c>
      <c r="I78" s="79" t="s">
        <v>2</v>
      </c>
    </row>
    <row r="79" spans="1:9" x14ac:dyDescent="0.25">
      <c r="A79">
        <v>920</v>
      </c>
      <c r="B79">
        <v>1313260</v>
      </c>
      <c r="C79">
        <v>0</v>
      </c>
      <c r="D79" s="1">
        <v>307817.03999999998</v>
      </c>
      <c r="E79">
        <v>0</v>
      </c>
      <c r="F79" s="1">
        <v>287817.03999999998</v>
      </c>
      <c r="G79" s="1">
        <v>20000</v>
      </c>
      <c r="H79" s="1">
        <v>154955.51999999999</v>
      </c>
      <c r="I79" s="79" t="s">
        <v>2</v>
      </c>
    </row>
    <row r="80" spans="1:9" x14ac:dyDescent="0.25">
      <c r="A80">
        <v>920</v>
      </c>
      <c r="B80">
        <v>1313270</v>
      </c>
      <c r="C80">
        <v>0</v>
      </c>
      <c r="D80" s="1">
        <v>255557.81</v>
      </c>
      <c r="E80">
        <v>0</v>
      </c>
      <c r="F80" s="1">
        <v>13557.81</v>
      </c>
      <c r="G80" s="1">
        <v>242000</v>
      </c>
      <c r="H80" s="1">
        <v>257231.26</v>
      </c>
      <c r="I80" s="79" t="s">
        <v>2</v>
      </c>
    </row>
    <row r="81" spans="1:9" x14ac:dyDescent="0.25">
      <c r="A81">
        <v>420</v>
      </c>
      <c r="B81">
        <v>1313700</v>
      </c>
      <c r="C81">
        <v>0</v>
      </c>
      <c r="D81" s="1">
        <v>25963</v>
      </c>
      <c r="E81">
        <v>37</v>
      </c>
      <c r="F81">
        <v>0</v>
      </c>
      <c r="G81" s="1">
        <v>26000</v>
      </c>
      <c r="H81" s="1">
        <v>39022</v>
      </c>
      <c r="I81" s="79" t="s">
        <v>2</v>
      </c>
    </row>
    <row r="82" spans="1:9" x14ac:dyDescent="0.25">
      <c r="A82">
        <v>990</v>
      </c>
      <c r="B82">
        <v>1313700</v>
      </c>
      <c r="C82">
        <v>0</v>
      </c>
      <c r="D82">
        <v>0</v>
      </c>
      <c r="E82">
        <v>0</v>
      </c>
      <c r="F82">
        <v>0</v>
      </c>
      <c r="G82">
        <v>0</v>
      </c>
      <c r="H82" s="1">
        <v>24000.2</v>
      </c>
      <c r="I82" s="79" t="s">
        <v>2</v>
      </c>
    </row>
    <row r="83" spans="1:9" x14ac:dyDescent="0.25">
      <c r="A83">
        <v>430</v>
      </c>
      <c r="B83">
        <v>1315000</v>
      </c>
      <c r="C83">
        <v>0</v>
      </c>
      <c r="D83" s="1">
        <v>261359</v>
      </c>
      <c r="E83" s="1">
        <v>188641</v>
      </c>
      <c r="F83">
        <v>0</v>
      </c>
      <c r="G83" s="1">
        <v>450000</v>
      </c>
      <c r="H83" s="1">
        <v>1557317</v>
      </c>
      <c r="I83" s="79" t="s">
        <v>2</v>
      </c>
    </row>
    <row r="84" spans="1:9" x14ac:dyDescent="0.25">
      <c r="A84">
        <v>430</v>
      </c>
      <c r="B84">
        <v>1315100</v>
      </c>
      <c r="C84">
        <v>0</v>
      </c>
      <c r="D84" s="1">
        <v>18556.2</v>
      </c>
      <c r="E84">
        <v>0</v>
      </c>
      <c r="F84" s="1">
        <v>18556.2</v>
      </c>
      <c r="G84">
        <v>0</v>
      </c>
      <c r="H84">
        <v>0</v>
      </c>
      <c r="I84" s="79" t="s">
        <v>2</v>
      </c>
    </row>
    <row r="85" spans="1:9" x14ac:dyDescent="0.25">
      <c r="A85">
        <v>920</v>
      </c>
      <c r="B85">
        <v>1317100</v>
      </c>
      <c r="C85">
        <v>0</v>
      </c>
      <c r="D85" s="1">
        <v>144468.15</v>
      </c>
      <c r="E85" s="1">
        <v>8531.85</v>
      </c>
      <c r="F85">
        <v>0</v>
      </c>
      <c r="G85" s="1">
        <v>153000</v>
      </c>
      <c r="H85" s="1">
        <v>156218.78</v>
      </c>
      <c r="I85" s="79" t="s">
        <v>2</v>
      </c>
    </row>
    <row r="86" spans="1:9" x14ac:dyDescent="0.25">
      <c r="A86">
        <v>990</v>
      </c>
      <c r="B86">
        <v>1317100</v>
      </c>
      <c r="C86">
        <v>0</v>
      </c>
      <c r="D86" s="1">
        <v>1836449.42</v>
      </c>
      <c r="E86">
        <v>0</v>
      </c>
      <c r="F86" s="1">
        <v>949449.42</v>
      </c>
      <c r="G86" s="1">
        <v>887000</v>
      </c>
      <c r="H86">
        <v>0</v>
      </c>
      <c r="I86" s="79" t="s">
        <v>2</v>
      </c>
    </row>
    <row r="87" spans="1:9" x14ac:dyDescent="0.25">
      <c r="A87">
        <v>920</v>
      </c>
      <c r="B87">
        <v>1317199</v>
      </c>
      <c r="C87">
        <v>0</v>
      </c>
      <c r="D87" s="1">
        <v>955056.4</v>
      </c>
      <c r="E87">
        <v>0</v>
      </c>
      <c r="F87" s="1">
        <v>955056.4</v>
      </c>
      <c r="G87">
        <v>0</v>
      </c>
      <c r="H87">
        <v>0</v>
      </c>
      <c r="I87" s="79" t="s">
        <v>2</v>
      </c>
    </row>
    <row r="88" spans="1:9" x14ac:dyDescent="0.25">
      <c r="A88">
        <v>921</v>
      </c>
      <c r="B88">
        <v>1317199</v>
      </c>
      <c r="C88">
        <v>0</v>
      </c>
      <c r="D88" s="1">
        <v>83916</v>
      </c>
      <c r="E88">
        <v>0</v>
      </c>
      <c r="F88" s="1">
        <v>83916</v>
      </c>
      <c r="G88">
        <v>0</v>
      </c>
      <c r="H88">
        <v>0</v>
      </c>
      <c r="I88" s="79" t="s">
        <v>2</v>
      </c>
    </row>
    <row r="89" spans="1:9" x14ac:dyDescent="0.25">
      <c r="A89">
        <v>220</v>
      </c>
      <c r="B89">
        <v>1317300</v>
      </c>
      <c r="C89">
        <v>0</v>
      </c>
      <c r="D89">
        <v>0</v>
      </c>
      <c r="E89" s="1">
        <v>1000</v>
      </c>
      <c r="F89">
        <v>0</v>
      </c>
      <c r="G89" s="1">
        <v>1000</v>
      </c>
      <c r="H89">
        <v>0</v>
      </c>
      <c r="I89" s="79" t="s">
        <v>2</v>
      </c>
    </row>
    <row r="90" spans="1:9" x14ac:dyDescent="0.25">
      <c r="A90">
        <v>690</v>
      </c>
      <c r="B90">
        <v>1317300</v>
      </c>
      <c r="C90">
        <v>0</v>
      </c>
      <c r="D90">
        <v>0</v>
      </c>
      <c r="E90" s="1">
        <v>1000</v>
      </c>
      <c r="F90">
        <v>0</v>
      </c>
      <c r="G90" s="1">
        <v>1000</v>
      </c>
      <c r="H90">
        <v>140</v>
      </c>
      <c r="I90" s="79" t="s">
        <v>2</v>
      </c>
    </row>
    <row r="91" spans="1:9" x14ac:dyDescent="0.25">
      <c r="A91">
        <v>920</v>
      </c>
      <c r="B91">
        <v>1317300</v>
      </c>
      <c r="C91">
        <v>0</v>
      </c>
      <c r="D91" s="1">
        <v>1891442.9</v>
      </c>
      <c r="E91" s="1">
        <v>133557.1</v>
      </c>
      <c r="F91">
        <v>0</v>
      </c>
      <c r="G91" s="1">
        <v>2025000</v>
      </c>
      <c r="H91" s="1">
        <v>1829059.64</v>
      </c>
      <c r="I91" s="79" t="s">
        <v>2</v>
      </c>
    </row>
    <row r="92" spans="1:9" x14ac:dyDescent="0.25">
      <c r="A92">
        <v>920</v>
      </c>
      <c r="B92">
        <v>1317700</v>
      </c>
      <c r="C92">
        <v>0</v>
      </c>
      <c r="D92" s="1">
        <v>469167.55</v>
      </c>
      <c r="E92" s="1">
        <v>45832.45</v>
      </c>
      <c r="F92">
        <v>0</v>
      </c>
      <c r="G92" s="1">
        <v>515000</v>
      </c>
      <c r="H92" s="1">
        <v>457274.31</v>
      </c>
      <c r="I92" s="79" t="s">
        <v>2</v>
      </c>
    </row>
    <row r="93" spans="1:9" x14ac:dyDescent="0.25">
      <c r="A93">
        <v>920</v>
      </c>
      <c r="B93">
        <v>1317800</v>
      </c>
      <c r="C93">
        <v>0</v>
      </c>
      <c r="D93" s="1">
        <v>4167744.26</v>
      </c>
      <c r="E93" s="1">
        <v>370255.74</v>
      </c>
      <c r="F93">
        <v>0</v>
      </c>
      <c r="G93" s="1">
        <v>4538000</v>
      </c>
      <c r="H93" s="1">
        <v>5330415.6399999997</v>
      </c>
      <c r="I93" s="79" t="s">
        <v>2</v>
      </c>
    </row>
    <row r="94" spans="1:9" x14ac:dyDescent="0.25">
      <c r="A94">
        <v>220</v>
      </c>
      <c r="B94">
        <v>1317900</v>
      </c>
      <c r="C94">
        <v>0</v>
      </c>
      <c r="D94" s="1">
        <v>50447.08</v>
      </c>
      <c r="E94">
        <v>0</v>
      </c>
      <c r="F94">
        <v>447.08</v>
      </c>
      <c r="G94" s="1">
        <v>50000</v>
      </c>
      <c r="H94" s="1">
        <v>33084.6</v>
      </c>
      <c r="I94" s="79" t="s">
        <v>2</v>
      </c>
    </row>
    <row r="95" spans="1:9" x14ac:dyDescent="0.25">
      <c r="A95">
        <v>220</v>
      </c>
      <c r="B95">
        <v>1317910</v>
      </c>
      <c r="C95">
        <v>0</v>
      </c>
      <c r="D95">
        <v>-1.1399999999999999</v>
      </c>
      <c r="E95">
        <v>1.1399999999999999</v>
      </c>
      <c r="F95">
        <v>0</v>
      </c>
      <c r="G95">
        <v>0</v>
      </c>
      <c r="H95">
        <v>0.04</v>
      </c>
      <c r="I95" s="79" t="s">
        <v>2</v>
      </c>
    </row>
    <row r="96" spans="1:9" x14ac:dyDescent="0.25">
      <c r="A96">
        <v>221</v>
      </c>
      <c r="B96">
        <v>1317910</v>
      </c>
      <c r="C96">
        <v>0</v>
      </c>
      <c r="D96">
        <v>196</v>
      </c>
      <c r="E96">
        <v>0</v>
      </c>
      <c r="F96">
        <v>196</v>
      </c>
      <c r="G96">
        <v>0</v>
      </c>
      <c r="H96">
        <v>0</v>
      </c>
      <c r="I96" s="79" t="s">
        <v>2</v>
      </c>
    </row>
    <row r="97" spans="1:9" x14ac:dyDescent="0.25">
      <c r="A97">
        <v>220</v>
      </c>
      <c r="B97">
        <v>1317920</v>
      </c>
      <c r="C97">
        <v>0</v>
      </c>
      <c r="D97">
        <v>4.91</v>
      </c>
      <c r="E97">
        <v>0</v>
      </c>
      <c r="F97">
        <v>4.91</v>
      </c>
      <c r="G97">
        <v>0</v>
      </c>
      <c r="H97">
        <v>0</v>
      </c>
      <c r="I97" s="79" t="s">
        <v>2</v>
      </c>
    </row>
    <row r="98" spans="1:9" x14ac:dyDescent="0.25">
      <c r="A98">
        <v>220</v>
      </c>
      <c r="B98">
        <v>1317930</v>
      </c>
      <c r="C98">
        <v>0</v>
      </c>
      <c r="D98" s="1">
        <v>997929.47</v>
      </c>
      <c r="E98">
        <v>0</v>
      </c>
      <c r="F98" s="1">
        <v>797929.47</v>
      </c>
      <c r="G98" s="1">
        <v>200000</v>
      </c>
      <c r="H98" s="1">
        <v>891894.5</v>
      </c>
      <c r="I98" s="79" t="s">
        <v>2</v>
      </c>
    </row>
    <row r="99" spans="1:9" x14ac:dyDescent="0.25">
      <c r="A99">
        <v>420</v>
      </c>
      <c r="B99">
        <v>1322000</v>
      </c>
      <c r="C99">
        <v>0</v>
      </c>
      <c r="D99" s="1">
        <v>26240</v>
      </c>
      <c r="E99">
        <v>0</v>
      </c>
      <c r="F99" s="1">
        <v>26240</v>
      </c>
      <c r="G99">
        <v>0</v>
      </c>
      <c r="H99" s="1">
        <v>100197</v>
      </c>
      <c r="I99" s="79" t="s">
        <v>2</v>
      </c>
    </row>
    <row r="100" spans="1:9" x14ac:dyDescent="0.25">
      <c r="A100">
        <v>920</v>
      </c>
      <c r="B100">
        <v>1322000</v>
      </c>
      <c r="C100">
        <v>0</v>
      </c>
      <c r="D100" s="1">
        <v>380283</v>
      </c>
      <c r="E100">
        <v>0</v>
      </c>
      <c r="F100" s="1">
        <v>30283</v>
      </c>
      <c r="G100" s="1">
        <v>350000</v>
      </c>
      <c r="H100" s="1">
        <v>328960</v>
      </c>
      <c r="I100" s="79" t="s">
        <v>2</v>
      </c>
    </row>
    <row r="101" spans="1:9" x14ac:dyDescent="0.25">
      <c r="A101">
        <v>990</v>
      </c>
      <c r="B101">
        <v>1322000</v>
      </c>
      <c r="C101">
        <v>0</v>
      </c>
      <c r="D101" s="1">
        <v>93350</v>
      </c>
      <c r="E101" s="1">
        <v>196650</v>
      </c>
      <c r="F101">
        <v>0</v>
      </c>
      <c r="G101" s="1">
        <v>290000</v>
      </c>
      <c r="H101" s="1">
        <v>921719</v>
      </c>
      <c r="I101" s="79" t="s">
        <v>2</v>
      </c>
    </row>
    <row r="102" spans="1:9" x14ac:dyDescent="0.25">
      <c r="A102">
        <v>420</v>
      </c>
      <c r="B102">
        <v>1322100</v>
      </c>
      <c r="C102">
        <v>0</v>
      </c>
      <c r="D102" s="1">
        <v>147654</v>
      </c>
      <c r="E102">
        <v>0</v>
      </c>
      <c r="F102" s="1">
        <v>147654</v>
      </c>
      <c r="G102">
        <v>0</v>
      </c>
      <c r="H102" s="1">
        <v>326148</v>
      </c>
      <c r="I102" s="79" t="s">
        <v>2</v>
      </c>
    </row>
    <row r="103" spans="1:9" x14ac:dyDescent="0.25">
      <c r="A103">
        <v>920</v>
      </c>
      <c r="B103">
        <v>1322100</v>
      </c>
      <c r="C103">
        <v>0</v>
      </c>
      <c r="D103" s="1">
        <v>-803483</v>
      </c>
      <c r="E103" s="1">
        <v>803483</v>
      </c>
      <c r="F103">
        <v>0</v>
      </c>
      <c r="G103">
        <v>0</v>
      </c>
      <c r="H103" s="1">
        <v>825620</v>
      </c>
      <c r="I103" s="79" t="s">
        <v>2</v>
      </c>
    </row>
    <row r="104" spans="1:9" x14ac:dyDescent="0.25">
      <c r="A104">
        <v>420</v>
      </c>
      <c r="B104">
        <v>1322300</v>
      </c>
      <c r="C104">
        <v>0</v>
      </c>
      <c r="D104" s="1">
        <v>71330.149999999994</v>
      </c>
      <c r="E104">
        <v>0</v>
      </c>
      <c r="F104" s="1">
        <v>71330.149999999994</v>
      </c>
      <c r="G104">
        <v>0</v>
      </c>
      <c r="H104" s="1">
        <v>612232.9</v>
      </c>
      <c r="I104" s="79" t="s">
        <v>2</v>
      </c>
    </row>
    <row r="105" spans="1:9" x14ac:dyDescent="0.25">
      <c r="A105">
        <v>420</v>
      </c>
      <c r="B105">
        <v>1322400</v>
      </c>
      <c r="C105">
        <v>0</v>
      </c>
      <c r="D105" s="1">
        <v>18100</v>
      </c>
      <c r="E105">
        <v>0</v>
      </c>
      <c r="F105">
        <v>100</v>
      </c>
      <c r="G105" s="1">
        <v>18000</v>
      </c>
      <c r="H105" s="1">
        <v>1348</v>
      </c>
      <c r="I105" s="79" t="s">
        <v>2</v>
      </c>
    </row>
    <row r="106" spans="1:9" x14ac:dyDescent="0.25">
      <c r="A106">
        <v>990</v>
      </c>
      <c r="B106">
        <v>1322800</v>
      </c>
      <c r="C106">
        <v>0</v>
      </c>
      <c r="D106" s="1">
        <v>107728</v>
      </c>
      <c r="E106">
        <v>0</v>
      </c>
      <c r="F106" s="1">
        <v>107728</v>
      </c>
      <c r="G106">
        <v>0</v>
      </c>
      <c r="H106">
        <v>0</v>
      </c>
      <c r="I106" s="79" t="s">
        <v>2</v>
      </c>
    </row>
    <row r="107" spans="1:9" x14ac:dyDescent="0.25">
      <c r="A107">
        <v>420</v>
      </c>
      <c r="B107">
        <v>1323000</v>
      </c>
      <c r="C107">
        <v>0</v>
      </c>
      <c r="D107" s="1">
        <v>13710</v>
      </c>
      <c r="E107" s="1">
        <v>1290</v>
      </c>
      <c r="F107">
        <v>0</v>
      </c>
      <c r="G107" s="1">
        <v>15000</v>
      </c>
      <c r="H107" s="1">
        <v>40169.5</v>
      </c>
      <c r="I107" s="79" t="s">
        <v>2</v>
      </c>
    </row>
    <row r="108" spans="1:9" x14ac:dyDescent="0.25">
      <c r="A108">
        <v>220</v>
      </c>
      <c r="B108">
        <v>1325100</v>
      </c>
      <c r="C108">
        <v>0</v>
      </c>
      <c r="D108" s="1">
        <v>1936855.27</v>
      </c>
      <c r="E108">
        <v>0</v>
      </c>
      <c r="F108" s="1">
        <v>486855.27</v>
      </c>
      <c r="G108" s="1">
        <v>1450000</v>
      </c>
      <c r="H108" s="1">
        <v>1601059.2</v>
      </c>
      <c r="I108" s="79" t="s">
        <v>2</v>
      </c>
    </row>
    <row r="109" spans="1:9" x14ac:dyDescent="0.25">
      <c r="A109">
        <v>920</v>
      </c>
      <c r="B109">
        <v>1325100</v>
      </c>
      <c r="C109">
        <v>0</v>
      </c>
      <c r="D109" s="1">
        <v>186531</v>
      </c>
      <c r="E109" s="1">
        <v>103469</v>
      </c>
      <c r="F109">
        <v>0</v>
      </c>
      <c r="G109" s="1">
        <v>290000</v>
      </c>
      <c r="H109" s="1">
        <v>422008</v>
      </c>
      <c r="I109" s="79" t="s">
        <v>2</v>
      </c>
    </row>
    <row r="110" spans="1:9" x14ac:dyDescent="0.25">
      <c r="A110">
        <v>220</v>
      </c>
      <c r="B110">
        <v>1325110</v>
      </c>
      <c r="C110">
        <v>0</v>
      </c>
      <c r="D110" s="1">
        <v>7592.5</v>
      </c>
      <c r="E110">
        <v>0</v>
      </c>
      <c r="F110" s="1">
        <v>6592.5</v>
      </c>
      <c r="G110" s="1">
        <v>1000</v>
      </c>
      <c r="H110" s="1">
        <v>56288</v>
      </c>
      <c r="I110" s="79" t="s">
        <v>2</v>
      </c>
    </row>
    <row r="111" spans="1:9" x14ac:dyDescent="0.25">
      <c r="A111">
        <v>930</v>
      </c>
      <c r="B111">
        <v>1341010</v>
      </c>
      <c r="C111">
        <v>0</v>
      </c>
      <c r="D111" s="1">
        <v>6270483</v>
      </c>
      <c r="E111">
        <v>0</v>
      </c>
      <c r="F111" s="1">
        <v>2370483</v>
      </c>
      <c r="G111" s="1">
        <v>3900000</v>
      </c>
      <c r="H111" s="1">
        <v>3910931</v>
      </c>
      <c r="I111" s="79" t="s">
        <v>2</v>
      </c>
    </row>
    <row r="112" spans="1:9" x14ac:dyDescent="0.25">
      <c r="A112">
        <v>930</v>
      </c>
      <c r="B112">
        <v>1341020</v>
      </c>
      <c r="C112">
        <v>0</v>
      </c>
      <c r="D112" s="1">
        <v>109545</v>
      </c>
      <c r="E112">
        <v>0</v>
      </c>
      <c r="F112" s="1">
        <v>3545</v>
      </c>
      <c r="G112" s="1">
        <v>106000</v>
      </c>
      <c r="H112" s="1">
        <v>108177</v>
      </c>
      <c r="I112" s="79" t="s">
        <v>2</v>
      </c>
    </row>
    <row r="113" spans="1:9" x14ac:dyDescent="0.25">
      <c r="A113">
        <v>930</v>
      </c>
      <c r="B113">
        <v>1341040</v>
      </c>
      <c r="C113">
        <v>0</v>
      </c>
      <c r="D113">
        <v>0</v>
      </c>
      <c r="E113" s="1">
        <v>2000</v>
      </c>
      <c r="F113">
        <v>0</v>
      </c>
      <c r="G113" s="1">
        <v>2000</v>
      </c>
      <c r="H113" s="1">
        <v>1808</v>
      </c>
      <c r="I113" s="79" t="s">
        <v>2</v>
      </c>
    </row>
    <row r="114" spans="1:9" x14ac:dyDescent="0.25">
      <c r="A114">
        <v>930</v>
      </c>
      <c r="B114">
        <v>1341100</v>
      </c>
      <c r="C114">
        <v>0</v>
      </c>
      <c r="D114" s="1">
        <v>3025</v>
      </c>
      <c r="E114" s="1">
        <v>3975</v>
      </c>
      <c r="F114">
        <v>0</v>
      </c>
      <c r="G114" s="1">
        <v>7000</v>
      </c>
      <c r="H114" s="1">
        <v>7304</v>
      </c>
      <c r="I114" s="79" t="s">
        <v>2</v>
      </c>
    </row>
    <row r="115" spans="1:9" x14ac:dyDescent="0.25">
      <c r="A115">
        <v>930</v>
      </c>
      <c r="B115">
        <v>1341200</v>
      </c>
      <c r="C115">
        <v>0</v>
      </c>
      <c r="D115" s="1">
        <v>345391</v>
      </c>
      <c r="E115">
        <v>0</v>
      </c>
      <c r="F115" s="1">
        <v>45391</v>
      </c>
      <c r="G115" s="1">
        <v>300000</v>
      </c>
      <c r="H115" s="1">
        <v>262798</v>
      </c>
      <c r="I115" s="79" t="s">
        <v>2</v>
      </c>
    </row>
    <row r="116" spans="1:9" x14ac:dyDescent="0.25">
      <c r="A116">
        <v>930</v>
      </c>
      <c r="B116">
        <v>1341300</v>
      </c>
      <c r="C116">
        <v>0</v>
      </c>
      <c r="D116" s="1">
        <v>1500</v>
      </c>
      <c r="E116" s="1">
        <v>1500</v>
      </c>
      <c r="F116">
        <v>0</v>
      </c>
      <c r="G116" s="1">
        <v>3000</v>
      </c>
      <c r="H116" s="1">
        <v>2616</v>
      </c>
      <c r="I116" s="79" t="s">
        <v>2</v>
      </c>
    </row>
    <row r="117" spans="1:9" x14ac:dyDescent="0.25">
      <c r="A117">
        <v>930</v>
      </c>
      <c r="B117">
        <v>1342200</v>
      </c>
      <c r="C117">
        <v>0</v>
      </c>
      <c r="D117">
        <v>0</v>
      </c>
      <c r="E117" s="1">
        <v>4000</v>
      </c>
      <c r="F117">
        <v>0</v>
      </c>
      <c r="G117" s="1">
        <v>4000</v>
      </c>
      <c r="H117" s="1">
        <v>4196</v>
      </c>
      <c r="I117" s="79" t="s">
        <v>2</v>
      </c>
    </row>
    <row r="118" spans="1:9" x14ac:dyDescent="0.25">
      <c r="A118">
        <v>930</v>
      </c>
      <c r="B118">
        <v>1342210</v>
      </c>
      <c r="C118">
        <v>0</v>
      </c>
      <c r="D118" s="1">
        <v>388186</v>
      </c>
      <c r="E118">
        <v>0</v>
      </c>
      <c r="F118" s="1">
        <v>288186</v>
      </c>
      <c r="G118" s="1">
        <v>100000</v>
      </c>
      <c r="H118" s="1">
        <v>16944</v>
      </c>
      <c r="I118" s="79" t="s">
        <v>2</v>
      </c>
    </row>
    <row r="119" spans="1:9" x14ac:dyDescent="0.25">
      <c r="A119">
        <v>930</v>
      </c>
      <c r="B119">
        <v>1342220</v>
      </c>
      <c r="C119">
        <v>0</v>
      </c>
      <c r="D119" s="1">
        <v>88906</v>
      </c>
      <c r="E119">
        <v>0</v>
      </c>
      <c r="F119" s="1">
        <v>22906</v>
      </c>
      <c r="G119" s="1">
        <v>66000</v>
      </c>
      <c r="H119" s="1">
        <v>88090</v>
      </c>
      <c r="I119" s="79" t="s">
        <v>2</v>
      </c>
    </row>
    <row r="120" spans="1:9" x14ac:dyDescent="0.25">
      <c r="A120">
        <v>930</v>
      </c>
      <c r="B120">
        <v>1342230</v>
      </c>
      <c r="C120">
        <v>0</v>
      </c>
      <c r="D120">
        <v>0</v>
      </c>
      <c r="E120" s="1">
        <v>50000</v>
      </c>
      <c r="F120">
        <v>0</v>
      </c>
      <c r="G120" s="1">
        <v>50000</v>
      </c>
      <c r="H120" s="1">
        <v>52855</v>
      </c>
      <c r="I120" s="79" t="s">
        <v>2</v>
      </c>
    </row>
    <row r="121" spans="1:9" x14ac:dyDescent="0.25">
      <c r="A121">
        <v>930</v>
      </c>
      <c r="B121">
        <v>1342240</v>
      </c>
      <c r="C121">
        <v>0</v>
      </c>
      <c r="D121" s="1">
        <v>69425</v>
      </c>
      <c r="E121">
        <v>0</v>
      </c>
      <c r="F121" s="1">
        <v>39425</v>
      </c>
      <c r="G121" s="1">
        <v>30000</v>
      </c>
      <c r="H121" s="1">
        <v>43948</v>
      </c>
      <c r="I121" s="79" t="s">
        <v>2</v>
      </c>
    </row>
    <row r="122" spans="1:9" x14ac:dyDescent="0.25">
      <c r="A122">
        <v>930</v>
      </c>
      <c r="B122">
        <v>1342250</v>
      </c>
      <c r="C122">
        <v>0</v>
      </c>
      <c r="D122">
        <v>0</v>
      </c>
      <c r="E122" s="1">
        <v>8000</v>
      </c>
      <c r="F122">
        <v>0</v>
      </c>
      <c r="G122" s="1">
        <v>8000</v>
      </c>
      <c r="H122" s="1">
        <v>11594</v>
      </c>
      <c r="I122" s="79" t="s">
        <v>2</v>
      </c>
    </row>
    <row r="123" spans="1:9" x14ac:dyDescent="0.25">
      <c r="A123">
        <v>930</v>
      </c>
      <c r="B123">
        <v>1342290</v>
      </c>
      <c r="C123">
        <v>0</v>
      </c>
      <c r="D123" s="1">
        <v>21555.200000000001</v>
      </c>
      <c r="E123">
        <v>0</v>
      </c>
      <c r="F123" s="1">
        <v>1555.2</v>
      </c>
      <c r="G123" s="1">
        <v>20000</v>
      </c>
      <c r="H123" s="1">
        <v>71879.95</v>
      </c>
      <c r="I123" s="79" t="s">
        <v>2</v>
      </c>
    </row>
    <row r="124" spans="1:9" x14ac:dyDescent="0.25">
      <c r="A124">
        <v>930</v>
      </c>
      <c r="B124">
        <v>1342410</v>
      </c>
      <c r="C124">
        <v>0</v>
      </c>
      <c r="D124" s="1">
        <v>169336</v>
      </c>
      <c r="E124">
        <v>0</v>
      </c>
      <c r="F124" s="1">
        <v>29336</v>
      </c>
      <c r="G124" s="1">
        <v>140000</v>
      </c>
      <c r="H124" s="1">
        <v>169746</v>
      </c>
      <c r="I124" s="79" t="s">
        <v>2</v>
      </c>
    </row>
    <row r="125" spans="1:9" x14ac:dyDescent="0.25">
      <c r="A125">
        <v>930</v>
      </c>
      <c r="B125">
        <v>1342411</v>
      </c>
      <c r="C125">
        <v>0</v>
      </c>
      <c r="D125">
        <v>0</v>
      </c>
      <c r="E125" s="1">
        <v>3000</v>
      </c>
      <c r="F125">
        <v>0</v>
      </c>
      <c r="G125" s="1">
        <v>3000</v>
      </c>
      <c r="H125">
        <v>0</v>
      </c>
      <c r="I125" s="79" t="s">
        <v>2</v>
      </c>
    </row>
    <row r="126" spans="1:9" x14ac:dyDescent="0.25">
      <c r="A126">
        <v>930</v>
      </c>
      <c r="B126">
        <v>1342420</v>
      </c>
      <c r="C126">
        <v>0</v>
      </c>
      <c r="D126" s="1">
        <v>71096</v>
      </c>
      <c r="E126">
        <v>0</v>
      </c>
      <c r="F126" s="1">
        <v>41096</v>
      </c>
      <c r="G126" s="1">
        <v>30000</v>
      </c>
      <c r="H126" s="1">
        <v>29700</v>
      </c>
      <c r="I126" s="79" t="s">
        <v>2</v>
      </c>
    </row>
    <row r="127" spans="1:9" x14ac:dyDescent="0.25">
      <c r="A127">
        <v>930</v>
      </c>
      <c r="B127">
        <v>1342430</v>
      </c>
      <c r="C127">
        <v>0</v>
      </c>
      <c r="D127" s="1">
        <v>455721</v>
      </c>
      <c r="E127">
        <v>0</v>
      </c>
      <c r="F127" s="1">
        <v>43721</v>
      </c>
      <c r="G127" s="1">
        <v>412000</v>
      </c>
      <c r="H127" s="1">
        <v>412237</v>
      </c>
      <c r="I127" s="79" t="s">
        <v>2</v>
      </c>
    </row>
    <row r="128" spans="1:9" x14ac:dyDescent="0.25">
      <c r="A128">
        <v>930</v>
      </c>
      <c r="B128">
        <v>1342431</v>
      </c>
      <c r="C128">
        <v>0</v>
      </c>
      <c r="D128" s="1">
        <v>48251</v>
      </c>
      <c r="E128">
        <v>0</v>
      </c>
      <c r="F128" s="1">
        <v>28251</v>
      </c>
      <c r="G128" s="1">
        <v>20000</v>
      </c>
      <c r="H128" s="1">
        <v>19619</v>
      </c>
      <c r="I128" s="79" t="s">
        <v>2</v>
      </c>
    </row>
    <row r="129" spans="1:9" x14ac:dyDescent="0.25">
      <c r="A129">
        <v>930</v>
      </c>
      <c r="B129">
        <v>1342433</v>
      </c>
      <c r="C129">
        <v>0</v>
      </c>
      <c r="D129" s="1">
        <v>100687</v>
      </c>
      <c r="E129">
        <v>0</v>
      </c>
      <c r="F129" s="1">
        <v>12687</v>
      </c>
      <c r="G129" s="1">
        <v>88000</v>
      </c>
      <c r="H129" s="1">
        <v>103284</v>
      </c>
      <c r="I129" s="79" t="s">
        <v>2</v>
      </c>
    </row>
    <row r="130" spans="1:9" x14ac:dyDescent="0.25">
      <c r="A130">
        <v>930</v>
      </c>
      <c r="B130">
        <v>1342437</v>
      </c>
      <c r="C130">
        <v>0</v>
      </c>
      <c r="D130" s="1">
        <v>3935</v>
      </c>
      <c r="E130">
        <v>0</v>
      </c>
      <c r="F130" s="1">
        <v>3935</v>
      </c>
      <c r="G130">
        <v>0</v>
      </c>
      <c r="H130">
        <v>0</v>
      </c>
      <c r="I130" s="79" t="s">
        <v>2</v>
      </c>
    </row>
    <row r="131" spans="1:9" x14ac:dyDescent="0.25">
      <c r="A131">
        <v>930</v>
      </c>
      <c r="B131">
        <v>1342441</v>
      </c>
      <c r="C131">
        <v>0</v>
      </c>
      <c r="D131" s="1">
        <v>188835</v>
      </c>
      <c r="E131" s="1">
        <v>1165</v>
      </c>
      <c r="F131">
        <v>0</v>
      </c>
      <c r="G131" s="1">
        <v>190000</v>
      </c>
      <c r="H131" s="1">
        <v>191648</v>
      </c>
      <c r="I131" s="79" t="s">
        <v>2</v>
      </c>
    </row>
    <row r="132" spans="1:9" x14ac:dyDescent="0.25">
      <c r="A132">
        <v>930</v>
      </c>
      <c r="B132">
        <v>1342450</v>
      </c>
      <c r="C132">
        <v>0</v>
      </c>
      <c r="D132">
        <v>0</v>
      </c>
      <c r="E132" s="1">
        <v>19000</v>
      </c>
      <c r="F132">
        <v>0</v>
      </c>
      <c r="G132" s="1">
        <v>19000</v>
      </c>
      <c r="H132" s="1">
        <v>18714</v>
      </c>
      <c r="I132" s="79" t="s">
        <v>2</v>
      </c>
    </row>
    <row r="133" spans="1:9" x14ac:dyDescent="0.25">
      <c r="A133">
        <v>420</v>
      </c>
      <c r="B133">
        <v>1342500</v>
      </c>
      <c r="C133">
        <v>0</v>
      </c>
      <c r="D133" s="1">
        <v>385913.55</v>
      </c>
      <c r="E133">
        <v>0</v>
      </c>
      <c r="F133" s="1">
        <v>111913.55</v>
      </c>
      <c r="G133" s="1">
        <v>274000</v>
      </c>
      <c r="H133" s="1">
        <v>286763.05</v>
      </c>
      <c r="I133" s="79" t="s">
        <v>2</v>
      </c>
    </row>
    <row r="134" spans="1:9" x14ac:dyDescent="0.25">
      <c r="A134">
        <v>420</v>
      </c>
      <c r="B134">
        <v>1342510</v>
      </c>
      <c r="C134">
        <v>0</v>
      </c>
      <c r="D134" s="1">
        <v>656719.9</v>
      </c>
      <c r="E134" s="1">
        <v>45280.1</v>
      </c>
      <c r="F134">
        <v>0</v>
      </c>
      <c r="G134" s="1">
        <v>702000</v>
      </c>
      <c r="H134" s="1">
        <v>659402.4</v>
      </c>
      <c r="I134" s="79" t="s">
        <v>2</v>
      </c>
    </row>
    <row r="135" spans="1:9" x14ac:dyDescent="0.25">
      <c r="A135">
        <v>420</v>
      </c>
      <c r="B135">
        <v>1342520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0.5</v>
      </c>
      <c r="I135" s="79" t="s">
        <v>2</v>
      </c>
    </row>
    <row r="136" spans="1:9" x14ac:dyDescent="0.25">
      <c r="A136">
        <v>420</v>
      </c>
      <c r="B136">
        <v>1342521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340</v>
      </c>
      <c r="I136" s="79" t="s">
        <v>2</v>
      </c>
    </row>
    <row r="137" spans="1:9" x14ac:dyDescent="0.25">
      <c r="A137">
        <v>930</v>
      </c>
      <c r="B137">
        <v>1343500</v>
      </c>
      <c r="C137">
        <v>0</v>
      </c>
      <c r="D137">
        <v>0</v>
      </c>
      <c r="E137" s="1">
        <v>2000</v>
      </c>
      <c r="F137">
        <v>0</v>
      </c>
      <c r="G137" s="1">
        <v>2000</v>
      </c>
      <c r="H137" s="1">
        <v>2183</v>
      </c>
      <c r="I137" s="79" t="s">
        <v>2</v>
      </c>
    </row>
    <row r="138" spans="1:9" x14ac:dyDescent="0.25">
      <c r="A138">
        <v>930</v>
      </c>
      <c r="B138">
        <v>1343510</v>
      </c>
      <c r="C138">
        <v>0</v>
      </c>
      <c r="D138" s="1">
        <v>238674</v>
      </c>
      <c r="E138">
        <v>0</v>
      </c>
      <c r="F138" s="1">
        <v>71674</v>
      </c>
      <c r="G138" s="1">
        <v>167000</v>
      </c>
      <c r="H138" s="1">
        <v>166696</v>
      </c>
      <c r="I138" s="79" t="s">
        <v>2</v>
      </c>
    </row>
    <row r="139" spans="1:9" x14ac:dyDescent="0.25">
      <c r="A139">
        <v>930</v>
      </c>
      <c r="B139">
        <v>1343520</v>
      </c>
      <c r="C139">
        <v>0</v>
      </c>
      <c r="D139" s="1">
        <v>69604</v>
      </c>
      <c r="E139">
        <v>0</v>
      </c>
      <c r="F139" s="1">
        <v>9604</v>
      </c>
      <c r="G139" s="1">
        <v>60000</v>
      </c>
      <c r="H139" s="1">
        <v>59057</v>
      </c>
      <c r="I139" s="79" t="s">
        <v>2</v>
      </c>
    </row>
    <row r="140" spans="1:9" x14ac:dyDescent="0.25">
      <c r="A140">
        <v>930</v>
      </c>
      <c r="B140">
        <v>1343521</v>
      </c>
      <c r="C140">
        <v>0</v>
      </c>
      <c r="D140" s="1">
        <v>102709</v>
      </c>
      <c r="E140">
        <v>0</v>
      </c>
      <c r="F140" s="1">
        <v>7709</v>
      </c>
      <c r="G140" s="1">
        <v>95000</v>
      </c>
      <c r="H140" s="1">
        <v>94875</v>
      </c>
      <c r="I140" s="79" t="s">
        <v>2</v>
      </c>
    </row>
    <row r="141" spans="1:9" x14ac:dyDescent="0.25">
      <c r="A141">
        <v>930</v>
      </c>
      <c r="B141">
        <v>1343530</v>
      </c>
      <c r="C141">
        <v>0</v>
      </c>
      <c r="D141" s="1">
        <v>664347</v>
      </c>
      <c r="E141">
        <v>0</v>
      </c>
      <c r="F141" s="1">
        <v>186347</v>
      </c>
      <c r="G141" s="1">
        <v>478000</v>
      </c>
      <c r="H141" s="1">
        <v>478009</v>
      </c>
      <c r="I141" s="79" t="s">
        <v>2</v>
      </c>
    </row>
    <row r="142" spans="1:9" x14ac:dyDescent="0.25">
      <c r="A142">
        <v>930</v>
      </c>
      <c r="B142">
        <v>1343540</v>
      </c>
      <c r="C142">
        <v>0</v>
      </c>
      <c r="D142" s="1">
        <v>235050</v>
      </c>
      <c r="E142">
        <v>0</v>
      </c>
      <c r="F142" s="1">
        <v>95050</v>
      </c>
      <c r="G142" s="1">
        <v>140000</v>
      </c>
      <c r="H142" s="1">
        <v>138808</v>
      </c>
      <c r="I142" s="79" t="s">
        <v>2</v>
      </c>
    </row>
    <row r="143" spans="1:9" x14ac:dyDescent="0.25">
      <c r="A143">
        <v>930</v>
      </c>
      <c r="B143">
        <v>1343550</v>
      </c>
      <c r="C143">
        <v>0</v>
      </c>
      <c r="D143" s="1">
        <v>162527</v>
      </c>
      <c r="E143">
        <v>0</v>
      </c>
      <c r="F143" s="1">
        <v>78527</v>
      </c>
      <c r="G143" s="1">
        <v>84000</v>
      </c>
      <c r="H143" s="1">
        <v>151376</v>
      </c>
      <c r="I143" s="79" t="s">
        <v>2</v>
      </c>
    </row>
    <row r="144" spans="1:9" x14ac:dyDescent="0.25">
      <c r="A144">
        <v>930</v>
      </c>
      <c r="B144">
        <v>1343551</v>
      </c>
      <c r="C144">
        <v>0</v>
      </c>
      <c r="D144" s="1">
        <v>307628</v>
      </c>
      <c r="E144">
        <v>0</v>
      </c>
      <c r="F144" s="1">
        <v>142628</v>
      </c>
      <c r="G144" s="1">
        <v>165000</v>
      </c>
      <c r="H144" s="1">
        <v>165080</v>
      </c>
      <c r="I144" s="79" t="s">
        <v>2</v>
      </c>
    </row>
    <row r="145" spans="1:9" x14ac:dyDescent="0.25">
      <c r="A145">
        <v>930</v>
      </c>
      <c r="B145">
        <v>1343810</v>
      </c>
      <c r="C145">
        <v>0</v>
      </c>
      <c r="D145" s="1">
        <v>2560162</v>
      </c>
      <c r="E145" s="1">
        <v>699838</v>
      </c>
      <c r="F145">
        <v>0</v>
      </c>
      <c r="G145" s="1">
        <v>3260000</v>
      </c>
      <c r="H145" s="1">
        <v>3257176</v>
      </c>
      <c r="I145" s="79" t="s">
        <v>2</v>
      </c>
    </row>
    <row r="146" spans="1:9" x14ac:dyDescent="0.25">
      <c r="A146">
        <v>930</v>
      </c>
      <c r="B146">
        <v>1343820</v>
      </c>
      <c r="C146">
        <v>0</v>
      </c>
      <c r="D146" s="1">
        <v>147843</v>
      </c>
      <c r="E146" s="1">
        <v>20157</v>
      </c>
      <c r="F146">
        <v>0</v>
      </c>
      <c r="G146" s="1">
        <v>168000</v>
      </c>
      <c r="H146" s="1">
        <v>167551</v>
      </c>
      <c r="I146" s="79" t="s">
        <v>2</v>
      </c>
    </row>
    <row r="147" spans="1:9" x14ac:dyDescent="0.25">
      <c r="A147">
        <v>930</v>
      </c>
      <c r="B147">
        <v>1343910</v>
      </c>
      <c r="C147">
        <v>0</v>
      </c>
      <c r="D147" s="1">
        <v>623765</v>
      </c>
      <c r="E147">
        <v>0</v>
      </c>
      <c r="F147" s="1">
        <v>137765</v>
      </c>
      <c r="G147" s="1">
        <v>486000</v>
      </c>
      <c r="H147" s="1">
        <v>760399</v>
      </c>
      <c r="I147" s="79" t="s">
        <v>2</v>
      </c>
    </row>
    <row r="148" spans="1:9" x14ac:dyDescent="0.25">
      <c r="A148">
        <v>930</v>
      </c>
      <c r="B148">
        <v>1344310</v>
      </c>
      <c r="C148">
        <v>0</v>
      </c>
      <c r="D148" s="1">
        <v>3378609</v>
      </c>
      <c r="E148">
        <v>0</v>
      </c>
      <c r="F148" s="1">
        <v>78609</v>
      </c>
      <c r="G148" s="1">
        <v>3300000</v>
      </c>
      <c r="H148" s="1">
        <v>3274341</v>
      </c>
      <c r="I148" s="79" t="s">
        <v>2</v>
      </c>
    </row>
    <row r="149" spans="1:9" x14ac:dyDescent="0.25">
      <c r="A149">
        <v>690</v>
      </c>
      <c r="B149">
        <v>1344400</v>
      </c>
      <c r="C149">
        <v>0</v>
      </c>
      <c r="D149">
        <v>0</v>
      </c>
      <c r="E149">
        <v>0</v>
      </c>
      <c r="F149">
        <v>0</v>
      </c>
      <c r="G149">
        <v>0</v>
      </c>
      <c r="H149" s="1">
        <v>165126</v>
      </c>
      <c r="I149" s="79" t="s">
        <v>2</v>
      </c>
    </row>
    <row r="150" spans="1:9" x14ac:dyDescent="0.25">
      <c r="A150">
        <v>930</v>
      </c>
      <c r="B150">
        <v>1344400</v>
      </c>
      <c r="C150">
        <v>0</v>
      </c>
      <c r="D150">
        <v>0</v>
      </c>
      <c r="E150" s="1">
        <v>30000</v>
      </c>
      <c r="F150">
        <v>0</v>
      </c>
      <c r="G150" s="1">
        <v>30000</v>
      </c>
      <c r="H150" s="1">
        <v>31425</v>
      </c>
      <c r="I150" s="79" t="s">
        <v>2</v>
      </c>
    </row>
    <row r="151" spans="1:9" x14ac:dyDescent="0.25">
      <c r="A151">
        <v>930</v>
      </c>
      <c r="B151">
        <v>1344420</v>
      </c>
      <c r="C151">
        <v>0</v>
      </c>
      <c r="D151" s="1">
        <v>8400</v>
      </c>
      <c r="E151" s="1">
        <v>79600</v>
      </c>
      <c r="F151">
        <v>0</v>
      </c>
      <c r="G151" s="1">
        <v>88000</v>
      </c>
      <c r="H151" s="1">
        <v>88285</v>
      </c>
      <c r="I151" s="79" t="s">
        <v>2</v>
      </c>
    </row>
    <row r="152" spans="1:9" x14ac:dyDescent="0.25">
      <c r="A152">
        <v>930</v>
      </c>
      <c r="B152">
        <v>1344425</v>
      </c>
      <c r="C152">
        <v>0</v>
      </c>
      <c r="D152">
        <v>0</v>
      </c>
      <c r="E152" s="1">
        <v>20000</v>
      </c>
      <c r="F152">
        <v>0</v>
      </c>
      <c r="G152" s="1">
        <v>20000</v>
      </c>
      <c r="H152">
        <v>0</v>
      </c>
      <c r="I152" s="79" t="s">
        <v>2</v>
      </c>
    </row>
    <row r="153" spans="1:9" x14ac:dyDescent="0.25">
      <c r="A153">
        <v>930</v>
      </c>
      <c r="B153">
        <v>1344440</v>
      </c>
      <c r="C153">
        <v>0</v>
      </c>
      <c r="D153" s="1">
        <v>100265</v>
      </c>
      <c r="E153">
        <v>0</v>
      </c>
      <c r="F153" s="1">
        <v>38265</v>
      </c>
      <c r="G153" s="1">
        <v>62000</v>
      </c>
      <c r="H153" s="1">
        <v>159630</v>
      </c>
      <c r="I153" s="79" t="s">
        <v>2</v>
      </c>
    </row>
    <row r="154" spans="1:9" x14ac:dyDescent="0.25">
      <c r="A154">
        <v>930</v>
      </c>
      <c r="B154">
        <v>1344442</v>
      </c>
      <c r="C154">
        <v>0</v>
      </c>
      <c r="D154">
        <v>0</v>
      </c>
      <c r="E154" s="1">
        <v>20000</v>
      </c>
      <c r="F154">
        <v>0</v>
      </c>
      <c r="G154" s="1">
        <v>20000</v>
      </c>
      <c r="H154" s="1">
        <v>18794</v>
      </c>
      <c r="I154" s="79" t="s">
        <v>2</v>
      </c>
    </row>
    <row r="155" spans="1:9" x14ac:dyDescent="0.25">
      <c r="A155">
        <v>930</v>
      </c>
      <c r="B155">
        <v>1344450</v>
      </c>
      <c r="C155">
        <v>0</v>
      </c>
      <c r="D155" s="1">
        <v>61136</v>
      </c>
      <c r="E155">
        <v>0</v>
      </c>
      <c r="F155" s="1">
        <v>11136</v>
      </c>
      <c r="G155" s="1">
        <v>50000</v>
      </c>
      <c r="H155" s="1">
        <v>56947</v>
      </c>
      <c r="I155" s="79" t="s">
        <v>2</v>
      </c>
    </row>
    <row r="156" spans="1:9" x14ac:dyDescent="0.25">
      <c r="A156">
        <v>930</v>
      </c>
      <c r="B156">
        <v>1344460</v>
      </c>
      <c r="C156">
        <v>0</v>
      </c>
      <c r="D156">
        <v>0</v>
      </c>
      <c r="E156" s="1">
        <v>94000</v>
      </c>
      <c r="F156">
        <v>0</v>
      </c>
      <c r="G156" s="1">
        <v>94000</v>
      </c>
      <c r="H156" s="1">
        <v>93699</v>
      </c>
      <c r="I156" s="79" t="s">
        <v>2</v>
      </c>
    </row>
    <row r="157" spans="1:9" x14ac:dyDescent="0.25">
      <c r="A157">
        <v>930</v>
      </c>
      <c r="B157">
        <v>1344470</v>
      </c>
      <c r="C157">
        <v>0</v>
      </c>
      <c r="D157" s="1">
        <v>811213</v>
      </c>
      <c r="E157">
        <v>0</v>
      </c>
      <c r="F157" s="1">
        <v>461213</v>
      </c>
      <c r="G157" s="1">
        <v>350000</v>
      </c>
      <c r="H157" s="1">
        <v>906538</v>
      </c>
      <c r="I157" s="79" t="s">
        <v>2</v>
      </c>
    </row>
    <row r="158" spans="1:9" x14ac:dyDescent="0.25">
      <c r="A158">
        <v>930</v>
      </c>
      <c r="B158">
        <v>1344480</v>
      </c>
      <c r="C158">
        <v>0</v>
      </c>
      <c r="D158" s="1">
        <v>12146</v>
      </c>
      <c r="E158" s="1">
        <v>48854</v>
      </c>
      <c r="F158">
        <v>0</v>
      </c>
      <c r="G158" s="1">
        <v>61000</v>
      </c>
      <c r="H158" s="1">
        <v>60635</v>
      </c>
      <c r="I158" s="79" t="s">
        <v>2</v>
      </c>
    </row>
    <row r="159" spans="1:9" x14ac:dyDescent="0.25">
      <c r="A159">
        <v>930</v>
      </c>
      <c r="B159">
        <v>1344481</v>
      </c>
      <c r="C159">
        <v>0</v>
      </c>
      <c r="D159">
        <v>447</v>
      </c>
      <c r="E159" s="1">
        <v>61553</v>
      </c>
      <c r="F159">
        <v>0</v>
      </c>
      <c r="G159" s="1">
        <v>62000</v>
      </c>
      <c r="H159" s="1">
        <v>62071</v>
      </c>
      <c r="I159" s="79" t="s">
        <v>2</v>
      </c>
    </row>
    <row r="160" spans="1:9" x14ac:dyDescent="0.25">
      <c r="A160">
        <v>930</v>
      </c>
      <c r="B160">
        <v>1344492</v>
      </c>
      <c r="C160">
        <v>0</v>
      </c>
      <c r="D160" s="1">
        <v>50195</v>
      </c>
      <c r="E160" s="1">
        <v>14805</v>
      </c>
      <c r="F160">
        <v>0</v>
      </c>
      <c r="G160" s="1">
        <v>65000</v>
      </c>
      <c r="H160" s="1">
        <v>64965</v>
      </c>
      <c r="I160" s="79" t="s">
        <v>2</v>
      </c>
    </row>
    <row r="161" spans="1:9" x14ac:dyDescent="0.25">
      <c r="A161">
        <v>930</v>
      </c>
      <c r="B161">
        <v>1344493</v>
      </c>
      <c r="C161">
        <v>0</v>
      </c>
      <c r="D161" s="1">
        <v>29094</v>
      </c>
      <c r="E161">
        <v>0</v>
      </c>
      <c r="F161" s="1">
        <v>29094</v>
      </c>
      <c r="G161">
        <v>0</v>
      </c>
      <c r="H161">
        <v>0</v>
      </c>
      <c r="I161" s="79" t="s">
        <v>2</v>
      </c>
    </row>
    <row r="162" spans="1:9" x14ac:dyDescent="0.25">
      <c r="A162">
        <v>930</v>
      </c>
      <c r="B162">
        <v>1344510</v>
      </c>
      <c r="C162">
        <v>0</v>
      </c>
      <c r="D162" s="1">
        <v>424779</v>
      </c>
      <c r="E162" s="1">
        <v>139221</v>
      </c>
      <c r="F162">
        <v>0</v>
      </c>
      <c r="G162" s="1">
        <v>564000</v>
      </c>
      <c r="H162" s="1">
        <v>563587</v>
      </c>
      <c r="I162" s="79" t="s">
        <v>2</v>
      </c>
    </row>
    <row r="163" spans="1:9" x14ac:dyDescent="0.25">
      <c r="A163">
        <v>930</v>
      </c>
      <c r="B163">
        <v>1344511</v>
      </c>
      <c r="C163">
        <v>0</v>
      </c>
      <c r="D163" s="1">
        <v>380332</v>
      </c>
      <c r="E163">
        <v>0</v>
      </c>
      <c r="F163" s="1">
        <v>95332</v>
      </c>
      <c r="G163" s="1">
        <v>285000</v>
      </c>
      <c r="H163" s="1">
        <v>284592</v>
      </c>
      <c r="I163" s="79" t="s">
        <v>2</v>
      </c>
    </row>
    <row r="164" spans="1:9" x14ac:dyDescent="0.25">
      <c r="A164">
        <v>420</v>
      </c>
      <c r="B164">
        <v>1345100</v>
      </c>
      <c r="C164">
        <v>0</v>
      </c>
      <c r="D164" s="1">
        <v>6283</v>
      </c>
      <c r="E164">
        <v>0</v>
      </c>
      <c r="F164" s="1">
        <v>1283</v>
      </c>
      <c r="G164" s="1">
        <v>5000</v>
      </c>
      <c r="H164" s="1">
        <v>21891</v>
      </c>
      <c r="I164" s="79" t="s">
        <v>2</v>
      </c>
    </row>
    <row r="165" spans="1:9" x14ac:dyDescent="0.25">
      <c r="A165">
        <v>930</v>
      </c>
      <c r="B165">
        <v>1345100</v>
      </c>
      <c r="C165">
        <v>0</v>
      </c>
      <c r="D165" s="1">
        <v>1930</v>
      </c>
      <c r="E165">
        <v>70</v>
      </c>
      <c r="F165">
        <v>0</v>
      </c>
      <c r="G165" s="1">
        <v>2000</v>
      </c>
      <c r="H165" s="1">
        <v>1635</v>
      </c>
      <c r="I165" s="79" t="s">
        <v>2</v>
      </c>
    </row>
    <row r="166" spans="1:9" x14ac:dyDescent="0.25">
      <c r="A166">
        <v>930</v>
      </c>
      <c r="B166">
        <v>1345110</v>
      </c>
      <c r="C166">
        <v>0</v>
      </c>
      <c r="D166" s="1">
        <v>1106517</v>
      </c>
      <c r="E166">
        <v>0</v>
      </c>
      <c r="F166" s="1">
        <v>306517</v>
      </c>
      <c r="G166" s="1">
        <v>800000</v>
      </c>
      <c r="H166" s="1">
        <v>65178</v>
      </c>
      <c r="I166" s="79" t="s">
        <v>2</v>
      </c>
    </row>
    <row r="167" spans="1:9" x14ac:dyDescent="0.25">
      <c r="A167">
        <v>930</v>
      </c>
      <c r="B167">
        <v>1345111</v>
      </c>
      <c r="C167">
        <v>0</v>
      </c>
      <c r="D167" s="1">
        <v>114129</v>
      </c>
      <c r="E167">
        <v>0</v>
      </c>
      <c r="F167" s="1">
        <v>30129</v>
      </c>
      <c r="G167" s="1">
        <v>84000</v>
      </c>
      <c r="H167" s="1">
        <v>102449</v>
      </c>
      <c r="I167" s="79" t="s">
        <v>2</v>
      </c>
    </row>
    <row r="168" spans="1:9" x14ac:dyDescent="0.25">
      <c r="A168">
        <v>930</v>
      </c>
      <c r="B168">
        <v>1345112</v>
      </c>
      <c r="C168">
        <v>0</v>
      </c>
      <c r="D168" s="1">
        <v>90804</v>
      </c>
      <c r="E168">
        <v>0</v>
      </c>
      <c r="F168" s="1">
        <v>6804</v>
      </c>
      <c r="G168" s="1">
        <v>84000</v>
      </c>
      <c r="H168">
        <v>0</v>
      </c>
      <c r="I168" s="79" t="s">
        <v>2</v>
      </c>
    </row>
    <row r="169" spans="1:9" x14ac:dyDescent="0.25">
      <c r="A169">
        <v>930</v>
      </c>
      <c r="B169">
        <v>1345120</v>
      </c>
      <c r="C169">
        <v>0</v>
      </c>
      <c r="D169" s="1">
        <v>18701</v>
      </c>
      <c r="E169">
        <v>0</v>
      </c>
      <c r="F169" s="1">
        <v>8701</v>
      </c>
      <c r="G169" s="1">
        <v>10000</v>
      </c>
      <c r="H169" s="1">
        <v>14002</v>
      </c>
      <c r="I169" s="79" t="s">
        <v>2</v>
      </c>
    </row>
    <row r="170" spans="1:9" x14ac:dyDescent="0.25">
      <c r="A170">
        <v>930</v>
      </c>
      <c r="B170">
        <v>1345121</v>
      </c>
      <c r="C170">
        <v>0</v>
      </c>
      <c r="D170" s="1">
        <v>17501</v>
      </c>
      <c r="E170">
        <v>0</v>
      </c>
      <c r="F170" s="1">
        <v>7501</v>
      </c>
      <c r="G170" s="1">
        <v>10000</v>
      </c>
      <c r="H170" s="1">
        <v>21974</v>
      </c>
      <c r="I170" s="79" t="s">
        <v>2</v>
      </c>
    </row>
    <row r="171" spans="1:9" x14ac:dyDescent="0.25">
      <c r="A171">
        <v>930</v>
      </c>
      <c r="B171">
        <v>1345122</v>
      </c>
      <c r="C171">
        <v>0</v>
      </c>
      <c r="D171" s="1">
        <v>9090</v>
      </c>
      <c r="E171">
        <v>0</v>
      </c>
      <c r="F171" s="1">
        <v>9090</v>
      </c>
      <c r="G171">
        <v>0</v>
      </c>
      <c r="H171">
        <v>0</v>
      </c>
      <c r="I171" s="79" t="s">
        <v>2</v>
      </c>
    </row>
    <row r="172" spans="1:9" x14ac:dyDescent="0.25">
      <c r="A172">
        <v>930</v>
      </c>
      <c r="B172">
        <v>1345130</v>
      </c>
      <c r="C172">
        <v>0</v>
      </c>
      <c r="D172" s="1">
        <v>5703218</v>
      </c>
      <c r="E172">
        <v>0</v>
      </c>
      <c r="F172" s="1">
        <v>265218</v>
      </c>
      <c r="G172" s="1">
        <v>5438000</v>
      </c>
      <c r="H172" s="1">
        <v>5278799</v>
      </c>
      <c r="I172" s="79" t="s">
        <v>2</v>
      </c>
    </row>
    <row r="173" spans="1:9" x14ac:dyDescent="0.25">
      <c r="A173">
        <v>930</v>
      </c>
      <c r="B173">
        <v>1345150</v>
      </c>
      <c r="C173">
        <v>0</v>
      </c>
      <c r="D173" s="1">
        <v>3612432</v>
      </c>
      <c r="E173">
        <v>0</v>
      </c>
      <c r="F173" s="1">
        <v>812432</v>
      </c>
      <c r="G173" s="1">
        <v>2800000</v>
      </c>
      <c r="H173" s="1">
        <v>2782202</v>
      </c>
      <c r="I173" s="79" t="s">
        <v>2</v>
      </c>
    </row>
    <row r="174" spans="1:9" x14ac:dyDescent="0.25">
      <c r="A174">
        <v>930</v>
      </c>
      <c r="B174">
        <v>1345160</v>
      </c>
      <c r="C174">
        <v>0</v>
      </c>
      <c r="D174" s="1">
        <v>139839</v>
      </c>
      <c r="E174">
        <v>0</v>
      </c>
      <c r="F174" s="1">
        <v>5839</v>
      </c>
      <c r="G174" s="1">
        <v>134000</v>
      </c>
      <c r="H174" s="1">
        <v>186777</v>
      </c>
      <c r="I174" s="79" t="s">
        <v>2</v>
      </c>
    </row>
    <row r="175" spans="1:9" x14ac:dyDescent="0.25">
      <c r="A175">
        <v>930</v>
      </c>
      <c r="B175">
        <v>1345170</v>
      </c>
      <c r="C175">
        <v>0</v>
      </c>
      <c r="D175" s="1">
        <v>103173</v>
      </c>
      <c r="E175">
        <v>0</v>
      </c>
      <c r="F175" s="1">
        <v>23173</v>
      </c>
      <c r="G175" s="1">
        <v>80000</v>
      </c>
      <c r="H175" s="1">
        <v>100338</v>
      </c>
      <c r="I175" s="79" t="s">
        <v>2</v>
      </c>
    </row>
    <row r="176" spans="1:9" x14ac:dyDescent="0.25">
      <c r="A176">
        <v>930</v>
      </c>
      <c r="B176">
        <v>1345180</v>
      </c>
      <c r="C176">
        <v>0</v>
      </c>
      <c r="D176" s="1">
        <v>241171</v>
      </c>
      <c r="E176">
        <v>0</v>
      </c>
      <c r="F176" s="1">
        <v>11171</v>
      </c>
      <c r="G176" s="1">
        <v>230000</v>
      </c>
      <c r="H176" s="1">
        <v>237747</v>
      </c>
      <c r="I176" s="79" t="s">
        <v>2</v>
      </c>
    </row>
    <row r="177" spans="1:9" x14ac:dyDescent="0.25">
      <c r="A177">
        <v>930</v>
      </c>
      <c r="B177">
        <v>1345190</v>
      </c>
      <c r="C177">
        <v>0</v>
      </c>
      <c r="D177" s="1">
        <v>34086</v>
      </c>
      <c r="E177">
        <v>0</v>
      </c>
      <c r="F177" s="1">
        <v>11086</v>
      </c>
      <c r="G177" s="1">
        <v>23000</v>
      </c>
      <c r="H177" s="1">
        <v>23200</v>
      </c>
      <c r="I177" s="79" t="s">
        <v>2</v>
      </c>
    </row>
    <row r="178" spans="1:9" x14ac:dyDescent="0.25">
      <c r="A178">
        <v>420</v>
      </c>
      <c r="B178">
        <v>1345200</v>
      </c>
      <c r="C178">
        <v>0</v>
      </c>
      <c r="D178" s="1">
        <v>13215</v>
      </c>
      <c r="E178">
        <v>0</v>
      </c>
      <c r="F178" s="1">
        <v>8215</v>
      </c>
      <c r="G178" s="1">
        <v>5000</v>
      </c>
      <c r="H178" s="1">
        <v>4968</v>
      </c>
      <c r="I178" s="79" t="s">
        <v>2</v>
      </c>
    </row>
    <row r="179" spans="1:9" x14ac:dyDescent="0.25">
      <c r="A179">
        <v>930</v>
      </c>
      <c r="B179">
        <v>1345200</v>
      </c>
      <c r="C179">
        <v>0</v>
      </c>
      <c r="D179" s="1">
        <v>912843</v>
      </c>
      <c r="E179">
        <v>0</v>
      </c>
      <c r="F179" s="1">
        <v>2843</v>
      </c>
      <c r="G179" s="1">
        <v>910000</v>
      </c>
      <c r="H179" s="1">
        <v>904318</v>
      </c>
      <c r="I179" s="79" t="s">
        <v>2</v>
      </c>
    </row>
    <row r="180" spans="1:9" x14ac:dyDescent="0.25">
      <c r="A180">
        <v>930</v>
      </c>
      <c r="B180">
        <v>1345210</v>
      </c>
      <c r="C180">
        <v>0</v>
      </c>
      <c r="D180">
        <v>22</v>
      </c>
      <c r="E180" s="1">
        <v>4978</v>
      </c>
      <c r="F180">
        <v>0</v>
      </c>
      <c r="G180" s="1">
        <v>5000</v>
      </c>
      <c r="H180" s="1">
        <v>4560</v>
      </c>
      <c r="I180" s="79" t="s">
        <v>2</v>
      </c>
    </row>
    <row r="181" spans="1:9" x14ac:dyDescent="0.25">
      <c r="A181">
        <v>930</v>
      </c>
      <c r="B181">
        <v>1345220</v>
      </c>
      <c r="C181">
        <v>0</v>
      </c>
      <c r="D181" s="1">
        <v>760438</v>
      </c>
      <c r="E181">
        <v>0</v>
      </c>
      <c r="F181" s="1">
        <v>90438</v>
      </c>
      <c r="G181" s="1">
        <v>670000</v>
      </c>
      <c r="H181" s="1">
        <v>702179</v>
      </c>
      <c r="I181" s="79" t="s">
        <v>2</v>
      </c>
    </row>
    <row r="182" spans="1:9" x14ac:dyDescent="0.25">
      <c r="A182">
        <v>930</v>
      </c>
      <c r="B182">
        <v>1345230</v>
      </c>
      <c r="C182">
        <v>0</v>
      </c>
      <c r="D182" s="1">
        <v>262110</v>
      </c>
      <c r="E182">
        <v>0</v>
      </c>
      <c r="F182" s="1">
        <v>68110</v>
      </c>
      <c r="G182" s="1">
        <v>194000</v>
      </c>
      <c r="H182" s="1">
        <v>278007</v>
      </c>
      <c r="I182" s="79" t="s">
        <v>2</v>
      </c>
    </row>
    <row r="183" spans="1:9" x14ac:dyDescent="0.25">
      <c r="A183">
        <v>930</v>
      </c>
      <c r="B183">
        <v>1345310</v>
      </c>
      <c r="C183">
        <v>0</v>
      </c>
      <c r="D183">
        <v>0</v>
      </c>
      <c r="E183" s="1">
        <v>23000</v>
      </c>
      <c r="F183">
        <v>0</v>
      </c>
      <c r="G183" s="1">
        <v>23000</v>
      </c>
      <c r="H183" s="1">
        <v>22670</v>
      </c>
      <c r="I183" s="79" t="s">
        <v>2</v>
      </c>
    </row>
    <row r="184" spans="1:9" x14ac:dyDescent="0.25">
      <c r="A184">
        <v>930</v>
      </c>
      <c r="B184">
        <v>1345320</v>
      </c>
      <c r="C184">
        <v>0</v>
      </c>
      <c r="D184" s="1">
        <v>188569</v>
      </c>
      <c r="E184" s="1">
        <v>9431</v>
      </c>
      <c r="F184">
        <v>0</v>
      </c>
      <c r="G184" s="1">
        <v>198000</v>
      </c>
      <c r="H184" s="1">
        <v>198008</v>
      </c>
      <c r="I184" s="79" t="s">
        <v>2</v>
      </c>
    </row>
    <row r="185" spans="1:9" x14ac:dyDescent="0.25">
      <c r="A185">
        <v>930</v>
      </c>
      <c r="B185">
        <v>1345340</v>
      </c>
      <c r="C185">
        <v>0</v>
      </c>
      <c r="D185" s="1">
        <v>35164</v>
      </c>
      <c r="E185" s="1">
        <v>8836</v>
      </c>
      <c r="F185">
        <v>0</v>
      </c>
      <c r="G185" s="1">
        <v>44000</v>
      </c>
      <c r="H185" s="1">
        <v>29611</v>
      </c>
      <c r="I185" s="79" t="s">
        <v>2</v>
      </c>
    </row>
    <row r="186" spans="1:9" x14ac:dyDescent="0.25">
      <c r="A186">
        <v>930</v>
      </c>
      <c r="B186">
        <v>1345350</v>
      </c>
      <c r="C186">
        <v>0</v>
      </c>
      <c r="D186">
        <v>0</v>
      </c>
      <c r="E186" s="1">
        <v>189000</v>
      </c>
      <c r="F186">
        <v>0</v>
      </c>
      <c r="G186" s="1">
        <v>189000</v>
      </c>
      <c r="H186" s="1">
        <v>189385</v>
      </c>
      <c r="I186" s="79" t="s">
        <v>2</v>
      </c>
    </row>
    <row r="187" spans="1:9" x14ac:dyDescent="0.25">
      <c r="A187">
        <v>930</v>
      </c>
      <c r="B187">
        <v>1346300</v>
      </c>
      <c r="C187">
        <v>0</v>
      </c>
      <c r="D187" s="1">
        <v>117658</v>
      </c>
      <c r="E187">
        <v>0</v>
      </c>
      <c r="F187" s="1">
        <v>13658</v>
      </c>
      <c r="G187" s="1">
        <v>104000</v>
      </c>
      <c r="H187" s="1">
        <v>138567</v>
      </c>
      <c r="I187" s="79" t="s">
        <v>2</v>
      </c>
    </row>
    <row r="188" spans="1:9" x14ac:dyDescent="0.25">
      <c r="A188">
        <v>930</v>
      </c>
      <c r="B188">
        <v>1346310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214</v>
      </c>
      <c r="I188" s="79" t="s">
        <v>2</v>
      </c>
    </row>
    <row r="189" spans="1:9" x14ac:dyDescent="0.25">
      <c r="A189">
        <v>930</v>
      </c>
      <c r="B189">
        <v>1346500</v>
      </c>
      <c r="C189">
        <v>0</v>
      </c>
      <c r="D189" s="1">
        <v>4734796</v>
      </c>
      <c r="E189">
        <v>0</v>
      </c>
      <c r="F189" s="1">
        <v>594796</v>
      </c>
      <c r="G189" s="1">
        <v>4140000</v>
      </c>
      <c r="H189" s="1">
        <v>4140230</v>
      </c>
      <c r="I189" s="79" t="s">
        <v>2</v>
      </c>
    </row>
    <row r="190" spans="1:9" x14ac:dyDescent="0.25">
      <c r="A190">
        <v>930</v>
      </c>
      <c r="B190">
        <v>1346510</v>
      </c>
      <c r="C190">
        <v>0</v>
      </c>
      <c r="D190" s="1">
        <v>181815</v>
      </c>
      <c r="E190">
        <v>0</v>
      </c>
      <c r="F190" s="1">
        <v>21815</v>
      </c>
      <c r="G190" s="1">
        <v>160000</v>
      </c>
      <c r="H190" s="1">
        <v>159771</v>
      </c>
      <c r="I190" s="79" t="s">
        <v>2</v>
      </c>
    </row>
    <row r="191" spans="1:9" x14ac:dyDescent="0.25">
      <c r="A191">
        <v>930</v>
      </c>
      <c r="B191">
        <v>1346610</v>
      </c>
      <c r="C191">
        <v>0</v>
      </c>
      <c r="D191" s="1">
        <v>263269</v>
      </c>
      <c r="E191">
        <v>0</v>
      </c>
      <c r="F191" s="1">
        <v>8269</v>
      </c>
      <c r="G191" s="1">
        <v>255000</v>
      </c>
      <c r="H191" s="1">
        <v>255347</v>
      </c>
      <c r="I191" s="79" t="s">
        <v>2</v>
      </c>
    </row>
    <row r="192" spans="1:9" x14ac:dyDescent="0.25">
      <c r="A192">
        <v>930</v>
      </c>
      <c r="B192">
        <v>1346620</v>
      </c>
      <c r="C192">
        <v>0</v>
      </c>
      <c r="D192" s="1">
        <v>324201</v>
      </c>
      <c r="E192" s="1">
        <v>49799</v>
      </c>
      <c r="F192">
        <v>0</v>
      </c>
      <c r="G192" s="1">
        <v>374000</v>
      </c>
      <c r="H192" s="1">
        <v>374255</v>
      </c>
      <c r="I192" s="79" t="s">
        <v>2</v>
      </c>
    </row>
    <row r="193" spans="1:9" x14ac:dyDescent="0.25">
      <c r="A193">
        <v>930</v>
      </c>
      <c r="B193">
        <v>1346630</v>
      </c>
      <c r="C193">
        <v>0</v>
      </c>
      <c r="D193">
        <v>0</v>
      </c>
      <c r="E193" s="1">
        <v>7000</v>
      </c>
      <c r="F193">
        <v>0</v>
      </c>
      <c r="G193" s="1">
        <v>7000</v>
      </c>
      <c r="H193" s="1">
        <v>6539</v>
      </c>
      <c r="I193" s="79" t="s">
        <v>2</v>
      </c>
    </row>
    <row r="194" spans="1:9" x14ac:dyDescent="0.25">
      <c r="A194">
        <v>930</v>
      </c>
      <c r="B194">
        <v>1346710</v>
      </c>
      <c r="C194">
        <v>0</v>
      </c>
      <c r="D194">
        <v>0</v>
      </c>
      <c r="E194" s="1">
        <v>870000</v>
      </c>
      <c r="F194">
        <v>0</v>
      </c>
      <c r="G194" s="1">
        <v>870000</v>
      </c>
      <c r="H194" s="1">
        <v>870191</v>
      </c>
      <c r="I194" s="79" t="s">
        <v>2</v>
      </c>
    </row>
    <row r="195" spans="1:9" x14ac:dyDescent="0.25">
      <c r="A195">
        <v>930</v>
      </c>
      <c r="B195">
        <v>1346711</v>
      </c>
      <c r="C195">
        <v>0</v>
      </c>
      <c r="D195" s="1">
        <v>51501</v>
      </c>
      <c r="E195" s="1">
        <v>48499</v>
      </c>
      <c r="F195">
        <v>0</v>
      </c>
      <c r="G195" s="1">
        <v>100000</v>
      </c>
      <c r="H195">
        <v>0</v>
      </c>
      <c r="I195" s="79" t="s">
        <v>2</v>
      </c>
    </row>
    <row r="196" spans="1:9" x14ac:dyDescent="0.25">
      <c r="A196">
        <v>930</v>
      </c>
      <c r="B196">
        <v>1346720</v>
      </c>
      <c r="C196">
        <v>0</v>
      </c>
      <c r="D196">
        <v>0</v>
      </c>
      <c r="E196" s="1">
        <v>23000</v>
      </c>
      <c r="F196">
        <v>0</v>
      </c>
      <c r="G196" s="1">
        <v>23000</v>
      </c>
      <c r="H196" s="1">
        <v>23167</v>
      </c>
      <c r="I196" s="79" t="s">
        <v>2</v>
      </c>
    </row>
    <row r="197" spans="1:9" x14ac:dyDescent="0.25">
      <c r="A197">
        <v>930</v>
      </c>
      <c r="B197">
        <v>1346730</v>
      </c>
      <c r="C197">
        <v>0</v>
      </c>
      <c r="D197" s="1">
        <v>134493</v>
      </c>
      <c r="E197">
        <v>0</v>
      </c>
      <c r="F197" s="1">
        <v>20493</v>
      </c>
      <c r="G197" s="1">
        <v>114000</v>
      </c>
      <c r="H197" s="1">
        <v>131595</v>
      </c>
      <c r="I197" s="79" t="s">
        <v>2</v>
      </c>
    </row>
    <row r="198" spans="1:9" x14ac:dyDescent="0.25">
      <c r="A198">
        <v>930</v>
      </c>
      <c r="B198">
        <v>1346750</v>
      </c>
      <c r="C198">
        <v>0</v>
      </c>
      <c r="D198" s="1">
        <v>151294</v>
      </c>
      <c r="E198" s="1">
        <v>6706</v>
      </c>
      <c r="F198">
        <v>0</v>
      </c>
      <c r="G198" s="1">
        <v>158000</v>
      </c>
      <c r="H198" s="1">
        <v>139118</v>
      </c>
      <c r="I198" s="79" t="s">
        <v>2</v>
      </c>
    </row>
    <row r="199" spans="1:9" x14ac:dyDescent="0.25">
      <c r="A199">
        <v>930</v>
      </c>
      <c r="B199">
        <v>1346760</v>
      </c>
      <c r="C199">
        <v>0</v>
      </c>
      <c r="D199" s="1">
        <v>109659</v>
      </c>
      <c r="E199">
        <v>341</v>
      </c>
      <c r="F199">
        <v>0</v>
      </c>
      <c r="G199" s="1">
        <v>110000</v>
      </c>
      <c r="H199" s="1">
        <v>50148</v>
      </c>
      <c r="I199" s="79" t="s">
        <v>2</v>
      </c>
    </row>
    <row r="200" spans="1:9" x14ac:dyDescent="0.25">
      <c r="A200">
        <v>930</v>
      </c>
      <c r="B200">
        <v>1346761</v>
      </c>
      <c r="C200">
        <v>0</v>
      </c>
      <c r="D200" s="1">
        <v>181381</v>
      </c>
      <c r="E200">
        <v>0</v>
      </c>
      <c r="F200" s="1">
        <v>37381</v>
      </c>
      <c r="G200" s="1">
        <v>144000</v>
      </c>
      <c r="H200" s="1">
        <v>42044</v>
      </c>
      <c r="I200" s="79" t="s">
        <v>2</v>
      </c>
    </row>
    <row r="201" spans="1:9" x14ac:dyDescent="0.25">
      <c r="A201">
        <v>930</v>
      </c>
      <c r="B201">
        <v>1346790</v>
      </c>
      <c r="C201">
        <v>0</v>
      </c>
      <c r="D201" s="1">
        <v>341228</v>
      </c>
      <c r="E201">
        <v>0</v>
      </c>
      <c r="F201" s="1">
        <v>165228</v>
      </c>
      <c r="G201" s="1">
        <v>176000</v>
      </c>
      <c r="H201" s="1">
        <v>182547</v>
      </c>
      <c r="I201" s="79" t="s">
        <v>2</v>
      </c>
    </row>
    <row r="202" spans="1:9" x14ac:dyDescent="0.25">
      <c r="A202">
        <v>930</v>
      </c>
      <c r="B202">
        <v>1346810</v>
      </c>
      <c r="C202">
        <v>0</v>
      </c>
      <c r="D202">
        <v>0</v>
      </c>
      <c r="E202">
        <v>0</v>
      </c>
      <c r="F202">
        <v>0</v>
      </c>
      <c r="G202">
        <v>0</v>
      </c>
      <c r="H202" s="1">
        <v>1421</v>
      </c>
      <c r="I202" s="79" t="s">
        <v>2</v>
      </c>
    </row>
    <row r="203" spans="1:9" x14ac:dyDescent="0.25">
      <c r="A203">
        <v>930</v>
      </c>
      <c r="B203">
        <v>1346820</v>
      </c>
      <c r="C203">
        <v>0</v>
      </c>
      <c r="D203" s="1">
        <v>515270</v>
      </c>
      <c r="E203">
        <v>0</v>
      </c>
      <c r="F203" s="1">
        <v>1270</v>
      </c>
      <c r="G203" s="1">
        <v>514000</v>
      </c>
      <c r="H203" s="1">
        <v>258223</v>
      </c>
      <c r="I203" s="79" t="s">
        <v>2</v>
      </c>
    </row>
    <row r="204" spans="1:9" x14ac:dyDescent="0.25">
      <c r="A204">
        <v>930</v>
      </c>
      <c r="B204">
        <v>1346830</v>
      </c>
      <c r="C204">
        <v>0</v>
      </c>
      <c r="D204">
        <v>0</v>
      </c>
      <c r="E204" s="1">
        <v>67000</v>
      </c>
      <c r="F204">
        <v>0</v>
      </c>
      <c r="G204" s="1">
        <v>67000</v>
      </c>
      <c r="H204" s="1">
        <v>66844</v>
      </c>
      <c r="I204" s="79" t="s">
        <v>2</v>
      </c>
    </row>
    <row r="205" spans="1:9" x14ac:dyDescent="0.25">
      <c r="A205">
        <v>930</v>
      </c>
      <c r="B205">
        <v>1346840</v>
      </c>
      <c r="C205">
        <v>0</v>
      </c>
      <c r="D205" s="1">
        <v>35684</v>
      </c>
      <c r="E205">
        <v>0</v>
      </c>
      <c r="F205" s="1">
        <v>35684</v>
      </c>
      <c r="G205">
        <v>0</v>
      </c>
      <c r="H205">
        <v>0</v>
      </c>
      <c r="I205" s="79" t="s">
        <v>2</v>
      </c>
    </row>
    <row r="206" spans="1:9" x14ac:dyDescent="0.25">
      <c r="A206">
        <v>930</v>
      </c>
      <c r="B206">
        <v>1347100</v>
      </c>
      <c r="C206">
        <v>0</v>
      </c>
      <c r="D206" s="1">
        <v>202537</v>
      </c>
      <c r="E206">
        <v>0</v>
      </c>
      <c r="F206" s="1">
        <v>72537</v>
      </c>
      <c r="G206" s="1">
        <v>130000</v>
      </c>
      <c r="H206" s="1">
        <v>163490</v>
      </c>
      <c r="I206" s="79" t="s">
        <v>2</v>
      </c>
    </row>
    <row r="207" spans="1:9" x14ac:dyDescent="0.25">
      <c r="A207">
        <v>930</v>
      </c>
      <c r="B207">
        <v>1347110</v>
      </c>
      <c r="C207">
        <v>0</v>
      </c>
      <c r="D207">
        <v>0</v>
      </c>
      <c r="E207" s="1">
        <v>33000</v>
      </c>
      <c r="F207">
        <v>0</v>
      </c>
      <c r="G207" s="1">
        <v>33000</v>
      </c>
      <c r="H207" s="1">
        <v>33456</v>
      </c>
      <c r="I207" s="79" t="s">
        <v>2</v>
      </c>
    </row>
    <row r="208" spans="1:9" x14ac:dyDescent="0.25">
      <c r="A208">
        <v>930</v>
      </c>
      <c r="B208">
        <v>1347130</v>
      </c>
      <c r="C208">
        <v>0</v>
      </c>
      <c r="D208">
        <v>0</v>
      </c>
      <c r="E208" s="1">
        <v>10000</v>
      </c>
      <c r="F208">
        <v>0</v>
      </c>
      <c r="G208" s="1">
        <v>10000</v>
      </c>
      <c r="H208" s="1">
        <v>10200</v>
      </c>
      <c r="I208" s="79" t="s">
        <v>2</v>
      </c>
    </row>
    <row r="209" spans="1:9" x14ac:dyDescent="0.25">
      <c r="A209">
        <v>930</v>
      </c>
      <c r="B209">
        <v>1347140</v>
      </c>
      <c r="C209">
        <v>0</v>
      </c>
      <c r="D209" s="1">
        <v>60153</v>
      </c>
      <c r="E209">
        <v>0</v>
      </c>
      <c r="F209" s="1">
        <v>22153</v>
      </c>
      <c r="G209" s="1">
        <v>38000</v>
      </c>
      <c r="H209" s="1">
        <v>-2021</v>
      </c>
      <c r="I209" s="79" t="s">
        <v>2</v>
      </c>
    </row>
    <row r="210" spans="1:9" x14ac:dyDescent="0.25">
      <c r="A210">
        <v>930</v>
      </c>
      <c r="B210">
        <v>1347310</v>
      </c>
      <c r="C210">
        <v>0</v>
      </c>
      <c r="D210">
        <v>0</v>
      </c>
      <c r="E210" s="1">
        <v>9000</v>
      </c>
      <c r="F210">
        <v>0</v>
      </c>
      <c r="G210" s="1">
        <v>9000</v>
      </c>
      <c r="H210" s="1">
        <v>9148</v>
      </c>
      <c r="I210" s="79" t="s">
        <v>2</v>
      </c>
    </row>
    <row r="211" spans="1:9" x14ac:dyDescent="0.25">
      <c r="A211">
        <v>930</v>
      </c>
      <c r="B211">
        <v>1347340</v>
      </c>
      <c r="C211">
        <v>0</v>
      </c>
      <c r="D211" s="1">
        <v>77156</v>
      </c>
      <c r="E211" s="1">
        <v>242844</v>
      </c>
      <c r="F211">
        <v>0</v>
      </c>
      <c r="G211" s="1">
        <v>320000</v>
      </c>
      <c r="H211" s="1">
        <v>320969</v>
      </c>
      <c r="I211" s="79" t="s">
        <v>2</v>
      </c>
    </row>
    <row r="212" spans="1:9" x14ac:dyDescent="0.25">
      <c r="A212">
        <v>930</v>
      </c>
      <c r="B212">
        <v>1347350</v>
      </c>
      <c r="C212">
        <v>0</v>
      </c>
      <c r="D212">
        <v>0</v>
      </c>
      <c r="E212" s="1">
        <v>38000</v>
      </c>
      <c r="F212">
        <v>0</v>
      </c>
      <c r="G212" s="1">
        <v>38000</v>
      </c>
      <c r="H212" s="1">
        <v>37904</v>
      </c>
      <c r="I212" s="79" t="s">
        <v>2</v>
      </c>
    </row>
    <row r="213" spans="1:9" x14ac:dyDescent="0.25">
      <c r="A213">
        <v>930</v>
      </c>
      <c r="B213">
        <v>1348200</v>
      </c>
      <c r="C213">
        <v>0</v>
      </c>
      <c r="D213">
        <v>0</v>
      </c>
      <c r="E213" s="1">
        <v>12000</v>
      </c>
      <c r="F213">
        <v>0</v>
      </c>
      <c r="G213" s="1">
        <v>12000</v>
      </c>
      <c r="H213" s="1">
        <v>11672</v>
      </c>
      <c r="I213" s="79" t="s">
        <v>2</v>
      </c>
    </row>
    <row r="214" spans="1:9" x14ac:dyDescent="0.25">
      <c r="A214">
        <v>930</v>
      </c>
      <c r="B214">
        <v>1348210</v>
      </c>
      <c r="C214">
        <v>0</v>
      </c>
      <c r="D214" s="1">
        <v>229925</v>
      </c>
      <c r="E214">
        <v>0</v>
      </c>
      <c r="F214" s="1">
        <v>229925</v>
      </c>
      <c r="G214">
        <v>0</v>
      </c>
      <c r="H214">
        <v>0</v>
      </c>
      <c r="I214" s="79" t="s">
        <v>2</v>
      </c>
    </row>
    <row r="215" spans="1:9" x14ac:dyDescent="0.25">
      <c r="A215">
        <v>930</v>
      </c>
      <c r="B215">
        <v>1348211</v>
      </c>
      <c r="C215">
        <v>0</v>
      </c>
      <c r="D215" s="1">
        <v>3173</v>
      </c>
      <c r="E215" s="1">
        <v>3827</v>
      </c>
      <c r="F215">
        <v>0</v>
      </c>
      <c r="G215" s="1">
        <v>7000</v>
      </c>
      <c r="H215" s="1">
        <v>7285</v>
      </c>
      <c r="I215" s="79" t="s">
        <v>2</v>
      </c>
    </row>
    <row r="216" spans="1:9" x14ac:dyDescent="0.25">
      <c r="A216">
        <v>930</v>
      </c>
      <c r="B216">
        <v>1348220</v>
      </c>
      <c r="C216">
        <v>0</v>
      </c>
      <c r="D216">
        <v>0</v>
      </c>
      <c r="E216" s="1">
        <v>322000</v>
      </c>
      <c r="F216">
        <v>0</v>
      </c>
      <c r="G216" s="1">
        <v>322000</v>
      </c>
      <c r="H216" s="1">
        <v>322476</v>
      </c>
      <c r="I216" s="79" t="s">
        <v>2</v>
      </c>
    </row>
    <row r="217" spans="1:9" x14ac:dyDescent="0.25">
      <c r="A217">
        <v>930</v>
      </c>
      <c r="B217">
        <v>1348300</v>
      </c>
      <c r="C217">
        <v>0</v>
      </c>
      <c r="D217" s="1">
        <v>47205</v>
      </c>
      <c r="E217">
        <v>0</v>
      </c>
      <c r="F217" s="1">
        <v>20205</v>
      </c>
      <c r="G217" s="1">
        <v>27000</v>
      </c>
      <c r="H217" s="1">
        <v>26889</v>
      </c>
      <c r="I217" s="79" t="s">
        <v>2</v>
      </c>
    </row>
    <row r="218" spans="1:9" x14ac:dyDescent="0.25">
      <c r="A218">
        <v>930</v>
      </c>
      <c r="B218">
        <v>1348312</v>
      </c>
      <c r="C218">
        <v>0</v>
      </c>
      <c r="D218" s="1">
        <v>2845</v>
      </c>
      <c r="E218" s="1">
        <v>2155</v>
      </c>
      <c r="F218">
        <v>0</v>
      </c>
      <c r="G218" s="1">
        <v>5000</v>
      </c>
      <c r="H218" s="1">
        <v>5362</v>
      </c>
      <c r="I218" s="79" t="s">
        <v>2</v>
      </c>
    </row>
    <row r="219" spans="1:9" x14ac:dyDescent="0.25">
      <c r="A219">
        <v>930</v>
      </c>
      <c r="B219">
        <v>1348400</v>
      </c>
      <c r="C219">
        <v>0</v>
      </c>
      <c r="D219">
        <v>0</v>
      </c>
      <c r="E219" s="1">
        <v>12000</v>
      </c>
      <c r="F219">
        <v>0</v>
      </c>
      <c r="G219" s="1">
        <v>12000</v>
      </c>
      <c r="H219" s="1">
        <v>12143</v>
      </c>
      <c r="I219" s="79" t="s">
        <v>2</v>
      </c>
    </row>
    <row r="220" spans="1:9" x14ac:dyDescent="0.25">
      <c r="A220">
        <v>930</v>
      </c>
      <c r="B220">
        <v>1349030</v>
      </c>
      <c r="C220">
        <v>0</v>
      </c>
      <c r="D220" s="1">
        <v>11851</v>
      </c>
      <c r="E220">
        <v>0</v>
      </c>
      <c r="F220" s="1">
        <v>8851</v>
      </c>
      <c r="G220" s="1">
        <v>3000</v>
      </c>
      <c r="H220" s="1">
        <v>2852</v>
      </c>
      <c r="I220" s="79" t="s">
        <v>2</v>
      </c>
    </row>
    <row r="221" spans="1:9" x14ac:dyDescent="0.25">
      <c r="A221">
        <v>930</v>
      </c>
      <c r="B221">
        <v>1349050</v>
      </c>
      <c r="C221">
        <v>0</v>
      </c>
      <c r="D221" s="1">
        <v>15361</v>
      </c>
      <c r="E221">
        <v>0</v>
      </c>
      <c r="F221" s="1">
        <v>7361</v>
      </c>
      <c r="G221" s="1">
        <v>8000</v>
      </c>
      <c r="H221" s="1">
        <v>6881</v>
      </c>
      <c r="I221" s="79" t="s">
        <v>2</v>
      </c>
    </row>
    <row r="222" spans="1:9" x14ac:dyDescent="0.25">
      <c r="A222">
        <v>930</v>
      </c>
      <c r="B222">
        <v>1349051</v>
      </c>
      <c r="C222">
        <v>0</v>
      </c>
      <c r="D222" s="1">
        <v>24912</v>
      </c>
      <c r="E222">
        <v>0</v>
      </c>
      <c r="F222" s="1">
        <v>2912</v>
      </c>
      <c r="G222" s="1">
        <v>22000</v>
      </c>
      <c r="H222">
        <v>0</v>
      </c>
      <c r="I222" s="79" t="s">
        <v>2</v>
      </c>
    </row>
    <row r="223" spans="1:9" x14ac:dyDescent="0.25">
      <c r="A223">
        <v>930</v>
      </c>
      <c r="B223">
        <v>1349060</v>
      </c>
      <c r="C223">
        <v>0</v>
      </c>
      <c r="D223" s="1">
        <v>22958</v>
      </c>
      <c r="E223">
        <v>0</v>
      </c>
      <c r="F223" s="1">
        <v>18958</v>
      </c>
      <c r="G223" s="1">
        <v>4000</v>
      </c>
      <c r="H223" s="1">
        <v>26759</v>
      </c>
      <c r="I223" s="79" t="s">
        <v>2</v>
      </c>
    </row>
    <row r="224" spans="1:9" x14ac:dyDescent="0.25">
      <c r="A224">
        <v>930</v>
      </c>
      <c r="B224">
        <v>1349080</v>
      </c>
      <c r="C224">
        <v>0</v>
      </c>
      <c r="D224" s="1">
        <v>2139</v>
      </c>
      <c r="E224" s="1">
        <v>1861</v>
      </c>
      <c r="F224">
        <v>0</v>
      </c>
      <c r="G224" s="1">
        <v>4000</v>
      </c>
      <c r="H224" s="1">
        <v>4159</v>
      </c>
      <c r="I224" s="79" t="s">
        <v>2</v>
      </c>
    </row>
    <row r="225" spans="1:9" x14ac:dyDescent="0.25">
      <c r="A225">
        <v>930</v>
      </c>
      <c r="B225">
        <v>1349090</v>
      </c>
      <c r="C225">
        <v>0</v>
      </c>
      <c r="D225" s="1">
        <v>132987</v>
      </c>
      <c r="E225">
        <v>0</v>
      </c>
      <c r="F225" s="1">
        <v>26987</v>
      </c>
      <c r="G225" s="1">
        <v>106000</v>
      </c>
      <c r="H225" s="1">
        <v>131588</v>
      </c>
      <c r="I225" s="79" t="s">
        <v>2</v>
      </c>
    </row>
    <row r="226" spans="1:9" x14ac:dyDescent="0.25">
      <c r="A226">
        <v>930</v>
      </c>
      <c r="B226">
        <v>1349100</v>
      </c>
      <c r="C226">
        <v>0</v>
      </c>
      <c r="D226" s="1">
        <v>2334</v>
      </c>
      <c r="E226" s="1">
        <v>1666</v>
      </c>
      <c r="F226">
        <v>0</v>
      </c>
      <c r="G226" s="1">
        <v>4000</v>
      </c>
      <c r="H226">
        <v>0</v>
      </c>
      <c r="I226" s="79" t="s">
        <v>2</v>
      </c>
    </row>
    <row r="227" spans="1:9" x14ac:dyDescent="0.25">
      <c r="A227">
        <v>930</v>
      </c>
      <c r="B227">
        <v>1349110</v>
      </c>
      <c r="C227">
        <v>0</v>
      </c>
      <c r="D227" s="1">
        <v>7500</v>
      </c>
      <c r="E227" s="1">
        <v>11500</v>
      </c>
      <c r="F227">
        <v>0</v>
      </c>
      <c r="G227" s="1">
        <v>19000</v>
      </c>
      <c r="H227" s="1">
        <v>18750</v>
      </c>
      <c r="I227" s="79" t="s">
        <v>2</v>
      </c>
    </row>
    <row r="228" spans="1:9" x14ac:dyDescent="0.25">
      <c r="A228">
        <v>930</v>
      </c>
      <c r="B228">
        <v>1349130</v>
      </c>
      <c r="C228">
        <v>0</v>
      </c>
      <c r="D228" s="1">
        <v>8969</v>
      </c>
      <c r="E228">
        <v>0</v>
      </c>
      <c r="F228" s="1">
        <v>8969</v>
      </c>
      <c r="G228">
        <v>0</v>
      </c>
      <c r="H228">
        <v>0</v>
      </c>
      <c r="I228" s="79" t="s">
        <v>2</v>
      </c>
    </row>
    <row r="229" spans="1:9" x14ac:dyDescent="0.25">
      <c r="A229">
        <v>950</v>
      </c>
      <c r="B229">
        <v>1360000</v>
      </c>
      <c r="C229">
        <v>0</v>
      </c>
      <c r="D229" s="1">
        <v>-98650</v>
      </c>
      <c r="E229" s="1">
        <v>98650</v>
      </c>
      <c r="F229">
        <v>0</v>
      </c>
      <c r="G229">
        <v>0</v>
      </c>
      <c r="H229" s="1">
        <v>995263</v>
      </c>
      <c r="I229" s="79" t="s">
        <v>2</v>
      </c>
    </row>
    <row r="230" spans="1:9" x14ac:dyDescent="0.25">
      <c r="A230">
        <v>210</v>
      </c>
      <c r="B230">
        <v>1413100</v>
      </c>
      <c r="C230">
        <v>0</v>
      </c>
      <c r="D230" s="1">
        <v>-10888.91</v>
      </c>
      <c r="E230">
        <v>0</v>
      </c>
      <c r="F230" s="1">
        <v>1111.0899999999999</v>
      </c>
      <c r="G230" s="1">
        <v>-12000</v>
      </c>
      <c r="H230" s="1">
        <v>-14196.96</v>
      </c>
      <c r="I230" s="79" t="s">
        <v>2</v>
      </c>
    </row>
    <row r="231" spans="1:9" x14ac:dyDescent="0.25">
      <c r="A231">
        <v>640</v>
      </c>
      <c r="B231">
        <v>1433000</v>
      </c>
      <c r="C231">
        <v>0</v>
      </c>
      <c r="D231" s="1">
        <v>1477095.68</v>
      </c>
      <c r="E231" s="1">
        <v>22904.32</v>
      </c>
      <c r="F231">
        <v>0</v>
      </c>
      <c r="G231" s="1">
        <v>1500000</v>
      </c>
      <c r="H231" s="1">
        <v>2145521.64</v>
      </c>
      <c r="I231" s="79" t="s">
        <v>2</v>
      </c>
    </row>
    <row r="232" spans="1:9" x14ac:dyDescent="0.25">
      <c r="A232">
        <v>640</v>
      </c>
      <c r="B232">
        <v>1433100</v>
      </c>
      <c r="C232">
        <v>0</v>
      </c>
      <c r="D232" s="1">
        <v>1500</v>
      </c>
      <c r="E232">
        <v>500</v>
      </c>
      <c r="F232">
        <v>0</v>
      </c>
      <c r="G232" s="1">
        <v>2000</v>
      </c>
      <c r="H232" s="1">
        <v>7100</v>
      </c>
      <c r="I232" s="79" t="s">
        <v>2</v>
      </c>
    </row>
    <row r="233" spans="1:9" x14ac:dyDescent="0.25">
      <c r="A233">
        <v>640</v>
      </c>
      <c r="B233">
        <v>1433200</v>
      </c>
      <c r="C233">
        <v>0</v>
      </c>
      <c r="D233" s="1">
        <v>58110.85</v>
      </c>
      <c r="E233" s="1">
        <v>1889.15</v>
      </c>
      <c r="F233">
        <v>0</v>
      </c>
      <c r="G233" s="1">
        <v>60000</v>
      </c>
      <c r="H233" s="1">
        <v>65070.54</v>
      </c>
      <c r="I233" s="79" t="s">
        <v>2</v>
      </c>
    </row>
    <row r="234" spans="1:9" x14ac:dyDescent="0.25">
      <c r="A234">
        <v>640</v>
      </c>
      <c r="B234">
        <v>1433300</v>
      </c>
      <c r="C234">
        <v>0</v>
      </c>
      <c r="D234" s="1">
        <v>21257.5</v>
      </c>
      <c r="E234">
        <v>0</v>
      </c>
      <c r="F234" s="1">
        <v>21257.5</v>
      </c>
      <c r="G234">
        <v>0</v>
      </c>
      <c r="H234">
        <v>0</v>
      </c>
      <c r="I234" s="79" t="s">
        <v>2</v>
      </c>
    </row>
    <row r="235" spans="1:9" x14ac:dyDescent="0.25">
      <c r="A235">
        <v>640</v>
      </c>
      <c r="B235">
        <v>1439000</v>
      </c>
      <c r="C235">
        <v>0</v>
      </c>
      <c r="D235" s="1">
        <v>527534</v>
      </c>
      <c r="E235">
        <v>0</v>
      </c>
      <c r="F235">
        <v>534</v>
      </c>
      <c r="G235" s="1">
        <v>527000</v>
      </c>
      <c r="H235" s="1">
        <v>526805</v>
      </c>
      <c r="I235" s="79" t="s">
        <v>2</v>
      </c>
    </row>
    <row r="236" spans="1:9" x14ac:dyDescent="0.25">
      <c r="A236">
        <v>220</v>
      </c>
      <c r="B236">
        <v>1443000</v>
      </c>
      <c r="C236">
        <v>0</v>
      </c>
      <c r="D236" s="1">
        <v>2303176.56</v>
      </c>
      <c r="E236" s="1">
        <v>96823.44</v>
      </c>
      <c r="F236">
        <v>0</v>
      </c>
      <c r="G236" s="1">
        <v>2400000</v>
      </c>
      <c r="H236" s="1">
        <v>3163765.68</v>
      </c>
      <c r="I236" s="79" t="s">
        <v>2</v>
      </c>
    </row>
    <row r="237" spans="1:9" x14ac:dyDescent="0.25">
      <c r="A237">
        <v>221</v>
      </c>
      <c r="B237">
        <v>1443000</v>
      </c>
      <c r="C237">
        <v>0</v>
      </c>
      <c r="D237" s="1">
        <v>211400</v>
      </c>
      <c r="E237">
        <v>0</v>
      </c>
      <c r="F237" s="1">
        <v>211400</v>
      </c>
      <c r="G237">
        <v>0</v>
      </c>
      <c r="H237">
        <v>0</v>
      </c>
      <c r="I237" s="79" t="s">
        <v>2</v>
      </c>
    </row>
    <row r="238" spans="1:9" x14ac:dyDescent="0.25">
      <c r="A238">
        <v>220</v>
      </c>
      <c r="B238">
        <v>1443100</v>
      </c>
      <c r="C238">
        <v>0</v>
      </c>
      <c r="D238" s="1">
        <v>80460</v>
      </c>
      <c r="E238">
        <v>0</v>
      </c>
      <c r="F238" s="1">
        <v>80460</v>
      </c>
      <c r="G238">
        <v>0</v>
      </c>
      <c r="H238" s="1">
        <v>3950</v>
      </c>
      <c r="I238" s="79" t="s">
        <v>2</v>
      </c>
    </row>
    <row r="239" spans="1:9" x14ac:dyDescent="0.25">
      <c r="A239">
        <v>210</v>
      </c>
      <c r="B239">
        <v>1472000</v>
      </c>
      <c r="C239">
        <v>0</v>
      </c>
      <c r="D239" s="1">
        <v>4551.03</v>
      </c>
      <c r="E239">
        <v>448.97</v>
      </c>
      <c r="F239">
        <v>0</v>
      </c>
      <c r="G239" s="1">
        <v>5000</v>
      </c>
      <c r="H239" s="1">
        <v>16944</v>
      </c>
      <c r="I239" s="79" t="s">
        <v>2</v>
      </c>
    </row>
    <row r="240" spans="1:9" x14ac:dyDescent="0.25">
      <c r="A240">
        <v>800</v>
      </c>
      <c r="B240">
        <v>1472000</v>
      </c>
      <c r="C240">
        <v>0</v>
      </c>
      <c r="D240" s="1">
        <v>-1500.54</v>
      </c>
      <c r="E240" s="1">
        <v>6500.54</v>
      </c>
      <c r="F240">
        <v>0</v>
      </c>
      <c r="G240" s="1">
        <v>5000</v>
      </c>
      <c r="H240" s="1">
        <v>12671.92</v>
      </c>
      <c r="I240" s="79" t="s">
        <v>2</v>
      </c>
    </row>
    <row r="241" spans="1:9" x14ac:dyDescent="0.25">
      <c r="A241">
        <v>800</v>
      </c>
      <c r="B241">
        <v>1473000</v>
      </c>
      <c r="C241">
        <v>0</v>
      </c>
      <c r="D241">
        <v>120.4</v>
      </c>
      <c r="E241">
        <v>0</v>
      </c>
      <c r="F241">
        <v>120.4</v>
      </c>
      <c r="G241">
        <v>0</v>
      </c>
      <c r="H241">
        <v>0.04</v>
      </c>
      <c r="I241" s="79" t="s">
        <v>2</v>
      </c>
    </row>
    <row r="242" spans="1:9" x14ac:dyDescent="0.25">
      <c r="A242">
        <v>660</v>
      </c>
      <c r="B242">
        <v>1511000</v>
      </c>
      <c r="C242">
        <v>0</v>
      </c>
      <c r="D242">
        <v>0</v>
      </c>
      <c r="E242" s="1">
        <v>32000</v>
      </c>
      <c r="F242">
        <v>0</v>
      </c>
      <c r="G242" s="1">
        <v>32000</v>
      </c>
      <c r="H242" s="1">
        <v>1395554</v>
      </c>
      <c r="I242" s="79" t="s">
        <v>2</v>
      </c>
    </row>
    <row r="243" spans="1:9" x14ac:dyDescent="0.25">
      <c r="A243">
        <v>590</v>
      </c>
      <c r="B243">
        <v>1591900</v>
      </c>
      <c r="C243">
        <v>0</v>
      </c>
      <c r="D243">
        <v>0</v>
      </c>
      <c r="E243" s="1">
        <v>100000</v>
      </c>
      <c r="F243">
        <v>0</v>
      </c>
      <c r="G243" s="1">
        <v>100000</v>
      </c>
      <c r="H243" s="1">
        <v>1506565.04</v>
      </c>
      <c r="I243" s="79" t="s">
        <v>2</v>
      </c>
    </row>
    <row r="244" spans="1:9" x14ac:dyDescent="0.25">
      <c r="A244">
        <v>690</v>
      </c>
      <c r="B244">
        <v>1594100</v>
      </c>
      <c r="C244">
        <v>0</v>
      </c>
      <c r="D244" s="1">
        <v>125000</v>
      </c>
      <c r="E244">
        <v>0</v>
      </c>
      <c r="F244" s="1">
        <v>25000</v>
      </c>
      <c r="G244" s="1">
        <v>100000</v>
      </c>
      <c r="H244" s="1">
        <v>975556.37</v>
      </c>
      <c r="I244" s="79" t="s">
        <v>2</v>
      </c>
    </row>
    <row r="245" spans="1:9" x14ac:dyDescent="0.25">
      <c r="A245">
        <v>691</v>
      </c>
      <c r="B245">
        <v>1599200</v>
      </c>
      <c r="C245">
        <v>0</v>
      </c>
      <c r="D245">
        <v>0</v>
      </c>
      <c r="E245" s="1">
        <v>100000</v>
      </c>
      <c r="F245">
        <v>0</v>
      </c>
      <c r="G245" s="1">
        <v>100000</v>
      </c>
      <c r="H245" s="1">
        <v>1204617</v>
      </c>
      <c r="I245" s="79" t="s">
        <v>2</v>
      </c>
    </row>
    <row r="246" spans="1:9" x14ac:dyDescent="0.25">
      <c r="A246">
        <v>691</v>
      </c>
      <c r="B246">
        <v>1599900</v>
      </c>
      <c r="C246">
        <v>0</v>
      </c>
      <c r="D246" s="1">
        <v>18170000</v>
      </c>
      <c r="E246">
        <v>0</v>
      </c>
      <c r="F246">
        <v>0</v>
      </c>
      <c r="G246" s="1">
        <v>18170000</v>
      </c>
      <c r="H246">
        <v>0</v>
      </c>
      <c r="I246" s="79" t="s">
        <v>2</v>
      </c>
    </row>
    <row r="247" spans="1:9" x14ac:dyDescent="0.25">
      <c r="D247" s="1">
        <f>SUM(D2:D246)</f>
        <v>361460857.90999991</v>
      </c>
      <c r="G247" s="1"/>
    </row>
    <row r="248" spans="1:9" x14ac:dyDescent="0.25">
      <c r="D248" s="1"/>
      <c r="G248" s="1"/>
    </row>
    <row r="249" spans="1:9" x14ac:dyDescent="0.25">
      <c r="A249">
        <v>110</v>
      </c>
      <c r="B249">
        <v>1611000</v>
      </c>
      <c r="C249">
        <v>4</v>
      </c>
      <c r="D249" s="1">
        <v>2128959.79</v>
      </c>
      <c r="E249">
        <v>0</v>
      </c>
      <c r="F249" s="1">
        <v>11959.79</v>
      </c>
      <c r="G249" s="1">
        <v>2117000</v>
      </c>
      <c r="H249" s="1">
        <v>2108283.7999999998</v>
      </c>
      <c r="I249" s="79" t="s">
        <v>2</v>
      </c>
    </row>
    <row r="250" spans="1:9" x14ac:dyDescent="0.25">
      <c r="A250">
        <v>110</v>
      </c>
      <c r="B250">
        <v>1611200</v>
      </c>
      <c r="C250">
        <v>0</v>
      </c>
      <c r="D250" s="1">
        <v>1727623.15</v>
      </c>
      <c r="E250" s="1">
        <v>7445.33</v>
      </c>
      <c r="F250">
        <v>0</v>
      </c>
      <c r="G250" s="1">
        <v>40000</v>
      </c>
      <c r="H250" s="1">
        <v>39112.65</v>
      </c>
      <c r="I250" s="79" t="s">
        <v>2</v>
      </c>
    </row>
    <row r="251" spans="1:9" x14ac:dyDescent="0.25">
      <c r="A251">
        <v>110</v>
      </c>
      <c r="B251">
        <v>1612000</v>
      </c>
      <c r="C251">
        <v>0</v>
      </c>
      <c r="D251" s="1">
        <v>318766.98</v>
      </c>
      <c r="E251" s="1">
        <v>4346.5</v>
      </c>
      <c r="F251">
        <v>0</v>
      </c>
      <c r="G251" s="1">
        <v>13000</v>
      </c>
      <c r="H251" s="1">
        <v>8115.57</v>
      </c>
      <c r="I251" s="79" t="s">
        <v>2</v>
      </c>
    </row>
    <row r="252" spans="1:9" x14ac:dyDescent="0.25">
      <c r="A252">
        <v>110</v>
      </c>
      <c r="B252">
        <v>1613000</v>
      </c>
      <c r="C252">
        <v>0</v>
      </c>
      <c r="D252" s="1">
        <v>4259803.45</v>
      </c>
      <c r="E252">
        <v>0</v>
      </c>
      <c r="F252">
        <v>0</v>
      </c>
      <c r="G252">
        <v>0</v>
      </c>
      <c r="H252" s="1">
        <v>192530</v>
      </c>
      <c r="I252" s="79" t="s">
        <v>2</v>
      </c>
    </row>
    <row r="253" spans="1:9" x14ac:dyDescent="0.25">
      <c r="A253">
        <v>110</v>
      </c>
      <c r="B253">
        <v>1613100</v>
      </c>
      <c r="C253">
        <v>0</v>
      </c>
      <c r="D253" s="1">
        <v>43244.79</v>
      </c>
      <c r="E253" s="1">
        <v>3803.63</v>
      </c>
      <c r="F253">
        <v>0</v>
      </c>
      <c r="G253" s="1">
        <v>69000</v>
      </c>
      <c r="H253" s="1">
        <v>81049.77</v>
      </c>
      <c r="I253" s="79" t="s">
        <v>2</v>
      </c>
    </row>
    <row r="254" spans="1:9" x14ac:dyDescent="0.25">
      <c r="A254">
        <v>110</v>
      </c>
      <c r="B254">
        <v>1613200</v>
      </c>
      <c r="C254">
        <v>0</v>
      </c>
      <c r="D254" s="1">
        <v>2103.8200000000002</v>
      </c>
      <c r="E254">
        <v>0</v>
      </c>
      <c r="F254" s="1">
        <v>5932</v>
      </c>
      <c r="G254" s="1">
        <v>27000</v>
      </c>
      <c r="H254" s="1">
        <v>21141.99</v>
      </c>
      <c r="I254" s="79" t="s">
        <v>2</v>
      </c>
    </row>
    <row r="255" spans="1:9" x14ac:dyDescent="0.25">
      <c r="A255">
        <v>110</v>
      </c>
      <c r="B255">
        <v>1613300</v>
      </c>
      <c r="C255">
        <v>0</v>
      </c>
      <c r="D255" s="1">
        <v>79752.19</v>
      </c>
      <c r="E255" s="1">
        <v>5763</v>
      </c>
      <c r="F255">
        <v>0</v>
      </c>
      <c r="G255" s="1">
        <v>17000</v>
      </c>
      <c r="H255" s="1">
        <v>17060</v>
      </c>
      <c r="I255" s="79" t="s">
        <v>2</v>
      </c>
    </row>
    <row r="256" spans="1:9" x14ac:dyDescent="0.25">
      <c r="A256">
        <v>110</v>
      </c>
      <c r="B256">
        <v>1614000</v>
      </c>
      <c r="C256">
        <v>0</v>
      </c>
      <c r="D256" s="1">
        <v>616393.15</v>
      </c>
      <c r="E256">
        <v>0</v>
      </c>
      <c r="F256" s="1">
        <v>36091</v>
      </c>
      <c r="G256" s="1">
        <v>191000</v>
      </c>
      <c r="H256" s="1">
        <v>164945.07999999999</v>
      </c>
      <c r="I256" s="79" t="s">
        <v>2</v>
      </c>
    </row>
    <row r="257" spans="1:9" x14ac:dyDescent="0.25">
      <c r="A257">
        <v>110</v>
      </c>
      <c r="B257">
        <v>1615000</v>
      </c>
      <c r="C257">
        <v>0</v>
      </c>
      <c r="D257" s="1">
        <v>1040858.94</v>
      </c>
      <c r="E257" s="1">
        <v>32273</v>
      </c>
      <c r="F257">
        <v>0</v>
      </c>
      <c r="G257" s="1">
        <v>48000</v>
      </c>
      <c r="H257" s="1">
        <v>53309</v>
      </c>
      <c r="I257" s="79" t="s">
        <v>2</v>
      </c>
    </row>
    <row r="258" spans="1:9" x14ac:dyDescent="0.25">
      <c r="A258">
        <v>110</v>
      </c>
      <c r="B258">
        <v>1617000</v>
      </c>
      <c r="C258">
        <v>0</v>
      </c>
      <c r="D258" s="1">
        <v>1334852.7</v>
      </c>
      <c r="E258">
        <v>0</v>
      </c>
      <c r="F258">
        <v>583.14</v>
      </c>
      <c r="G258" s="1">
        <v>8000</v>
      </c>
      <c r="H258" s="1">
        <v>55855</v>
      </c>
      <c r="I258" s="79" t="s">
        <v>2</v>
      </c>
    </row>
    <row r="259" spans="1:9" x14ac:dyDescent="0.25">
      <c r="A259">
        <v>110</v>
      </c>
      <c r="B259">
        <v>1621100</v>
      </c>
      <c r="C259">
        <v>0</v>
      </c>
      <c r="D259" s="1">
        <v>1766759.91</v>
      </c>
      <c r="E259" s="1">
        <v>27575</v>
      </c>
      <c r="F259">
        <v>0</v>
      </c>
      <c r="G259" s="1">
        <v>146000</v>
      </c>
      <c r="H259" s="1">
        <v>131027</v>
      </c>
      <c r="I259" s="79" t="s">
        <v>2</v>
      </c>
    </row>
    <row r="260" spans="1:9" x14ac:dyDescent="0.25">
      <c r="A260">
        <v>110</v>
      </c>
      <c r="B260">
        <v>1621300</v>
      </c>
      <c r="C260">
        <v>0</v>
      </c>
      <c r="D260" s="1">
        <v>1199392.8400000001</v>
      </c>
      <c r="E260">
        <v>376.85</v>
      </c>
      <c r="F260">
        <v>0</v>
      </c>
      <c r="G260" s="1">
        <v>1728000</v>
      </c>
      <c r="H260" s="1">
        <v>2037592.8</v>
      </c>
      <c r="I260" s="79" t="s">
        <v>2</v>
      </c>
    </row>
    <row r="261" spans="1:9" x14ac:dyDescent="0.25">
      <c r="A261">
        <v>110</v>
      </c>
      <c r="B261">
        <v>1621500</v>
      </c>
      <c r="C261">
        <v>0</v>
      </c>
      <c r="D261" s="1">
        <v>725763.88</v>
      </c>
      <c r="E261">
        <v>151</v>
      </c>
      <c r="F261">
        <v>0</v>
      </c>
      <c r="G261" s="1">
        <v>4000</v>
      </c>
      <c r="H261">
        <v>0</v>
      </c>
      <c r="I261" s="79" t="s">
        <v>2</v>
      </c>
    </row>
    <row r="262" spans="1:9" x14ac:dyDescent="0.25">
      <c r="A262">
        <v>110</v>
      </c>
      <c r="B262">
        <v>1623100</v>
      </c>
      <c r="C262">
        <v>0</v>
      </c>
      <c r="D262" s="1">
        <v>1655494.52</v>
      </c>
      <c r="E262">
        <v>0</v>
      </c>
      <c r="F262">
        <v>202.52</v>
      </c>
      <c r="G262" s="1">
        <v>30000</v>
      </c>
      <c r="H262">
        <v>0</v>
      </c>
      <c r="I262" s="79" t="s">
        <v>2</v>
      </c>
    </row>
    <row r="263" spans="1:9" x14ac:dyDescent="0.25">
      <c r="A263">
        <v>110</v>
      </c>
      <c r="B263">
        <v>1623200</v>
      </c>
      <c r="C263">
        <v>0</v>
      </c>
      <c r="D263" s="1">
        <v>1125700.3500000001</v>
      </c>
      <c r="E263" s="1">
        <v>1745.9</v>
      </c>
      <c r="F263">
        <v>0</v>
      </c>
      <c r="G263" s="1">
        <v>4000</v>
      </c>
      <c r="H263">
        <v>0</v>
      </c>
      <c r="I263" s="79" t="s">
        <v>2</v>
      </c>
    </row>
    <row r="264" spans="1:9" x14ac:dyDescent="0.25">
      <c r="A264">
        <v>110</v>
      </c>
      <c r="B264">
        <v>1711000</v>
      </c>
      <c r="C264">
        <v>0</v>
      </c>
      <c r="D264" s="1">
        <v>2545787.62</v>
      </c>
      <c r="E264">
        <v>56.32</v>
      </c>
      <c r="F264">
        <v>0</v>
      </c>
      <c r="G264" s="1">
        <v>3000</v>
      </c>
      <c r="H264">
        <v>0</v>
      </c>
      <c r="I264" s="79" t="s">
        <v>2</v>
      </c>
    </row>
    <row r="265" spans="1:9" x14ac:dyDescent="0.25">
      <c r="A265">
        <v>110</v>
      </c>
      <c r="B265">
        <v>1712200</v>
      </c>
      <c r="C265">
        <v>0</v>
      </c>
      <c r="D265" s="1">
        <v>5814930.8799999999</v>
      </c>
      <c r="E265">
        <v>465.08</v>
      </c>
      <c r="F265">
        <v>0</v>
      </c>
      <c r="G265" s="1">
        <v>3000</v>
      </c>
      <c r="H265">
        <v>0</v>
      </c>
      <c r="I265" s="79" t="s">
        <v>2</v>
      </c>
    </row>
    <row r="266" spans="1:9" x14ac:dyDescent="0.25">
      <c r="A266">
        <v>110</v>
      </c>
      <c r="B266">
        <v>1712300</v>
      </c>
      <c r="C266">
        <v>0</v>
      </c>
      <c r="D266" s="1">
        <v>2789666.45</v>
      </c>
      <c r="E266">
        <v>476.3</v>
      </c>
      <c r="F266">
        <v>0</v>
      </c>
      <c r="G266" s="1">
        <v>2000</v>
      </c>
      <c r="H266">
        <v>0</v>
      </c>
      <c r="I266" s="79" t="s">
        <v>2</v>
      </c>
    </row>
    <row r="267" spans="1:9" x14ac:dyDescent="0.25">
      <c r="A267">
        <v>110</v>
      </c>
      <c r="B267">
        <v>1712400</v>
      </c>
      <c r="C267">
        <v>0</v>
      </c>
      <c r="D267" s="1">
        <v>1424294.63</v>
      </c>
      <c r="E267">
        <v>233.02</v>
      </c>
      <c r="F267">
        <v>0</v>
      </c>
      <c r="G267" s="1">
        <v>319000</v>
      </c>
      <c r="H267" s="1">
        <v>310499.56</v>
      </c>
      <c r="I267" s="79" t="s">
        <v>2</v>
      </c>
    </row>
    <row r="268" spans="1:9" x14ac:dyDescent="0.25">
      <c r="A268">
        <v>110</v>
      </c>
      <c r="B268">
        <v>1714000</v>
      </c>
      <c r="C268">
        <v>0</v>
      </c>
      <c r="D268" s="1">
        <v>741276.85</v>
      </c>
      <c r="E268">
        <v>698.54</v>
      </c>
      <c r="F268">
        <v>0</v>
      </c>
      <c r="G268" s="1">
        <v>1000</v>
      </c>
      <c r="H268" s="1">
        <v>1560</v>
      </c>
      <c r="I268" s="79" t="s">
        <v>2</v>
      </c>
    </row>
    <row r="269" spans="1:9" x14ac:dyDescent="0.25">
      <c r="A269">
        <v>110</v>
      </c>
      <c r="B269">
        <v>1715000</v>
      </c>
      <c r="C269">
        <v>0</v>
      </c>
      <c r="D269" s="1">
        <v>1364186.91</v>
      </c>
      <c r="E269" s="1">
        <v>2220.54</v>
      </c>
      <c r="F269">
        <v>0</v>
      </c>
      <c r="G269" s="1">
        <v>5000</v>
      </c>
      <c r="H269" s="1">
        <v>2743.8</v>
      </c>
      <c r="I269" s="79" t="s">
        <v>2</v>
      </c>
    </row>
    <row r="270" spans="1:9" x14ac:dyDescent="0.25">
      <c r="A270">
        <v>110</v>
      </c>
      <c r="B270">
        <v>1721000</v>
      </c>
      <c r="C270">
        <v>0</v>
      </c>
      <c r="D270" s="1">
        <v>903722.62</v>
      </c>
      <c r="E270">
        <v>0</v>
      </c>
      <c r="F270">
        <v>169.35</v>
      </c>
      <c r="G270" s="1">
        <v>48000</v>
      </c>
      <c r="H270" s="1">
        <v>52461.66</v>
      </c>
      <c r="I270" s="79" t="s">
        <v>2</v>
      </c>
    </row>
    <row r="271" spans="1:9" x14ac:dyDescent="0.25">
      <c r="A271">
        <v>110</v>
      </c>
      <c r="B271">
        <v>1723000</v>
      </c>
      <c r="C271">
        <v>0</v>
      </c>
      <c r="D271" s="1">
        <v>372604.7</v>
      </c>
      <c r="E271" s="1">
        <v>1613.5</v>
      </c>
      <c r="F271">
        <v>0</v>
      </c>
      <c r="G271" s="1">
        <v>2000</v>
      </c>
      <c r="H271">
        <v>0</v>
      </c>
      <c r="I271" s="79" t="s">
        <v>2</v>
      </c>
    </row>
    <row r="272" spans="1:9" x14ac:dyDescent="0.25">
      <c r="A272">
        <v>110</v>
      </c>
      <c r="B272">
        <v>1729998</v>
      </c>
      <c r="C272">
        <v>0</v>
      </c>
      <c r="D272" s="1">
        <v>120214</v>
      </c>
      <c r="E272" s="1">
        <v>118196.55</v>
      </c>
      <c r="F272">
        <v>0</v>
      </c>
      <c r="G272" s="1">
        <v>4378000</v>
      </c>
      <c r="H272" s="1">
        <v>5799914</v>
      </c>
      <c r="I272" s="79" t="s">
        <v>2</v>
      </c>
    </row>
    <row r="273" spans="1:9" x14ac:dyDescent="0.25">
      <c r="A273">
        <v>110</v>
      </c>
      <c r="B273">
        <v>1731000</v>
      </c>
      <c r="C273">
        <v>0</v>
      </c>
      <c r="D273" s="1">
        <v>2259640.71</v>
      </c>
      <c r="E273">
        <v>0</v>
      </c>
      <c r="F273" s="1">
        <v>9901.18</v>
      </c>
      <c r="G273">
        <v>0</v>
      </c>
      <c r="H273" s="1">
        <v>34991.06</v>
      </c>
      <c r="I273" s="79" t="s">
        <v>2</v>
      </c>
    </row>
    <row r="274" spans="1:9" x14ac:dyDescent="0.25">
      <c r="A274">
        <v>110</v>
      </c>
      <c r="B274">
        <v>1733000</v>
      </c>
      <c r="C274">
        <v>0</v>
      </c>
      <c r="D274" s="1">
        <v>2365342.52</v>
      </c>
      <c r="E274" s="1">
        <v>3350737.79</v>
      </c>
      <c r="F274">
        <v>0</v>
      </c>
      <c r="G274" s="1">
        <v>3949000</v>
      </c>
      <c r="H274" s="1">
        <v>861013.4</v>
      </c>
      <c r="I274" s="79" t="s">
        <v>2</v>
      </c>
    </row>
    <row r="275" spans="1:9" x14ac:dyDescent="0.25">
      <c r="A275">
        <v>110</v>
      </c>
      <c r="B275">
        <v>1741000</v>
      </c>
      <c r="C275">
        <v>0</v>
      </c>
      <c r="D275" s="1">
        <v>1111523.46</v>
      </c>
      <c r="E275">
        <v>0</v>
      </c>
      <c r="F275" s="1">
        <v>58768.82</v>
      </c>
      <c r="G275" s="1">
        <v>340000</v>
      </c>
      <c r="H275" s="1">
        <v>342520.21</v>
      </c>
      <c r="I275" s="79" t="s">
        <v>2</v>
      </c>
    </row>
    <row r="276" spans="1:9" x14ac:dyDescent="0.25">
      <c r="A276">
        <v>110</v>
      </c>
      <c r="B276">
        <v>1743000</v>
      </c>
      <c r="C276">
        <v>0</v>
      </c>
      <c r="D276" s="1">
        <v>661069.25</v>
      </c>
      <c r="E276">
        <v>302.39999999999998</v>
      </c>
      <c r="F276">
        <v>0</v>
      </c>
      <c r="G276" s="1">
        <v>141000</v>
      </c>
      <c r="H276" s="1">
        <v>68303.600000000006</v>
      </c>
      <c r="I276" s="79" t="s">
        <v>2</v>
      </c>
    </row>
    <row r="277" spans="1:9" x14ac:dyDescent="0.25">
      <c r="A277">
        <v>110</v>
      </c>
      <c r="B277">
        <v>1746000</v>
      </c>
      <c r="C277">
        <v>0</v>
      </c>
      <c r="D277" s="1">
        <v>3527655.61</v>
      </c>
      <c r="E277">
        <v>0</v>
      </c>
      <c r="F277">
        <v>0</v>
      </c>
      <c r="G277">
        <v>0</v>
      </c>
      <c r="H277" s="1">
        <v>3088.8</v>
      </c>
      <c r="I277" s="79" t="s">
        <v>2</v>
      </c>
    </row>
    <row r="278" spans="1:9" x14ac:dyDescent="0.25">
      <c r="A278">
        <v>110</v>
      </c>
      <c r="B278">
        <v>1746100</v>
      </c>
      <c r="C278">
        <v>0</v>
      </c>
      <c r="D278" s="1">
        <v>185682.84</v>
      </c>
      <c r="E278" s="1">
        <v>6368.37</v>
      </c>
      <c r="F278">
        <v>0</v>
      </c>
      <c r="G278" s="1">
        <v>26000</v>
      </c>
      <c r="H278" s="1">
        <v>41118.47</v>
      </c>
      <c r="I278" s="79" t="s">
        <v>2</v>
      </c>
    </row>
    <row r="279" spans="1:9" x14ac:dyDescent="0.25">
      <c r="A279">
        <v>110</v>
      </c>
      <c r="B279">
        <v>1746200</v>
      </c>
      <c r="C279">
        <v>0</v>
      </c>
      <c r="D279" s="1">
        <v>747855.06</v>
      </c>
      <c r="E279" s="1">
        <v>1043.3499999999999</v>
      </c>
      <c r="F279">
        <v>0</v>
      </c>
      <c r="G279" s="1">
        <v>10000</v>
      </c>
      <c r="H279" s="1">
        <v>15764.95</v>
      </c>
      <c r="I279" s="79" t="s">
        <v>2</v>
      </c>
    </row>
    <row r="280" spans="1:9" x14ac:dyDescent="0.25">
      <c r="A280">
        <v>110</v>
      </c>
      <c r="B280">
        <v>1761000</v>
      </c>
      <c r="C280">
        <v>0</v>
      </c>
      <c r="D280" s="1">
        <v>1605349.75</v>
      </c>
      <c r="E280">
        <v>0</v>
      </c>
      <c r="F280" s="1">
        <v>9942</v>
      </c>
      <c r="G280" s="1">
        <v>192000</v>
      </c>
      <c r="H280" s="1">
        <v>156118.20000000001</v>
      </c>
      <c r="I280" s="79" t="s">
        <v>2</v>
      </c>
    </row>
    <row r="281" spans="1:9" x14ac:dyDescent="0.25">
      <c r="A281">
        <v>110</v>
      </c>
      <c r="B281">
        <v>1764000</v>
      </c>
      <c r="C281">
        <v>0</v>
      </c>
      <c r="D281" s="1">
        <v>177030.49</v>
      </c>
      <c r="E281">
        <v>0</v>
      </c>
      <c r="F281">
        <v>76.5</v>
      </c>
      <c r="G281" s="1">
        <v>86000</v>
      </c>
      <c r="H281" s="1">
        <v>64365.42</v>
      </c>
      <c r="I281" s="79" t="s">
        <v>2</v>
      </c>
    </row>
    <row r="282" spans="1:9" x14ac:dyDescent="0.25">
      <c r="A282">
        <v>110</v>
      </c>
      <c r="B282">
        <v>1770000</v>
      </c>
      <c r="C282">
        <v>0</v>
      </c>
      <c r="D282" s="1">
        <v>287147.03999999998</v>
      </c>
      <c r="E282" s="1">
        <v>2860.2</v>
      </c>
      <c r="F282">
        <v>0</v>
      </c>
      <c r="G282" s="1">
        <v>5000</v>
      </c>
      <c r="H282" s="1">
        <v>4555.5</v>
      </c>
      <c r="I282" s="79" t="s">
        <v>2</v>
      </c>
    </row>
    <row r="283" spans="1:9" x14ac:dyDescent="0.25">
      <c r="A283">
        <v>110</v>
      </c>
      <c r="B283">
        <v>1781000</v>
      </c>
      <c r="C283">
        <v>0</v>
      </c>
      <c r="D283" s="1">
        <v>1761401.54</v>
      </c>
      <c r="E283">
        <v>0</v>
      </c>
      <c r="F283" s="1">
        <v>24736.16</v>
      </c>
      <c r="G283" s="1">
        <v>100000</v>
      </c>
      <c r="H283" s="1">
        <v>410775.1</v>
      </c>
      <c r="I283" s="79" t="s">
        <v>2</v>
      </c>
    </row>
    <row r="284" spans="1:9" x14ac:dyDescent="0.25">
      <c r="A284">
        <v>110</v>
      </c>
      <c r="B284">
        <v>1781100</v>
      </c>
      <c r="C284">
        <v>0</v>
      </c>
      <c r="D284" s="1">
        <v>1033283.9</v>
      </c>
      <c r="E284" s="1">
        <v>48550</v>
      </c>
      <c r="F284">
        <v>0</v>
      </c>
      <c r="G284" s="1">
        <v>110000</v>
      </c>
      <c r="H284" s="1">
        <v>100000</v>
      </c>
      <c r="I284" s="79" t="s">
        <v>2</v>
      </c>
    </row>
    <row r="285" spans="1:9" x14ac:dyDescent="0.25">
      <c r="A285">
        <v>110</v>
      </c>
      <c r="B285">
        <v>1811000</v>
      </c>
      <c r="C285">
        <v>0</v>
      </c>
      <c r="D285" s="1">
        <v>3279210.88</v>
      </c>
      <c r="E285">
        <v>0</v>
      </c>
      <c r="F285" s="1">
        <v>43244.79</v>
      </c>
      <c r="G285">
        <v>0</v>
      </c>
      <c r="H285">
        <v>0</v>
      </c>
      <c r="I285" s="79" t="s">
        <v>2</v>
      </c>
    </row>
    <row r="286" spans="1:9" x14ac:dyDescent="0.25">
      <c r="A286">
        <v>110</v>
      </c>
      <c r="B286">
        <v>1811100</v>
      </c>
      <c r="C286">
        <v>0</v>
      </c>
      <c r="D286" s="1">
        <v>20478.05</v>
      </c>
      <c r="E286" s="1">
        <v>65739</v>
      </c>
      <c r="F286">
        <v>0</v>
      </c>
      <c r="G286" s="1">
        <v>90000</v>
      </c>
      <c r="H286">
        <v>0</v>
      </c>
      <c r="I286" s="79" t="s">
        <v>2</v>
      </c>
    </row>
    <row r="287" spans="1:9" x14ac:dyDescent="0.25">
      <c r="A287">
        <v>110</v>
      </c>
      <c r="B287">
        <v>1811200</v>
      </c>
      <c r="C287">
        <v>0</v>
      </c>
      <c r="D287" s="1">
        <v>-16565</v>
      </c>
      <c r="E287">
        <v>0</v>
      </c>
      <c r="F287">
        <v>48.46</v>
      </c>
      <c r="G287" s="1">
        <v>2000</v>
      </c>
      <c r="H287">
        <v>450</v>
      </c>
      <c r="I287" s="79" t="s">
        <v>2</v>
      </c>
    </row>
    <row r="288" spans="1:9" x14ac:dyDescent="0.25">
      <c r="A288">
        <v>110</v>
      </c>
      <c r="B288">
        <v>1811300</v>
      </c>
      <c r="C288">
        <v>0</v>
      </c>
      <c r="D288" s="1">
        <v>53093.919999999998</v>
      </c>
      <c r="E288">
        <v>0</v>
      </c>
      <c r="F288" s="1">
        <v>2103.8200000000002</v>
      </c>
      <c r="G288">
        <v>0</v>
      </c>
      <c r="H288">
        <v>0</v>
      </c>
      <c r="I288" s="79" t="s">
        <v>2</v>
      </c>
    </row>
    <row r="289" spans="1:9" x14ac:dyDescent="0.25">
      <c r="A289">
        <v>110</v>
      </c>
      <c r="B289">
        <v>1812200</v>
      </c>
      <c r="C289">
        <v>0</v>
      </c>
      <c r="D289" s="1">
        <v>3668177.37</v>
      </c>
      <c r="E289">
        <v>0</v>
      </c>
      <c r="F289" s="1">
        <v>11899</v>
      </c>
      <c r="G289">
        <v>0</v>
      </c>
      <c r="H289">
        <v>0</v>
      </c>
      <c r="I289" s="79" t="s">
        <v>2</v>
      </c>
    </row>
    <row r="290" spans="1:9" x14ac:dyDescent="0.25">
      <c r="A290">
        <v>110</v>
      </c>
      <c r="B290">
        <v>1812210</v>
      </c>
      <c r="C290">
        <v>0</v>
      </c>
      <c r="D290" s="1">
        <v>2888221.68</v>
      </c>
      <c r="E290" s="1">
        <v>15911.1</v>
      </c>
      <c r="F290">
        <v>0</v>
      </c>
      <c r="G290" s="1">
        <v>70000</v>
      </c>
      <c r="H290">
        <v>0</v>
      </c>
      <c r="I290" s="79" t="s">
        <v>2</v>
      </c>
    </row>
    <row r="291" spans="1:9" x14ac:dyDescent="0.25">
      <c r="A291">
        <v>110</v>
      </c>
      <c r="B291">
        <v>1812300</v>
      </c>
      <c r="C291">
        <v>0</v>
      </c>
      <c r="D291" s="1">
        <v>5088338.76</v>
      </c>
      <c r="E291">
        <v>0</v>
      </c>
      <c r="F291" s="1">
        <v>79752.19</v>
      </c>
      <c r="G291">
        <v>0</v>
      </c>
      <c r="H291">
        <v>0</v>
      </c>
      <c r="I291" s="79" t="s">
        <v>2</v>
      </c>
    </row>
    <row r="292" spans="1:9" x14ac:dyDescent="0.25">
      <c r="A292">
        <v>110</v>
      </c>
      <c r="B292">
        <v>1812310</v>
      </c>
      <c r="C292">
        <v>0</v>
      </c>
      <c r="D292" s="1">
        <v>174547.41</v>
      </c>
      <c r="E292">
        <v>0</v>
      </c>
      <c r="F292" s="1">
        <v>3794.5</v>
      </c>
      <c r="G292" s="1">
        <v>25000</v>
      </c>
      <c r="H292">
        <v>0</v>
      </c>
      <c r="I292" s="79" t="s">
        <v>2</v>
      </c>
    </row>
    <row r="293" spans="1:9" x14ac:dyDescent="0.25">
      <c r="A293">
        <v>110</v>
      </c>
      <c r="B293">
        <v>1812400</v>
      </c>
      <c r="C293">
        <v>0</v>
      </c>
      <c r="D293" s="1">
        <v>701920.53</v>
      </c>
      <c r="E293" s="1">
        <v>6423.64</v>
      </c>
      <c r="F293">
        <v>0</v>
      </c>
      <c r="G293" s="1">
        <v>27000</v>
      </c>
      <c r="H293">
        <v>0</v>
      </c>
      <c r="I293" s="79" t="s">
        <v>2</v>
      </c>
    </row>
    <row r="294" spans="1:9" x14ac:dyDescent="0.25">
      <c r="A294">
        <v>110</v>
      </c>
      <c r="B294">
        <v>1812510</v>
      </c>
      <c r="C294">
        <v>0</v>
      </c>
      <c r="D294" s="1">
        <v>984488.17</v>
      </c>
      <c r="E294">
        <v>743</v>
      </c>
      <c r="F294">
        <v>0</v>
      </c>
      <c r="G294" s="1">
        <v>1000</v>
      </c>
      <c r="H294">
        <v>0</v>
      </c>
      <c r="I294" s="79" t="s">
        <v>2</v>
      </c>
    </row>
    <row r="295" spans="1:9" x14ac:dyDescent="0.25">
      <c r="A295">
        <v>110</v>
      </c>
      <c r="B295">
        <v>1812520</v>
      </c>
      <c r="C295">
        <v>0</v>
      </c>
      <c r="D295" s="1">
        <v>68248.14</v>
      </c>
      <c r="E295">
        <v>611.20000000000005</v>
      </c>
      <c r="F295">
        <v>0</v>
      </c>
      <c r="G295" s="1">
        <v>1000</v>
      </c>
      <c r="H295">
        <v>0</v>
      </c>
      <c r="I295" s="79" t="s">
        <v>2</v>
      </c>
    </row>
    <row r="296" spans="1:9" x14ac:dyDescent="0.25">
      <c r="A296">
        <v>110</v>
      </c>
      <c r="B296">
        <v>1812600</v>
      </c>
      <c r="C296">
        <v>0</v>
      </c>
      <c r="D296" s="1">
        <v>4034349.51</v>
      </c>
      <c r="E296">
        <v>0</v>
      </c>
      <c r="F296" s="1">
        <v>1222.4100000000001</v>
      </c>
      <c r="G296" s="1">
        <v>2000</v>
      </c>
      <c r="H296">
        <v>0</v>
      </c>
      <c r="I296" s="79" t="s">
        <v>2</v>
      </c>
    </row>
    <row r="297" spans="1:9" x14ac:dyDescent="0.25">
      <c r="A297">
        <v>110</v>
      </c>
      <c r="B297">
        <v>1812700</v>
      </c>
      <c r="C297">
        <v>0</v>
      </c>
      <c r="D297" s="1">
        <v>721201.53</v>
      </c>
      <c r="E297" s="1">
        <v>19606.849999999999</v>
      </c>
      <c r="F297">
        <v>0</v>
      </c>
      <c r="G297" s="1">
        <v>636000</v>
      </c>
      <c r="H297" s="1">
        <v>530509.9</v>
      </c>
      <c r="I297" s="79" t="s">
        <v>2</v>
      </c>
    </row>
    <row r="298" spans="1:9" x14ac:dyDescent="0.25">
      <c r="A298">
        <v>110</v>
      </c>
      <c r="B298">
        <v>1812800</v>
      </c>
      <c r="C298">
        <v>0</v>
      </c>
      <c r="D298" s="1">
        <v>2089839.29</v>
      </c>
      <c r="E298" s="1">
        <v>5141.0600000000004</v>
      </c>
      <c r="F298">
        <v>0</v>
      </c>
      <c r="G298" s="1">
        <v>1046000</v>
      </c>
      <c r="H298" s="1">
        <v>1195331.1200000001</v>
      </c>
      <c r="I298" s="79" t="s">
        <v>2</v>
      </c>
    </row>
    <row r="299" spans="1:9" x14ac:dyDescent="0.25">
      <c r="A299">
        <v>110</v>
      </c>
      <c r="B299">
        <v>1812900</v>
      </c>
      <c r="C299">
        <v>0</v>
      </c>
      <c r="D299" s="1">
        <v>1623487.47</v>
      </c>
      <c r="E299">
        <v>0</v>
      </c>
      <c r="F299" s="1">
        <v>1768.52</v>
      </c>
      <c r="G299" s="1">
        <v>75000</v>
      </c>
      <c r="H299" s="1">
        <v>113945.01</v>
      </c>
      <c r="I299" s="79" t="s">
        <v>2</v>
      </c>
    </row>
    <row r="300" spans="1:9" x14ac:dyDescent="0.25">
      <c r="A300">
        <v>110</v>
      </c>
      <c r="B300">
        <v>1812911</v>
      </c>
      <c r="C300">
        <v>0</v>
      </c>
      <c r="D300" s="1">
        <v>2294662.4</v>
      </c>
      <c r="E300" s="1">
        <v>37147.300000000003</v>
      </c>
      <c r="F300">
        <v>0</v>
      </c>
      <c r="G300" s="1">
        <v>1372000</v>
      </c>
      <c r="H300" s="1">
        <v>1336591.24</v>
      </c>
      <c r="I300" s="79" t="s">
        <v>2</v>
      </c>
    </row>
    <row r="301" spans="1:9" x14ac:dyDescent="0.25">
      <c r="A301">
        <v>110</v>
      </c>
      <c r="B301">
        <v>1812912</v>
      </c>
      <c r="C301">
        <v>0</v>
      </c>
      <c r="D301" s="1">
        <v>572867.21</v>
      </c>
      <c r="E301">
        <v>102.56</v>
      </c>
      <c r="F301">
        <v>0</v>
      </c>
      <c r="G301" s="1">
        <v>1000</v>
      </c>
      <c r="H301">
        <v>795.36</v>
      </c>
      <c r="I301" s="79" t="s">
        <v>2</v>
      </c>
    </row>
    <row r="302" spans="1:9" x14ac:dyDescent="0.25">
      <c r="A302">
        <v>110</v>
      </c>
      <c r="B302">
        <v>1813200</v>
      </c>
      <c r="C302">
        <v>0</v>
      </c>
      <c r="D302" s="1">
        <v>-24468.080000000002</v>
      </c>
      <c r="E302">
        <v>0</v>
      </c>
      <c r="F302" s="1">
        <v>5969.96</v>
      </c>
      <c r="G302" s="1">
        <v>4000</v>
      </c>
      <c r="H302" s="1">
        <v>4510.34</v>
      </c>
      <c r="I302" s="79" t="s">
        <v>2</v>
      </c>
    </row>
    <row r="303" spans="1:9" x14ac:dyDescent="0.25">
      <c r="A303">
        <v>110</v>
      </c>
      <c r="B303">
        <v>1813210</v>
      </c>
      <c r="C303">
        <v>0</v>
      </c>
      <c r="D303" s="1">
        <v>865403.52</v>
      </c>
      <c r="E303">
        <v>592.5</v>
      </c>
      <c r="F303">
        <v>0</v>
      </c>
      <c r="G303" s="1">
        <v>1000</v>
      </c>
      <c r="H303">
        <v>0</v>
      </c>
      <c r="I303" s="79" t="s">
        <v>2</v>
      </c>
    </row>
    <row r="304" spans="1:9" x14ac:dyDescent="0.25">
      <c r="A304">
        <v>110</v>
      </c>
      <c r="B304">
        <v>1813211</v>
      </c>
      <c r="C304">
        <v>0</v>
      </c>
      <c r="D304" s="1">
        <v>655159.17000000004</v>
      </c>
      <c r="E304">
        <v>0</v>
      </c>
      <c r="F304">
        <v>170</v>
      </c>
      <c r="G304" s="1">
        <v>1000</v>
      </c>
      <c r="H304" s="1">
        <v>1170</v>
      </c>
      <c r="I304" s="79" t="s">
        <v>2</v>
      </c>
    </row>
    <row r="305" spans="1:9" x14ac:dyDescent="0.25">
      <c r="A305">
        <v>110</v>
      </c>
      <c r="B305">
        <v>1813212</v>
      </c>
      <c r="C305">
        <v>0</v>
      </c>
      <c r="D305" s="1">
        <v>846033.09</v>
      </c>
      <c r="E305" s="1">
        <v>2389.9899999999998</v>
      </c>
      <c r="F305">
        <v>0</v>
      </c>
      <c r="G305" s="1">
        <v>7000</v>
      </c>
      <c r="H305" s="1">
        <v>7242.39</v>
      </c>
      <c r="I305" s="79" t="s">
        <v>2</v>
      </c>
    </row>
    <row r="306" spans="1:9" x14ac:dyDescent="0.25">
      <c r="A306">
        <v>110</v>
      </c>
      <c r="B306">
        <v>1813213</v>
      </c>
      <c r="C306">
        <v>0</v>
      </c>
      <c r="D306" s="1">
        <v>773649.36</v>
      </c>
      <c r="E306">
        <v>183.99</v>
      </c>
      <c r="F306">
        <v>0</v>
      </c>
      <c r="G306" s="1">
        <v>1000</v>
      </c>
      <c r="H306" s="1">
        <v>1106.22</v>
      </c>
      <c r="I306" s="79" t="s">
        <v>2</v>
      </c>
    </row>
    <row r="307" spans="1:9" x14ac:dyDescent="0.25">
      <c r="A307">
        <v>110</v>
      </c>
      <c r="B307">
        <v>1813214</v>
      </c>
      <c r="C307">
        <v>0</v>
      </c>
      <c r="D307" s="1">
        <v>589890.87</v>
      </c>
      <c r="E307">
        <v>0</v>
      </c>
      <c r="F307" s="1">
        <v>3539.02</v>
      </c>
      <c r="G307" s="1">
        <v>53000</v>
      </c>
      <c r="H307" s="1">
        <v>52410.61</v>
      </c>
      <c r="I307" s="79" t="s">
        <v>2</v>
      </c>
    </row>
    <row r="308" spans="1:9" x14ac:dyDescent="0.25">
      <c r="A308">
        <v>110</v>
      </c>
      <c r="B308">
        <v>1813215</v>
      </c>
      <c r="C308">
        <v>0</v>
      </c>
      <c r="D308" s="1">
        <v>598221.4</v>
      </c>
      <c r="E308">
        <v>0</v>
      </c>
      <c r="F308">
        <v>150</v>
      </c>
      <c r="G308">
        <v>0</v>
      </c>
      <c r="H308">
        <v>0</v>
      </c>
      <c r="I308" s="79" t="s">
        <v>2</v>
      </c>
    </row>
    <row r="309" spans="1:9" x14ac:dyDescent="0.25">
      <c r="A309">
        <v>110</v>
      </c>
      <c r="B309">
        <v>1813216</v>
      </c>
      <c r="C309">
        <v>0</v>
      </c>
      <c r="D309" s="1">
        <v>532655.57999999996</v>
      </c>
      <c r="E309" s="1">
        <v>8910.16</v>
      </c>
      <c r="F309">
        <v>0</v>
      </c>
      <c r="G309" s="1">
        <v>600000</v>
      </c>
      <c r="H309" s="1">
        <v>626395.81000000006</v>
      </c>
      <c r="I309" s="79" t="s">
        <v>2</v>
      </c>
    </row>
    <row r="310" spans="1:9" x14ac:dyDescent="0.25">
      <c r="A310">
        <v>110</v>
      </c>
      <c r="B310">
        <v>1813218</v>
      </c>
      <c r="C310">
        <v>0</v>
      </c>
      <c r="D310" s="1">
        <v>937057</v>
      </c>
      <c r="E310">
        <v>0</v>
      </c>
      <c r="F310">
        <v>0</v>
      </c>
      <c r="G310">
        <v>0</v>
      </c>
      <c r="H310" s="1">
        <v>6178</v>
      </c>
      <c r="I310" s="79" t="s">
        <v>2</v>
      </c>
    </row>
    <row r="311" spans="1:9" x14ac:dyDescent="0.25">
      <c r="A311">
        <v>110</v>
      </c>
      <c r="B311">
        <v>1813219</v>
      </c>
      <c r="C311">
        <v>0</v>
      </c>
      <c r="D311" s="1">
        <v>396611.14</v>
      </c>
      <c r="E311">
        <v>0</v>
      </c>
      <c r="F311">
        <v>0</v>
      </c>
      <c r="G311">
        <v>0</v>
      </c>
      <c r="H311" s="1">
        <v>2988</v>
      </c>
      <c r="I311" s="79" t="s">
        <v>2</v>
      </c>
    </row>
    <row r="312" spans="1:9" x14ac:dyDescent="0.25">
      <c r="A312">
        <v>110</v>
      </c>
      <c r="B312">
        <v>1813220</v>
      </c>
      <c r="C312">
        <v>0</v>
      </c>
      <c r="D312" s="1">
        <v>784916.31</v>
      </c>
      <c r="E312" s="1">
        <v>1805.44</v>
      </c>
      <c r="F312">
        <v>0</v>
      </c>
      <c r="G312" s="1">
        <v>35000</v>
      </c>
      <c r="H312" s="1">
        <v>45474.25</v>
      </c>
      <c r="I312" s="79" t="s">
        <v>2</v>
      </c>
    </row>
    <row r="313" spans="1:9" x14ac:dyDescent="0.25">
      <c r="A313">
        <v>110</v>
      </c>
      <c r="B313">
        <v>1813221</v>
      </c>
      <c r="C313">
        <v>0</v>
      </c>
      <c r="D313" s="1">
        <v>102204.38</v>
      </c>
      <c r="E313" s="1">
        <v>1986.3</v>
      </c>
      <c r="F313">
        <v>0</v>
      </c>
      <c r="G313" s="1">
        <v>3000</v>
      </c>
      <c r="H313" s="1">
        <v>1372.3</v>
      </c>
      <c r="I313" s="79" t="s">
        <v>2</v>
      </c>
    </row>
    <row r="314" spans="1:9" x14ac:dyDescent="0.25">
      <c r="A314">
        <v>110</v>
      </c>
      <c r="B314">
        <v>1813222</v>
      </c>
      <c r="C314">
        <v>0</v>
      </c>
      <c r="D314" s="1">
        <v>242589.85</v>
      </c>
      <c r="E314">
        <v>0</v>
      </c>
      <c r="F314">
        <v>0</v>
      </c>
      <c r="G314">
        <v>0</v>
      </c>
      <c r="H314">
        <v>936</v>
      </c>
      <c r="I314" s="79" t="s">
        <v>2</v>
      </c>
    </row>
    <row r="315" spans="1:9" x14ac:dyDescent="0.25">
      <c r="A315">
        <v>110</v>
      </c>
      <c r="B315">
        <v>1813223</v>
      </c>
      <c r="C315">
        <v>0</v>
      </c>
      <c r="D315" s="1">
        <v>188524.09</v>
      </c>
      <c r="E315" s="1">
        <v>3923.92</v>
      </c>
      <c r="F315">
        <v>0</v>
      </c>
      <c r="G315" s="1">
        <v>15000</v>
      </c>
      <c r="H315" s="1">
        <v>16483.419999999998</v>
      </c>
      <c r="I315" s="79" t="s">
        <v>2</v>
      </c>
    </row>
    <row r="316" spans="1:9" x14ac:dyDescent="0.25">
      <c r="A316">
        <v>110</v>
      </c>
      <c r="B316">
        <v>1813224</v>
      </c>
      <c r="C316">
        <v>0</v>
      </c>
      <c r="D316" s="1">
        <v>271570.82</v>
      </c>
      <c r="E316">
        <v>460.69</v>
      </c>
      <c r="F316">
        <v>0</v>
      </c>
      <c r="G316" s="1">
        <v>1000</v>
      </c>
      <c r="H316" s="1">
        <v>1322.92</v>
      </c>
      <c r="I316" s="79" t="s">
        <v>2</v>
      </c>
    </row>
    <row r="317" spans="1:9" x14ac:dyDescent="0.25">
      <c r="A317">
        <v>110</v>
      </c>
      <c r="B317">
        <v>1813225</v>
      </c>
      <c r="C317">
        <v>0</v>
      </c>
      <c r="D317" s="1">
        <v>403272.54</v>
      </c>
      <c r="E317">
        <v>0</v>
      </c>
      <c r="F317" s="1">
        <v>2945.81</v>
      </c>
      <c r="G317" s="1">
        <v>45000</v>
      </c>
      <c r="H317" s="1">
        <v>44358.73</v>
      </c>
      <c r="I317" s="79" t="s">
        <v>2</v>
      </c>
    </row>
    <row r="318" spans="1:9" x14ac:dyDescent="0.25">
      <c r="A318">
        <v>110</v>
      </c>
      <c r="B318">
        <v>1813226</v>
      </c>
      <c r="C318">
        <v>0</v>
      </c>
      <c r="D318" s="1">
        <v>462002.67</v>
      </c>
      <c r="E318">
        <v>14</v>
      </c>
      <c r="F318">
        <v>0</v>
      </c>
      <c r="G318" s="1">
        <v>153000</v>
      </c>
      <c r="H318" s="1">
        <v>68164</v>
      </c>
      <c r="I318" s="79" t="s">
        <v>2</v>
      </c>
    </row>
    <row r="319" spans="1:9" x14ac:dyDescent="0.25">
      <c r="A319">
        <v>110</v>
      </c>
      <c r="B319">
        <v>1813300</v>
      </c>
      <c r="C319">
        <v>0</v>
      </c>
      <c r="D319" s="1">
        <v>3113221.51</v>
      </c>
      <c r="E319" s="1">
        <v>7869.46</v>
      </c>
      <c r="F319">
        <v>0</v>
      </c>
      <c r="G319" s="1">
        <v>35000</v>
      </c>
      <c r="H319" s="1">
        <v>11047.45</v>
      </c>
      <c r="I319" s="79" t="s">
        <v>2</v>
      </c>
    </row>
    <row r="320" spans="1:9" x14ac:dyDescent="0.25">
      <c r="A320">
        <v>110</v>
      </c>
      <c r="B320">
        <v>1813400</v>
      </c>
      <c r="C320">
        <v>0</v>
      </c>
      <c r="D320" s="1">
        <v>6716094.8499999996</v>
      </c>
      <c r="E320" s="1">
        <v>38240.089999999997</v>
      </c>
      <c r="F320">
        <v>0</v>
      </c>
      <c r="G320" s="1">
        <v>1805000</v>
      </c>
      <c r="H320" s="1">
        <v>1976768.61</v>
      </c>
      <c r="I320" s="79" t="s">
        <v>2</v>
      </c>
    </row>
    <row r="321" spans="1:9" x14ac:dyDescent="0.25">
      <c r="A321">
        <v>110</v>
      </c>
      <c r="B321">
        <v>1813500</v>
      </c>
      <c r="C321">
        <v>0</v>
      </c>
      <c r="D321" s="1">
        <v>4855030.92</v>
      </c>
      <c r="E321">
        <v>0</v>
      </c>
      <c r="F321">
        <v>0</v>
      </c>
      <c r="G321">
        <v>0</v>
      </c>
      <c r="H321" s="1">
        <v>7681</v>
      </c>
      <c r="I321" s="79" t="s">
        <v>2</v>
      </c>
    </row>
    <row r="322" spans="1:9" x14ac:dyDescent="0.25">
      <c r="A322">
        <v>110</v>
      </c>
      <c r="B322">
        <v>1813600</v>
      </c>
      <c r="C322">
        <v>0</v>
      </c>
      <c r="D322" s="1">
        <v>1092887.6599999999</v>
      </c>
      <c r="E322">
        <v>0</v>
      </c>
      <c r="F322">
        <v>769</v>
      </c>
      <c r="G322" s="1">
        <v>1000</v>
      </c>
      <c r="H322">
        <v>0</v>
      </c>
      <c r="I322" s="79" t="s">
        <v>2</v>
      </c>
    </row>
    <row r="323" spans="1:9" x14ac:dyDescent="0.25">
      <c r="A323">
        <v>110</v>
      </c>
      <c r="B323">
        <v>1813700</v>
      </c>
      <c r="C323">
        <v>0</v>
      </c>
      <c r="D323" s="1">
        <v>319995.33</v>
      </c>
      <c r="E323">
        <v>0</v>
      </c>
      <c r="F323">
        <v>752</v>
      </c>
      <c r="G323">
        <v>0</v>
      </c>
      <c r="H323">
        <v>0</v>
      </c>
      <c r="I323" s="79" t="s">
        <v>2</v>
      </c>
    </row>
    <row r="324" spans="1:9" x14ac:dyDescent="0.25">
      <c r="A324">
        <v>110</v>
      </c>
      <c r="B324">
        <v>1817100</v>
      </c>
      <c r="C324">
        <v>0</v>
      </c>
      <c r="D324" s="1">
        <v>265011.82</v>
      </c>
      <c r="E324">
        <v>0</v>
      </c>
      <c r="F324" s="1">
        <v>2649.4</v>
      </c>
      <c r="G324">
        <v>0</v>
      </c>
      <c r="H324">
        <v>0</v>
      </c>
      <c r="I324" s="79" t="s">
        <v>2</v>
      </c>
    </row>
    <row r="325" spans="1:9" x14ac:dyDescent="0.25">
      <c r="A325">
        <v>110</v>
      </c>
      <c r="B325">
        <v>1817200</v>
      </c>
      <c r="C325">
        <v>0</v>
      </c>
      <c r="D325" s="1">
        <v>509583.31</v>
      </c>
      <c r="E325" s="1">
        <v>87607.16</v>
      </c>
      <c r="F325">
        <v>0</v>
      </c>
      <c r="G325" s="1">
        <v>1287000</v>
      </c>
      <c r="H325" s="1">
        <v>1288837.19</v>
      </c>
      <c r="I325" s="79" t="s">
        <v>2</v>
      </c>
    </row>
    <row r="326" spans="1:9" x14ac:dyDescent="0.25">
      <c r="A326">
        <v>110</v>
      </c>
      <c r="B326">
        <v>1817300</v>
      </c>
      <c r="C326">
        <v>0</v>
      </c>
      <c r="D326" s="1">
        <v>3120511.16</v>
      </c>
      <c r="E326">
        <v>0</v>
      </c>
      <c r="F326" s="1">
        <v>30725</v>
      </c>
      <c r="G326">
        <v>0</v>
      </c>
      <c r="H326">
        <v>0</v>
      </c>
      <c r="I326" s="79" t="s">
        <v>2</v>
      </c>
    </row>
    <row r="327" spans="1:9" x14ac:dyDescent="0.25">
      <c r="A327">
        <v>110</v>
      </c>
      <c r="B327">
        <v>1817700</v>
      </c>
      <c r="C327">
        <v>0</v>
      </c>
      <c r="D327" s="1">
        <v>822963.02</v>
      </c>
      <c r="E327" s="1">
        <v>1078.8</v>
      </c>
      <c r="F327">
        <v>0</v>
      </c>
      <c r="G327" s="1">
        <v>18000</v>
      </c>
      <c r="H327" s="1">
        <v>16032.65</v>
      </c>
      <c r="I327" s="79" t="s">
        <v>2</v>
      </c>
    </row>
    <row r="328" spans="1:9" x14ac:dyDescent="0.25">
      <c r="A328">
        <v>110</v>
      </c>
      <c r="B328">
        <v>1817900</v>
      </c>
      <c r="C328">
        <v>0</v>
      </c>
      <c r="D328" s="1">
        <v>239729.53</v>
      </c>
      <c r="E328">
        <v>584.91</v>
      </c>
      <c r="F328">
        <v>0</v>
      </c>
      <c r="G328" s="1">
        <v>1000</v>
      </c>
      <c r="H328">
        <v>308.8</v>
      </c>
      <c r="I328" s="79" t="s">
        <v>2</v>
      </c>
    </row>
    <row r="329" spans="1:9" x14ac:dyDescent="0.25">
      <c r="A329">
        <v>110</v>
      </c>
      <c r="B329">
        <v>1817910</v>
      </c>
      <c r="C329">
        <v>0</v>
      </c>
      <c r="D329" s="1">
        <v>1393614.59</v>
      </c>
      <c r="E329" s="1">
        <v>338798.48</v>
      </c>
      <c r="F329">
        <v>0</v>
      </c>
      <c r="G329" s="1">
        <v>427000</v>
      </c>
      <c r="H329" s="1">
        <v>341106.94</v>
      </c>
      <c r="I329" s="79" t="s">
        <v>2</v>
      </c>
    </row>
    <row r="330" spans="1:9" x14ac:dyDescent="0.25">
      <c r="A330">
        <v>110</v>
      </c>
      <c r="B330">
        <v>1817911</v>
      </c>
      <c r="C330">
        <v>0</v>
      </c>
      <c r="D330" s="1">
        <v>188104.16</v>
      </c>
      <c r="E330">
        <v>19.399999999999999</v>
      </c>
      <c r="F330">
        <v>0</v>
      </c>
      <c r="G330" s="1">
        <v>5000</v>
      </c>
      <c r="H330" s="1">
        <v>6432.45</v>
      </c>
      <c r="I330" s="79" t="s">
        <v>2</v>
      </c>
    </row>
    <row r="331" spans="1:9" x14ac:dyDescent="0.25">
      <c r="A331">
        <v>110</v>
      </c>
      <c r="B331">
        <v>1817912</v>
      </c>
      <c r="C331">
        <v>0</v>
      </c>
      <c r="D331" s="1">
        <v>67509.27</v>
      </c>
      <c r="E331" s="1">
        <v>1100</v>
      </c>
      <c r="F331">
        <v>0</v>
      </c>
      <c r="G331" s="1">
        <v>2000</v>
      </c>
      <c r="H331">
        <v>0</v>
      </c>
      <c r="I331" s="79" t="s">
        <v>2</v>
      </c>
    </row>
    <row r="332" spans="1:9" x14ac:dyDescent="0.25">
      <c r="A332">
        <v>110</v>
      </c>
      <c r="B332">
        <v>1821000</v>
      </c>
      <c r="C332">
        <v>0</v>
      </c>
      <c r="D332" s="1">
        <v>962050.3</v>
      </c>
      <c r="E332" s="1">
        <v>8236.1200000000008</v>
      </c>
      <c r="F332">
        <v>0</v>
      </c>
      <c r="G332" s="1">
        <v>734000</v>
      </c>
      <c r="H332" s="1">
        <v>746678.56</v>
      </c>
      <c r="I332" s="79" t="s">
        <v>2</v>
      </c>
    </row>
    <row r="333" spans="1:9" x14ac:dyDescent="0.25">
      <c r="A333">
        <v>110</v>
      </c>
      <c r="B333">
        <v>1823000</v>
      </c>
      <c r="C333">
        <v>0</v>
      </c>
      <c r="D333" s="1">
        <v>1287618.69</v>
      </c>
      <c r="E333">
        <v>0</v>
      </c>
      <c r="F333" s="1">
        <v>1473.55</v>
      </c>
      <c r="G333" s="1">
        <v>25000</v>
      </c>
      <c r="H333" s="1">
        <v>19270.64</v>
      </c>
      <c r="I333" s="79" t="s">
        <v>2</v>
      </c>
    </row>
    <row r="334" spans="1:9" x14ac:dyDescent="0.25">
      <c r="A334">
        <v>110</v>
      </c>
      <c r="B334">
        <v>1824000</v>
      </c>
      <c r="C334">
        <v>0</v>
      </c>
      <c r="D334" s="1">
        <v>334716.34000000003</v>
      </c>
      <c r="E334">
        <v>920.6</v>
      </c>
      <c r="F334">
        <v>0</v>
      </c>
      <c r="G334" s="1">
        <v>1000</v>
      </c>
      <c r="H334">
        <v>90</v>
      </c>
      <c r="I334" s="79" t="s">
        <v>2</v>
      </c>
    </row>
    <row r="335" spans="1:9" x14ac:dyDescent="0.25">
      <c r="A335">
        <v>110</v>
      </c>
      <c r="B335">
        <v>1825000</v>
      </c>
      <c r="C335">
        <v>0</v>
      </c>
      <c r="D335" s="1">
        <v>518226.11</v>
      </c>
      <c r="E335">
        <v>0</v>
      </c>
      <c r="F335" s="1">
        <v>450415.16</v>
      </c>
      <c r="G335" s="1">
        <v>673000</v>
      </c>
      <c r="H335" s="1">
        <v>935979.25</v>
      </c>
      <c r="I335" s="79" t="s">
        <v>2</v>
      </c>
    </row>
    <row r="336" spans="1:9" x14ac:dyDescent="0.25">
      <c r="A336">
        <v>110</v>
      </c>
      <c r="B336">
        <v>1825110</v>
      </c>
      <c r="C336">
        <v>0</v>
      </c>
      <c r="D336" s="1">
        <v>3500</v>
      </c>
      <c r="E336">
        <v>0</v>
      </c>
      <c r="F336" s="1">
        <v>299609.7</v>
      </c>
      <c r="G336" s="1">
        <v>564000</v>
      </c>
      <c r="H336" s="1">
        <v>557518.18999999994</v>
      </c>
      <c r="I336" s="79" t="s">
        <v>2</v>
      </c>
    </row>
    <row r="337" spans="1:9" x14ac:dyDescent="0.25">
      <c r="A337">
        <v>110</v>
      </c>
      <c r="B337">
        <v>1829200</v>
      </c>
      <c r="C337">
        <v>0</v>
      </c>
      <c r="D337" s="1">
        <v>1116802.3899999999</v>
      </c>
      <c r="E337" s="1">
        <v>2160.8000000000002</v>
      </c>
      <c r="F337">
        <v>0</v>
      </c>
      <c r="G337" s="1">
        <v>3000</v>
      </c>
      <c r="H337" s="1">
        <v>12741.39</v>
      </c>
      <c r="I337" s="79" t="s">
        <v>2</v>
      </c>
    </row>
    <row r="338" spans="1:9" x14ac:dyDescent="0.25">
      <c r="A338">
        <v>110</v>
      </c>
      <c r="B338">
        <v>1841000</v>
      </c>
      <c r="C338">
        <v>0</v>
      </c>
      <c r="D338" s="1">
        <v>12524034.49</v>
      </c>
      <c r="E338" s="1">
        <v>7505.48</v>
      </c>
      <c r="F338">
        <v>0</v>
      </c>
      <c r="G338" s="1">
        <v>1663000</v>
      </c>
      <c r="H338" s="1">
        <v>2476985.6</v>
      </c>
      <c r="I338" s="79" t="s">
        <v>2</v>
      </c>
    </row>
    <row r="339" spans="1:9" x14ac:dyDescent="0.25">
      <c r="A339">
        <v>110</v>
      </c>
      <c r="B339">
        <v>1869000</v>
      </c>
      <c r="C339">
        <v>0</v>
      </c>
      <c r="D339" s="1">
        <v>2517647.8199999998</v>
      </c>
      <c r="E339" s="1">
        <v>23236.12</v>
      </c>
      <c r="F339">
        <v>0</v>
      </c>
      <c r="G339" s="1">
        <v>40000</v>
      </c>
      <c r="H339" s="1">
        <v>80310.33</v>
      </c>
      <c r="I339" s="79" t="s">
        <v>2</v>
      </c>
    </row>
    <row r="340" spans="1:9" x14ac:dyDescent="0.25">
      <c r="A340">
        <v>110</v>
      </c>
      <c r="B340">
        <v>1869100</v>
      </c>
      <c r="C340">
        <v>0</v>
      </c>
      <c r="D340" s="1">
        <v>242216.92</v>
      </c>
      <c r="E340">
        <v>0</v>
      </c>
      <c r="F340" s="1">
        <v>33345</v>
      </c>
      <c r="G340">
        <v>0</v>
      </c>
      <c r="H340">
        <v>0</v>
      </c>
      <c r="I340" s="79" t="s">
        <v>2</v>
      </c>
    </row>
    <row r="341" spans="1:9" x14ac:dyDescent="0.25">
      <c r="A341">
        <v>110</v>
      </c>
      <c r="B341">
        <v>1931000</v>
      </c>
      <c r="C341">
        <v>0</v>
      </c>
      <c r="D341" s="1">
        <v>198771.56</v>
      </c>
      <c r="E341" s="1">
        <v>30299.65</v>
      </c>
      <c r="F341">
        <v>0</v>
      </c>
      <c r="G341" s="1">
        <v>1156000</v>
      </c>
      <c r="H341" s="1">
        <v>599405</v>
      </c>
      <c r="I341" s="79" t="s">
        <v>2</v>
      </c>
    </row>
    <row r="342" spans="1:9" x14ac:dyDescent="0.25">
      <c r="A342">
        <v>110</v>
      </c>
      <c r="B342">
        <v>1931100</v>
      </c>
      <c r="C342">
        <v>0</v>
      </c>
      <c r="D342" s="1">
        <v>1425757.24</v>
      </c>
      <c r="E342" s="1">
        <v>2732.68</v>
      </c>
      <c r="F342">
        <v>0</v>
      </c>
      <c r="G342" s="1">
        <v>13000</v>
      </c>
      <c r="H342">
        <v>0</v>
      </c>
      <c r="I342" s="79" t="s">
        <v>2</v>
      </c>
    </row>
    <row r="343" spans="1:9" x14ac:dyDescent="0.25">
      <c r="A343">
        <v>110</v>
      </c>
      <c r="B343">
        <v>1938000</v>
      </c>
      <c r="C343">
        <v>0</v>
      </c>
      <c r="D343" s="1">
        <v>1516832.1</v>
      </c>
      <c r="E343">
        <v>304.8</v>
      </c>
      <c r="F343">
        <v>0</v>
      </c>
      <c r="G343" s="1">
        <v>5000</v>
      </c>
      <c r="H343">
        <v>0</v>
      </c>
      <c r="I343" s="79" t="s">
        <v>2</v>
      </c>
    </row>
    <row r="344" spans="1:9" x14ac:dyDescent="0.25">
      <c r="A344">
        <v>110</v>
      </c>
      <c r="B344">
        <v>1943000</v>
      </c>
      <c r="C344">
        <v>0</v>
      </c>
      <c r="D344" s="1">
        <v>797273.61</v>
      </c>
      <c r="E344">
        <v>838.54</v>
      </c>
      <c r="F344">
        <v>0</v>
      </c>
      <c r="G344" s="1">
        <v>7000</v>
      </c>
      <c r="H344">
        <v>0</v>
      </c>
      <c r="I344" s="79" t="s">
        <v>2</v>
      </c>
    </row>
    <row r="345" spans="1:9" x14ac:dyDescent="0.25">
      <c r="A345">
        <v>140</v>
      </c>
      <c r="B345">
        <v>1721100</v>
      </c>
      <c r="C345">
        <v>0</v>
      </c>
      <c r="D345" s="1">
        <v>-7020</v>
      </c>
      <c r="E345" s="1">
        <v>1298.8599999999999</v>
      </c>
      <c r="F345">
        <v>0</v>
      </c>
      <c r="G345" s="1">
        <v>5000</v>
      </c>
      <c r="H345">
        <v>0</v>
      </c>
      <c r="I345" s="79" t="s">
        <v>2</v>
      </c>
    </row>
    <row r="346" spans="1:9" x14ac:dyDescent="0.25">
      <c r="A346">
        <v>300</v>
      </c>
      <c r="B346">
        <v>1712300</v>
      </c>
      <c r="C346">
        <v>0</v>
      </c>
      <c r="D346">
        <v>378.18</v>
      </c>
      <c r="E346">
        <v>0</v>
      </c>
      <c r="F346" s="1">
        <v>16354.99</v>
      </c>
      <c r="G346" s="1">
        <v>130000</v>
      </c>
      <c r="H346" s="1">
        <v>96119.91</v>
      </c>
      <c r="I346" s="79" t="s">
        <v>2</v>
      </c>
    </row>
    <row r="347" spans="1:9" x14ac:dyDescent="0.25">
      <c r="A347">
        <v>300</v>
      </c>
      <c r="B347">
        <v>1714000</v>
      </c>
      <c r="C347">
        <v>0</v>
      </c>
      <c r="D347" s="1">
        <v>1576.62</v>
      </c>
      <c r="E347">
        <v>0</v>
      </c>
      <c r="F347" s="1">
        <v>44416.15</v>
      </c>
      <c r="G347" s="1">
        <v>834000</v>
      </c>
      <c r="H347" s="1">
        <v>1299231.96</v>
      </c>
      <c r="I347" s="79" t="s">
        <v>2</v>
      </c>
    </row>
    <row r="348" spans="1:9" x14ac:dyDescent="0.25">
      <c r="A348">
        <v>300</v>
      </c>
      <c r="B348">
        <v>1746000</v>
      </c>
      <c r="C348">
        <v>0</v>
      </c>
      <c r="D348">
        <v>100.5</v>
      </c>
      <c r="E348">
        <v>0</v>
      </c>
      <c r="F348" s="1">
        <v>379911.86</v>
      </c>
      <c r="G348">
        <v>0</v>
      </c>
      <c r="H348" s="1">
        <v>384992.5</v>
      </c>
      <c r="I348" s="79" t="s">
        <v>2</v>
      </c>
    </row>
    <row r="349" spans="1:9" x14ac:dyDescent="0.25">
      <c r="A349">
        <v>300</v>
      </c>
      <c r="B349">
        <v>1999000</v>
      </c>
      <c r="C349">
        <v>0</v>
      </c>
      <c r="D349" s="1">
        <v>27037254.32</v>
      </c>
      <c r="E349" s="1">
        <v>80590.350000000006</v>
      </c>
      <c r="F349">
        <v>0</v>
      </c>
      <c r="G349" s="1">
        <v>838000</v>
      </c>
      <c r="H349" s="1">
        <v>846798.08</v>
      </c>
      <c r="I349" s="79" t="s">
        <v>2</v>
      </c>
    </row>
    <row r="350" spans="1:9" x14ac:dyDescent="0.25">
      <c r="A350">
        <v>300</v>
      </c>
      <c r="B350">
        <v>1999200</v>
      </c>
      <c r="C350">
        <v>0</v>
      </c>
      <c r="D350" s="1">
        <v>150166.29999999999</v>
      </c>
      <c r="E350" s="1">
        <v>417185.76</v>
      </c>
      <c r="F350">
        <v>0</v>
      </c>
      <c r="G350" s="1">
        <v>620000</v>
      </c>
      <c r="H350" s="1">
        <v>891854.35</v>
      </c>
      <c r="I350" s="79" t="s">
        <v>2</v>
      </c>
    </row>
    <row r="351" spans="1:9" x14ac:dyDescent="0.25">
      <c r="A351">
        <v>300</v>
      </c>
      <c r="B351">
        <v>1999999</v>
      </c>
      <c r="C351">
        <v>0</v>
      </c>
      <c r="D351" s="1">
        <v>23575.53</v>
      </c>
      <c r="E351">
        <v>0</v>
      </c>
      <c r="F351" s="1">
        <v>602795.17000000004</v>
      </c>
      <c r="G351" s="1">
        <v>2152000</v>
      </c>
      <c r="H351" s="1">
        <v>12520548.18</v>
      </c>
      <c r="I351" s="79" t="s">
        <v>2</v>
      </c>
    </row>
    <row r="352" spans="1:9" x14ac:dyDescent="0.25">
      <c r="A352">
        <v>310</v>
      </c>
      <c r="B352">
        <v>1999000</v>
      </c>
      <c r="C352">
        <v>0</v>
      </c>
      <c r="D352" s="1">
        <v>221107.91</v>
      </c>
      <c r="E352">
        <v>0</v>
      </c>
      <c r="F352" s="1">
        <v>207274.53</v>
      </c>
      <c r="G352" s="1">
        <v>296000</v>
      </c>
      <c r="H352" s="1">
        <v>492808.37</v>
      </c>
      <c r="I352" s="79" t="s">
        <v>2</v>
      </c>
    </row>
    <row r="353" spans="1:9" x14ac:dyDescent="0.25">
      <c r="A353">
        <v>320</v>
      </c>
      <c r="B353">
        <v>1613000</v>
      </c>
      <c r="C353">
        <v>0</v>
      </c>
      <c r="D353" s="1">
        <v>9901.18</v>
      </c>
      <c r="E353" s="1">
        <v>166651.42000000001</v>
      </c>
      <c r="F353">
        <v>0</v>
      </c>
      <c r="G353" s="1">
        <v>178000</v>
      </c>
      <c r="H353" s="1">
        <v>66448.09</v>
      </c>
      <c r="I353" s="79" t="s">
        <v>2</v>
      </c>
    </row>
    <row r="354" spans="1:9" x14ac:dyDescent="0.25">
      <c r="A354">
        <v>320</v>
      </c>
      <c r="B354">
        <v>1621300</v>
      </c>
      <c r="C354">
        <v>0</v>
      </c>
      <c r="D354" s="1">
        <v>30725</v>
      </c>
      <c r="E354" s="1">
        <v>6212.38</v>
      </c>
      <c r="F354">
        <v>0</v>
      </c>
      <c r="G354" s="1">
        <v>2552000</v>
      </c>
      <c r="H354" s="1">
        <v>2252894.0699999998</v>
      </c>
      <c r="I354" s="79" t="s">
        <v>2</v>
      </c>
    </row>
    <row r="355" spans="1:9" x14ac:dyDescent="0.25">
      <c r="A355">
        <v>320</v>
      </c>
      <c r="B355">
        <v>1712200</v>
      </c>
      <c r="C355">
        <v>0</v>
      </c>
      <c r="D355" s="1">
        <v>75745.179999999993</v>
      </c>
      <c r="E355" s="1">
        <v>2000</v>
      </c>
      <c r="F355">
        <v>0</v>
      </c>
      <c r="G355" s="1">
        <v>2000</v>
      </c>
      <c r="H355" s="1">
        <v>3699</v>
      </c>
      <c r="I355" s="79" t="s">
        <v>2</v>
      </c>
    </row>
    <row r="356" spans="1:9" x14ac:dyDescent="0.25">
      <c r="A356">
        <v>320</v>
      </c>
      <c r="B356">
        <v>1712300</v>
      </c>
      <c r="C356">
        <v>0</v>
      </c>
      <c r="D356" s="1">
        <v>1337.56</v>
      </c>
      <c r="E356">
        <v>0</v>
      </c>
      <c r="F356" s="1">
        <v>26971.23</v>
      </c>
      <c r="G356" s="1">
        <v>220000</v>
      </c>
      <c r="H356" s="1">
        <v>168518.28</v>
      </c>
      <c r="I356" s="79" t="s">
        <v>2</v>
      </c>
    </row>
    <row r="357" spans="1:9" x14ac:dyDescent="0.25">
      <c r="A357">
        <v>320</v>
      </c>
      <c r="B357">
        <v>1746000</v>
      </c>
      <c r="C357">
        <v>0</v>
      </c>
      <c r="D357" s="1">
        <v>5838.38</v>
      </c>
      <c r="E357">
        <v>56.28</v>
      </c>
      <c r="F357">
        <v>0</v>
      </c>
      <c r="G357" s="1">
        <v>2000</v>
      </c>
      <c r="H357" s="1">
        <v>9928.4</v>
      </c>
      <c r="I357" s="79" t="s">
        <v>2</v>
      </c>
    </row>
    <row r="358" spans="1:9" x14ac:dyDescent="0.25">
      <c r="A358">
        <v>320</v>
      </c>
      <c r="B358">
        <v>1761000</v>
      </c>
      <c r="C358">
        <v>0</v>
      </c>
      <c r="D358" s="1">
        <v>2244</v>
      </c>
      <c r="E358">
        <v>438</v>
      </c>
      <c r="F358">
        <v>0</v>
      </c>
      <c r="G358" s="1">
        <v>140000</v>
      </c>
      <c r="H358" s="1">
        <v>155952.59</v>
      </c>
      <c r="I358" s="79" t="s">
        <v>2</v>
      </c>
    </row>
    <row r="359" spans="1:9" x14ac:dyDescent="0.25">
      <c r="A359">
        <v>320</v>
      </c>
      <c r="B359">
        <v>1811000</v>
      </c>
      <c r="C359">
        <v>0</v>
      </c>
      <c r="D359" s="1">
        <v>66109</v>
      </c>
      <c r="E359">
        <v>725.5</v>
      </c>
      <c r="F359">
        <v>0</v>
      </c>
      <c r="G359" s="1">
        <v>6000</v>
      </c>
      <c r="H359">
        <v>0</v>
      </c>
      <c r="I359" s="79" t="s">
        <v>2</v>
      </c>
    </row>
    <row r="360" spans="1:9" x14ac:dyDescent="0.25">
      <c r="A360">
        <v>320</v>
      </c>
      <c r="B360">
        <v>1812210</v>
      </c>
      <c r="C360">
        <v>0</v>
      </c>
      <c r="D360" s="1">
        <v>67956</v>
      </c>
      <c r="E360">
        <v>940.5</v>
      </c>
      <c r="F360">
        <v>0</v>
      </c>
      <c r="G360" s="1">
        <v>1000</v>
      </c>
      <c r="H360">
        <v>280</v>
      </c>
      <c r="I360" s="79" t="s">
        <v>2</v>
      </c>
    </row>
    <row r="361" spans="1:9" x14ac:dyDescent="0.25">
      <c r="A361">
        <v>320</v>
      </c>
      <c r="B361">
        <v>1812300</v>
      </c>
      <c r="C361">
        <v>0</v>
      </c>
      <c r="D361" s="1">
        <v>2224</v>
      </c>
      <c r="E361">
        <v>0</v>
      </c>
      <c r="F361" s="1">
        <v>53032.72</v>
      </c>
      <c r="G361">
        <v>0</v>
      </c>
      <c r="H361">
        <v>0</v>
      </c>
      <c r="I361" s="79" t="s">
        <v>2</v>
      </c>
    </row>
    <row r="362" spans="1:9" x14ac:dyDescent="0.25">
      <c r="A362">
        <v>320</v>
      </c>
      <c r="B362">
        <v>1812510</v>
      </c>
      <c r="C362">
        <v>0</v>
      </c>
      <c r="D362" s="1">
        <v>4851.8900000000003</v>
      </c>
      <c r="E362" s="1">
        <v>49069.120000000003</v>
      </c>
      <c r="F362">
        <v>0</v>
      </c>
      <c r="G362" s="1">
        <v>5864000</v>
      </c>
      <c r="H362" s="1">
        <v>6431353.3899999997</v>
      </c>
      <c r="I362" s="79" t="s">
        <v>2</v>
      </c>
    </row>
    <row r="363" spans="1:9" x14ac:dyDescent="0.25">
      <c r="A363">
        <v>320</v>
      </c>
      <c r="B363">
        <v>1812600</v>
      </c>
      <c r="C363">
        <v>0</v>
      </c>
      <c r="D363" s="1">
        <v>69508.7</v>
      </c>
      <c r="E363">
        <v>0</v>
      </c>
      <c r="F363" s="1">
        <v>75745.179999999993</v>
      </c>
      <c r="G363">
        <v>0</v>
      </c>
      <c r="H363" s="1">
        <v>90323.03</v>
      </c>
      <c r="I363" s="79" t="s">
        <v>2</v>
      </c>
    </row>
    <row r="364" spans="1:9" x14ac:dyDescent="0.25">
      <c r="A364">
        <v>320</v>
      </c>
      <c r="B364">
        <v>1812800</v>
      </c>
      <c r="C364">
        <v>0</v>
      </c>
      <c r="D364" s="1">
        <v>8186.17</v>
      </c>
      <c r="E364" s="1">
        <v>14060.07</v>
      </c>
      <c r="F364">
        <v>0</v>
      </c>
      <c r="G364" s="1">
        <v>70000</v>
      </c>
      <c r="H364" s="1">
        <v>107997.34</v>
      </c>
      <c r="I364" s="79" t="s">
        <v>2</v>
      </c>
    </row>
    <row r="365" spans="1:9" x14ac:dyDescent="0.25">
      <c r="A365">
        <v>320</v>
      </c>
      <c r="B365">
        <v>1812900</v>
      </c>
      <c r="C365">
        <v>0</v>
      </c>
      <c r="D365" s="1">
        <v>35114.93</v>
      </c>
      <c r="E365">
        <v>0</v>
      </c>
      <c r="F365" s="1">
        <v>33341.03</v>
      </c>
      <c r="G365" s="1">
        <v>60000</v>
      </c>
      <c r="H365" s="1">
        <v>88581.73</v>
      </c>
      <c r="I365" s="79" t="s">
        <v>2</v>
      </c>
    </row>
    <row r="366" spans="1:9" x14ac:dyDescent="0.25">
      <c r="A366">
        <v>320</v>
      </c>
      <c r="B366">
        <v>1813200</v>
      </c>
      <c r="C366">
        <v>0</v>
      </c>
      <c r="D366" s="1">
        <v>58022.17</v>
      </c>
      <c r="E366">
        <v>0</v>
      </c>
      <c r="F366" s="1">
        <v>1394361.13</v>
      </c>
      <c r="G366" s="1">
        <v>8500000</v>
      </c>
      <c r="H366" s="1">
        <v>7465679.1299999999</v>
      </c>
      <c r="I366" s="79" t="s">
        <v>2</v>
      </c>
    </row>
    <row r="367" spans="1:9" x14ac:dyDescent="0.25">
      <c r="A367">
        <v>320</v>
      </c>
      <c r="B367">
        <v>1813216</v>
      </c>
      <c r="C367">
        <v>0</v>
      </c>
      <c r="D367" s="1">
        <v>24616</v>
      </c>
      <c r="E367">
        <v>0</v>
      </c>
      <c r="F367">
        <v>0</v>
      </c>
      <c r="G367">
        <v>0</v>
      </c>
      <c r="H367" s="1">
        <v>577599.81999999995</v>
      </c>
      <c r="I367" s="79" t="s">
        <v>2</v>
      </c>
    </row>
    <row r="368" spans="1:9" x14ac:dyDescent="0.25">
      <c r="A368">
        <v>320</v>
      </c>
      <c r="B368">
        <v>1813218</v>
      </c>
      <c r="C368">
        <v>0</v>
      </c>
      <c r="D368" s="1">
        <v>6558.26</v>
      </c>
      <c r="E368">
        <v>0</v>
      </c>
      <c r="F368">
        <v>262</v>
      </c>
      <c r="G368" s="1">
        <v>63000</v>
      </c>
      <c r="H368">
        <v>0</v>
      </c>
      <c r="I368" s="79" t="s">
        <v>2</v>
      </c>
    </row>
    <row r="369" spans="1:9" x14ac:dyDescent="0.25">
      <c r="A369">
        <v>320</v>
      </c>
      <c r="B369">
        <v>1813300</v>
      </c>
      <c r="C369">
        <v>0</v>
      </c>
      <c r="D369" s="1">
        <v>21692</v>
      </c>
      <c r="E369">
        <v>0</v>
      </c>
      <c r="F369" s="1">
        <v>1337.56</v>
      </c>
      <c r="G369">
        <v>0</v>
      </c>
      <c r="H369">
        <v>0</v>
      </c>
      <c r="I369" s="79" t="s">
        <v>2</v>
      </c>
    </row>
    <row r="370" spans="1:9" x14ac:dyDescent="0.25">
      <c r="A370">
        <v>320</v>
      </c>
      <c r="B370">
        <v>1813400</v>
      </c>
      <c r="C370">
        <v>0</v>
      </c>
      <c r="D370" s="1">
        <v>179949.6</v>
      </c>
      <c r="E370" s="1">
        <v>9819.4500000000007</v>
      </c>
      <c r="F370">
        <v>0</v>
      </c>
      <c r="G370" s="1">
        <v>435000</v>
      </c>
      <c r="H370" s="1">
        <v>444897.86</v>
      </c>
      <c r="I370" s="79" t="s">
        <v>2</v>
      </c>
    </row>
    <row r="371" spans="1:9" x14ac:dyDescent="0.25">
      <c r="A371">
        <v>320</v>
      </c>
      <c r="B371">
        <v>1813500</v>
      </c>
      <c r="C371">
        <v>0</v>
      </c>
      <c r="D371" s="1">
        <v>17181.189999999999</v>
      </c>
      <c r="E371">
        <v>0</v>
      </c>
      <c r="F371" s="1">
        <v>212725.06</v>
      </c>
      <c r="G371" s="1">
        <v>240000</v>
      </c>
      <c r="H371" s="1">
        <v>314239.74</v>
      </c>
      <c r="I371" s="79" t="s">
        <v>2</v>
      </c>
    </row>
    <row r="372" spans="1:9" x14ac:dyDescent="0.25">
      <c r="A372">
        <v>320</v>
      </c>
      <c r="B372">
        <v>1817300</v>
      </c>
      <c r="C372">
        <v>0</v>
      </c>
      <c r="D372" s="1">
        <v>69671</v>
      </c>
      <c r="E372">
        <v>0</v>
      </c>
      <c r="F372">
        <v>40.950000000000003</v>
      </c>
      <c r="G372">
        <v>0</v>
      </c>
      <c r="H372">
        <v>0</v>
      </c>
      <c r="I372" s="79" t="s">
        <v>2</v>
      </c>
    </row>
    <row r="373" spans="1:9" x14ac:dyDescent="0.25">
      <c r="A373">
        <v>320</v>
      </c>
      <c r="B373">
        <v>1817900</v>
      </c>
      <c r="C373">
        <v>0</v>
      </c>
      <c r="D373" s="1">
        <v>5635.34</v>
      </c>
      <c r="E373" s="1">
        <v>10396.040000000001</v>
      </c>
      <c r="F373">
        <v>0</v>
      </c>
      <c r="G373" s="1">
        <v>65000</v>
      </c>
      <c r="H373" s="1">
        <v>130881.8</v>
      </c>
      <c r="I373" s="79" t="s">
        <v>2</v>
      </c>
    </row>
    <row r="374" spans="1:9" x14ac:dyDescent="0.25">
      <c r="A374">
        <v>320</v>
      </c>
      <c r="B374">
        <v>1823000</v>
      </c>
      <c r="C374">
        <v>0</v>
      </c>
      <c r="D374" s="1">
        <v>14887</v>
      </c>
      <c r="E374">
        <v>0</v>
      </c>
      <c r="F374" s="1">
        <v>7294.63</v>
      </c>
      <c r="G374" s="1">
        <v>1417000</v>
      </c>
      <c r="H374" s="1">
        <v>1520069.62</v>
      </c>
      <c r="I374" s="79" t="s">
        <v>2</v>
      </c>
    </row>
    <row r="375" spans="1:9" x14ac:dyDescent="0.25">
      <c r="A375">
        <v>320</v>
      </c>
      <c r="B375">
        <v>1829200</v>
      </c>
      <c r="C375">
        <v>0</v>
      </c>
      <c r="D375" s="1">
        <v>13420</v>
      </c>
      <c r="E375">
        <v>0</v>
      </c>
      <c r="F375">
        <v>0</v>
      </c>
      <c r="G375">
        <v>0</v>
      </c>
      <c r="H375" s="1">
        <v>15011</v>
      </c>
      <c r="I375" s="79" t="s">
        <v>2</v>
      </c>
    </row>
    <row r="376" spans="1:9" x14ac:dyDescent="0.25">
      <c r="A376">
        <v>320</v>
      </c>
      <c r="B376">
        <v>1841000</v>
      </c>
      <c r="C376">
        <v>0</v>
      </c>
      <c r="D376" s="1">
        <v>28733.32</v>
      </c>
      <c r="E376">
        <v>0</v>
      </c>
      <c r="F376" s="1">
        <v>84577.55</v>
      </c>
      <c r="G376" s="1">
        <v>1000</v>
      </c>
      <c r="H376">
        <v>0</v>
      </c>
      <c r="I376" s="79" t="s">
        <v>2</v>
      </c>
    </row>
    <row r="377" spans="1:9" x14ac:dyDescent="0.25">
      <c r="A377">
        <v>320</v>
      </c>
      <c r="B377">
        <v>1869000</v>
      </c>
      <c r="C377">
        <v>0</v>
      </c>
      <c r="D377">
        <v>655</v>
      </c>
      <c r="E377" s="1">
        <v>1000</v>
      </c>
      <c r="F377">
        <v>0</v>
      </c>
      <c r="G377" s="1">
        <v>1000</v>
      </c>
      <c r="H377">
        <v>848</v>
      </c>
      <c r="I377" s="79" t="s">
        <v>2</v>
      </c>
    </row>
    <row r="378" spans="1:9" x14ac:dyDescent="0.25">
      <c r="A378">
        <v>320</v>
      </c>
      <c r="B378">
        <v>1999000</v>
      </c>
      <c r="C378">
        <v>0</v>
      </c>
      <c r="D378" s="1">
        <v>1310007.8</v>
      </c>
      <c r="E378">
        <v>0</v>
      </c>
      <c r="F378" s="1">
        <v>334697.19</v>
      </c>
      <c r="G378" s="1">
        <v>7000000</v>
      </c>
      <c r="H378" s="1">
        <v>6585200.3499999996</v>
      </c>
      <c r="I378" s="79">
        <f>SUM(D249:D378)/1000</f>
        <v>162404.61304999996</v>
      </c>
    </row>
    <row r="379" spans="1:9" x14ac:dyDescent="0.25">
      <c r="A379">
        <v>410</v>
      </c>
      <c r="B379">
        <v>1939000</v>
      </c>
      <c r="C379">
        <v>0</v>
      </c>
      <c r="D379" s="1">
        <v>91113.17</v>
      </c>
      <c r="E379">
        <v>0</v>
      </c>
      <c r="F379" s="1">
        <v>1576.62</v>
      </c>
      <c r="G379">
        <v>0</v>
      </c>
      <c r="H379" s="1">
        <v>4417.8999999999996</v>
      </c>
      <c r="I379" s="79">
        <f>D379/1000</f>
        <v>91.113169999999997</v>
      </c>
    </row>
    <row r="380" spans="1:9" x14ac:dyDescent="0.25">
      <c r="A380">
        <v>422</v>
      </c>
      <c r="B380">
        <v>1723000</v>
      </c>
      <c r="C380">
        <v>0</v>
      </c>
      <c r="D380" s="1">
        <v>10468</v>
      </c>
      <c r="E380">
        <v>0</v>
      </c>
      <c r="F380">
        <v>0</v>
      </c>
      <c r="G380">
        <v>0</v>
      </c>
      <c r="H380" s="1">
        <v>17192.55</v>
      </c>
      <c r="I380" s="79" t="s">
        <v>2</v>
      </c>
    </row>
    <row r="381" spans="1:9" x14ac:dyDescent="0.25">
      <c r="A381">
        <v>430</v>
      </c>
      <c r="B381">
        <v>1613000</v>
      </c>
      <c r="C381">
        <v>0</v>
      </c>
      <c r="D381" s="1">
        <v>598262.21</v>
      </c>
      <c r="E381" s="1">
        <v>67738.5</v>
      </c>
      <c r="F381">
        <v>0</v>
      </c>
      <c r="G381" s="1">
        <v>105000</v>
      </c>
      <c r="H381" s="1">
        <v>195355.5</v>
      </c>
      <c r="I381" s="79" t="s">
        <v>2</v>
      </c>
    </row>
    <row r="382" spans="1:9" x14ac:dyDescent="0.25">
      <c r="A382">
        <v>430</v>
      </c>
      <c r="B382">
        <v>1617000</v>
      </c>
      <c r="C382">
        <v>0</v>
      </c>
      <c r="D382">
        <v>897.44</v>
      </c>
      <c r="E382" s="1">
        <v>14639</v>
      </c>
      <c r="F382">
        <v>0</v>
      </c>
      <c r="G382" s="1">
        <v>75000</v>
      </c>
      <c r="H382">
        <v>0</v>
      </c>
      <c r="I382" s="79" t="s">
        <v>2</v>
      </c>
    </row>
    <row r="383" spans="1:9" x14ac:dyDescent="0.25">
      <c r="A383">
        <v>430</v>
      </c>
      <c r="B383">
        <v>1712400</v>
      </c>
      <c r="C383">
        <v>0</v>
      </c>
      <c r="D383" s="1">
        <v>85577.55</v>
      </c>
      <c r="E383">
        <v>0</v>
      </c>
      <c r="F383" s="1">
        <v>5186.91</v>
      </c>
      <c r="G383" s="1">
        <v>1359000</v>
      </c>
      <c r="H383" s="1">
        <v>1299419.77</v>
      </c>
      <c r="I383" s="79" t="s">
        <v>2</v>
      </c>
    </row>
    <row r="384" spans="1:9" x14ac:dyDescent="0.25">
      <c r="A384">
        <v>430</v>
      </c>
      <c r="B384">
        <v>1715000</v>
      </c>
      <c r="C384">
        <v>0</v>
      </c>
      <c r="D384">
        <v>164.32</v>
      </c>
      <c r="E384">
        <v>835.68</v>
      </c>
      <c r="F384">
        <v>0</v>
      </c>
      <c r="G384" s="1">
        <v>1000</v>
      </c>
      <c r="H384">
        <v>189.59</v>
      </c>
      <c r="I384" s="79" t="s">
        <v>2</v>
      </c>
    </row>
    <row r="385" spans="1:9" x14ac:dyDescent="0.25">
      <c r="A385">
        <v>430</v>
      </c>
      <c r="B385">
        <v>1723000</v>
      </c>
      <c r="C385">
        <v>0</v>
      </c>
      <c r="D385" s="1">
        <v>23488.61</v>
      </c>
      <c r="E385">
        <v>0</v>
      </c>
      <c r="F385">
        <v>445</v>
      </c>
      <c r="G385" s="1">
        <v>14000</v>
      </c>
      <c r="H385">
        <v>0</v>
      </c>
      <c r="I385" s="79" t="s">
        <v>2</v>
      </c>
    </row>
    <row r="386" spans="1:9" x14ac:dyDescent="0.25">
      <c r="A386">
        <v>430</v>
      </c>
      <c r="B386">
        <v>1723100</v>
      </c>
      <c r="C386">
        <v>0</v>
      </c>
      <c r="D386" s="1">
        <v>105050.08</v>
      </c>
      <c r="E386" s="1">
        <v>7800</v>
      </c>
      <c r="F386">
        <v>0</v>
      </c>
      <c r="G386" s="1">
        <v>270000</v>
      </c>
      <c r="H386" s="1">
        <v>258313</v>
      </c>
      <c r="I386" s="79" t="s">
        <v>2</v>
      </c>
    </row>
    <row r="387" spans="1:9" x14ac:dyDescent="0.25">
      <c r="A387">
        <v>430</v>
      </c>
      <c r="B387">
        <v>1724000</v>
      </c>
      <c r="C387">
        <v>0</v>
      </c>
      <c r="D387">
        <v>227.93</v>
      </c>
      <c r="E387">
        <v>0</v>
      </c>
      <c r="F387" s="1">
        <v>285722.62</v>
      </c>
      <c r="G387" s="1">
        <v>618000</v>
      </c>
      <c r="H387" s="1">
        <v>1026997.27</v>
      </c>
      <c r="I387" s="79" t="s">
        <v>2</v>
      </c>
    </row>
    <row r="388" spans="1:9" x14ac:dyDescent="0.25">
      <c r="A388">
        <v>430</v>
      </c>
      <c r="B388">
        <v>1812300</v>
      </c>
      <c r="C388">
        <v>0</v>
      </c>
      <c r="D388" s="1">
        <v>259574.79</v>
      </c>
      <c r="E388" s="1">
        <v>2000</v>
      </c>
      <c r="F388">
        <v>0</v>
      </c>
      <c r="G388" s="1">
        <v>2000</v>
      </c>
      <c r="H388" s="1">
        <v>1110</v>
      </c>
      <c r="I388" s="79" t="s">
        <v>2</v>
      </c>
    </row>
    <row r="389" spans="1:9" x14ac:dyDescent="0.25">
      <c r="A389">
        <v>430</v>
      </c>
      <c r="B389">
        <v>1813213</v>
      </c>
      <c r="C389">
        <v>0</v>
      </c>
      <c r="D389" s="1">
        <v>10889.01</v>
      </c>
      <c r="E389" s="1">
        <v>2336.7399999999998</v>
      </c>
      <c r="F389">
        <v>0</v>
      </c>
      <c r="G389" s="1">
        <v>8000</v>
      </c>
      <c r="H389" s="1">
        <v>9501.0300000000007</v>
      </c>
      <c r="I389" s="79" t="s">
        <v>2</v>
      </c>
    </row>
    <row r="390" spans="1:9" x14ac:dyDescent="0.25">
      <c r="A390">
        <v>430</v>
      </c>
      <c r="B390">
        <v>1813214</v>
      </c>
      <c r="C390">
        <v>0</v>
      </c>
      <c r="D390" s="1">
        <v>23502</v>
      </c>
      <c r="E390" s="1">
        <v>11246</v>
      </c>
      <c r="F390">
        <v>0</v>
      </c>
      <c r="G390" s="1">
        <v>11000</v>
      </c>
      <c r="H390" s="1">
        <v>11079</v>
      </c>
      <c r="I390" s="79" t="s">
        <v>2</v>
      </c>
    </row>
    <row r="391" spans="1:9" x14ac:dyDescent="0.25">
      <c r="A391">
        <v>430</v>
      </c>
      <c r="B391">
        <v>1813220</v>
      </c>
      <c r="C391">
        <v>0</v>
      </c>
      <c r="D391" s="1">
        <v>6010.62</v>
      </c>
      <c r="E391" s="1">
        <v>2003.5</v>
      </c>
      <c r="F391">
        <v>0</v>
      </c>
      <c r="G391" s="1">
        <v>61000</v>
      </c>
      <c r="H391" s="1">
        <v>18825.3</v>
      </c>
      <c r="I391" s="79" t="s">
        <v>2</v>
      </c>
    </row>
    <row r="392" spans="1:9" x14ac:dyDescent="0.25">
      <c r="A392">
        <v>430</v>
      </c>
      <c r="B392">
        <v>1813240</v>
      </c>
      <c r="C392">
        <v>0</v>
      </c>
      <c r="D392" s="1">
        <v>38811.949999999997</v>
      </c>
      <c r="E392">
        <v>62.34</v>
      </c>
      <c r="F392">
        <v>0</v>
      </c>
      <c r="G392" s="1">
        <v>8000</v>
      </c>
      <c r="H392">
        <v>0</v>
      </c>
      <c r="I392" s="79" t="s">
        <v>2</v>
      </c>
    </row>
    <row r="393" spans="1:9" x14ac:dyDescent="0.25">
      <c r="A393">
        <v>430</v>
      </c>
      <c r="B393">
        <v>1813280</v>
      </c>
      <c r="C393">
        <v>0</v>
      </c>
      <c r="D393" s="1">
        <v>10472.77</v>
      </c>
      <c r="E393">
        <v>0</v>
      </c>
      <c r="F393">
        <v>0</v>
      </c>
      <c r="G393">
        <v>0</v>
      </c>
      <c r="H393">
        <v>233</v>
      </c>
      <c r="I393" s="79" t="s">
        <v>2</v>
      </c>
    </row>
    <row r="394" spans="1:9" x14ac:dyDescent="0.25">
      <c r="A394">
        <v>430</v>
      </c>
      <c r="B394">
        <v>1815500</v>
      </c>
      <c r="C394">
        <v>0</v>
      </c>
      <c r="D394" s="1">
        <v>33518.31</v>
      </c>
      <c r="E394">
        <v>334.6</v>
      </c>
      <c r="F394">
        <v>0</v>
      </c>
      <c r="G394" s="1">
        <v>2000</v>
      </c>
      <c r="H394">
        <v>0</v>
      </c>
      <c r="I394" s="79" t="s">
        <v>2</v>
      </c>
    </row>
    <row r="395" spans="1:9" x14ac:dyDescent="0.25">
      <c r="A395">
        <v>430</v>
      </c>
      <c r="B395">
        <v>1817300</v>
      </c>
      <c r="C395">
        <v>0</v>
      </c>
      <c r="D395" s="1">
        <v>2652.72</v>
      </c>
      <c r="E395" s="1">
        <v>1000</v>
      </c>
      <c r="F395">
        <v>0</v>
      </c>
      <c r="G395" s="1">
        <v>1000</v>
      </c>
      <c r="H395">
        <v>0</v>
      </c>
      <c r="I395" s="79" t="s">
        <v>2</v>
      </c>
    </row>
    <row r="396" spans="1:9" x14ac:dyDescent="0.25">
      <c r="A396">
        <v>430</v>
      </c>
      <c r="B396">
        <v>1823000</v>
      </c>
      <c r="C396">
        <v>0</v>
      </c>
      <c r="D396" s="1">
        <v>13735.4</v>
      </c>
      <c r="E396">
        <v>0</v>
      </c>
      <c r="F396">
        <v>0</v>
      </c>
      <c r="G396">
        <v>0</v>
      </c>
      <c r="H396" s="1">
        <v>50564.75</v>
      </c>
      <c r="I396" s="79" t="s">
        <v>2</v>
      </c>
    </row>
    <row r="397" spans="1:9" x14ac:dyDescent="0.25">
      <c r="A397">
        <v>771</v>
      </c>
      <c r="B397">
        <v>1743000</v>
      </c>
      <c r="C397">
        <v>0</v>
      </c>
      <c r="D397" s="1">
        <v>3614353.63</v>
      </c>
      <c r="E397">
        <v>0</v>
      </c>
      <c r="F397" s="1">
        <v>3502</v>
      </c>
      <c r="G397" s="1">
        <v>20000</v>
      </c>
      <c r="H397" s="1">
        <v>20425</v>
      </c>
      <c r="I397" s="79" t="s">
        <v>2</v>
      </c>
    </row>
    <row r="398" spans="1:9" x14ac:dyDescent="0.25">
      <c r="A398">
        <v>430</v>
      </c>
      <c r="B398">
        <v>1841000</v>
      </c>
      <c r="C398">
        <v>0</v>
      </c>
      <c r="D398" s="1">
        <v>6380.98</v>
      </c>
      <c r="E398">
        <v>0</v>
      </c>
      <c r="F398">
        <v>394.2</v>
      </c>
      <c r="G398" s="1">
        <v>2000</v>
      </c>
      <c r="H398" s="1">
        <v>1093.6500000000001</v>
      </c>
      <c r="I398" s="79" t="s">
        <v>2</v>
      </c>
    </row>
    <row r="399" spans="1:9" x14ac:dyDescent="0.25">
      <c r="A399">
        <v>430</v>
      </c>
      <c r="B399">
        <v>1939000</v>
      </c>
      <c r="C399">
        <v>0</v>
      </c>
      <c r="D399" s="1">
        <v>5799.73</v>
      </c>
      <c r="E399">
        <v>205</v>
      </c>
      <c r="F399">
        <v>0</v>
      </c>
      <c r="G399" s="1">
        <v>1000</v>
      </c>
      <c r="H399">
        <v>0</v>
      </c>
      <c r="I399" s="79">
        <f>SUM(D380:D399)/1000</f>
        <v>4849.8380500000003</v>
      </c>
    </row>
    <row r="400" spans="1:9" x14ac:dyDescent="0.25">
      <c r="A400">
        <v>440</v>
      </c>
      <c r="B400">
        <v>1723200</v>
      </c>
      <c r="C400">
        <v>0</v>
      </c>
      <c r="D400" s="1">
        <v>10000</v>
      </c>
      <c r="E400" s="1">
        <v>2000</v>
      </c>
      <c r="F400">
        <v>0</v>
      </c>
      <c r="G400" s="1">
        <v>2000</v>
      </c>
      <c r="H400">
        <v>0</v>
      </c>
      <c r="I400" s="79" t="s">
        <v>2</v>
      </c>
    </row>
    <row r="401" spans="1:9" x14ac:dyDescent="0.25">
      <c r="A401">
        <v>440</v>
      </c>
      <c r="B401">
        <v>1767000</v>
      </c>
      <c r="C401">
        <v>0</v>
      </c>
      <c r="D401" s="1">
        <v>1290659.67</v>
      </c>
      <c r="E401" s="1">
        <v>1000</v>
      </c>
      <c r="F401">
        <v>0</v>
      </c>
      <c r="G401" s="1">
        <v>1000</v>
      </c>
      <c r="H401">
        <v>0</v>
      </c>
      <c r="I401" s="79" t="s">
        <v>2</v>
      </c>
    </row>
    <row r="402" spans="1:9" x14ac:dyDescent="0.25">
      <c r="A402">
        <v>440</v>
      </c>
      <c r="B402">
        <v>1767100</v>
      </c>
      <c r="C402">
        <v>0</v>
      </c>
      <c r="D402" s="1">
        <v>1854910</v>
      </c>
      <c r="E402">
        <v>0</v>
      </c>
      <c r="F402" s="1">
        <v>49604.7</v>
      </c>
      <c r="G402" s="1">
        <v>323000</v>
      </c>
      <c r="H402">
        <v>0</v>
      </c>
      <c r="I402" s="79">
        <f>SUM(D400:D402)/1000</f>
        <v>3155.5696699999999</v>
      </c>
    </row>
    <row r="403" spans="1:9" x14ac:dyDescent="0.25">
      <c r="A403">
        <v>470</v>
      </c>
      <c r="B403">
        <v>1611000</v>
      </c>
      <c r="C403">
        <v>0</v>
      </c>
      <c r="D403" s="1">
        <v>32554.67</v>
      </c>
      <c r="E403">
        <v>0</v>
      </c>
      <c r="F403" s="1">
        <v>10468</v>
      </c>
      <c r="G403">
        <v>0</v>
      </c>
      <c r="H403">
        <v>0</v>
      </c>
      <c r="I403" s="79" t="s">
        <v>2</v>
      </c>
    </row>
    <row r="404" spans="1:9" x14ac:dyDescent="0.25">
      <c r="A404">
        <v>470</v>
      </c>
      <c r="B404">
        <v>1611200</v>
      </c>
      <c r="C404">
        <v>0</v>
      </c>
      <c r="D404" s="1">
        <v>3849</v>
      </c>
      <c r="E404" s="1">
        <v>76511.39</v>
      </c>
      <c r="F404">
        <v>0</v>
      </c>
      <c r="G404" s="1">
        <v>100000</v>
      </c>
      <c r="H404" s="1">
        <v>116545.56</v>
      </c>
      <c r="I404" s="79" t="s">
        <v>2</v>
      </c>
    </row>
    <row r="405" spans="1:9" x14ac:dyDescent="0.25">
      <c r="A405">
        <v>470</v>
      </c>
      <c r="B405">
        <v>1612000</v>
      </c>
      <c r="C405">
        <v>0</v>
      </c>
      <c r="D405">
        <v>301.45999999999998</v>
      </c>
      <c r="E405">
        <v>0</v>
      </c>
      <c r="F405">
        <v>0</v>
      </c>
      <c r="G405">
        <v>0</v>
      </c>
      <c r="H405" s="1">
        <v>1061</v>
      </c>
      <c r="I405" s="79" t="s">
        <v>2</v>
      </c>
    </row>
    <row r="406" spans="1:9" x14ac:dyDescent="0.25">
      <c r="A406">
        <v>470</v>
      </c>
      <c r="B406">
        <v>1613000</v>
      </c>
      <c r="C406">
        <v>0</v>
      </c>
      <c r="D406" s="1">
        <v>398768.82</v>
      </c>
      <c r="E406" s="1">
        <v>26582</v>
      </c>
      <c r="F406">
        <v>0</v>
      </c>
      <c r="G406" s="1">
        <v>315000</v>
      </c>
      <c r="H406" s="1">
        <v>293912</v>
      </c>
      <c r="I406" s="79" t="s">
        <v>2</v>
      </c>
    </row>
    <row r="407" spans="1:9" x14ac:dyDescent="0.25">
      <c r="A407">
        <v>470</v>
      </c>
      <c r="B407">
        <v>1613100</v>
      </c>
      <c r="C407">
        <v>0</v>
      </c>
      <c r="D407" s="1">
        <v>24261</v>
      </c>
      <c r="E407">
        <v>0</v>
      </c>
      <c r="F407">
        <v>50.08</v>
      </c>
      <c r="G407" s="1">
        <v>105000</v>
      </c>
      <c r="H407">
        <v>0</v>
      </c>
      <c r="I407" s="79" t="s">
        <v>2</v>
      </c>
    </row>
    <row r="408" spans="1:9" x14ac:dyDescent="0.25">
      <c r="A408">
        <v>470</v>
      </c>
      <c r="B408">
        <v>1617000</v>
      </c>
      <c r="C408">
        <v>0</v>
      </c>
      <c r="D408" s="1">
        <v>9969.9599999999991</v>
      </c>
      <c r="E408">
        <v>0</v>
      </c>
      <c r="F408">
        <v>0</v>
      </c>
      <c r="G408" s="1">
        <v>10000</v>
      </c>
      <c r="H408">
        <v>0</v>
      </c>
      <c r="I408" s="79" t="s">
        <v>2</v>
      </c>
    </row>
    <row r="409" spans="1:9" x14ac:dyDescent="0.25">
      <c r="A409">
        <v>470</v>
      </c>
      <c r="B409">
        <v>1617100</v>
      </c>
      <c r="C409">
        <v>0</v>
      </c>
      <c r="D409" s="1">
        <v>1600</v>
      </c>
      <c r="E409">
        <v>772.07</v>
      </c>
      <c r="F409">
        <v>0</v>
      </c>
      <c r="G409" s="1">
        <v>1000</v>
      </c>
      <c r="H409">
        <v>404.97</v>
      </c>
      <c r="I409" s="79" t="s">
        <v>2</v>
      </c>
    </row>
    <row r="410" spans="1:9" x14ac:dyDescent="0.25">
      <c r="A410">
        <v>470</v>
      </c>
      <c r="B410">
        <v>1621000</v>
      </c>
      <c r="C410">
        <v>0</v>
      </c>
      <c r="D410" s="1">
        <v>33194.559999999998</v>
      </c>
      <c r="E410" s="1">
        <v>2377.31</v>
      </c>
      <c r="F410">
        <v>0</v>
      </c>
      <c r="G410" s="1">
        <v>30000</v>
      </c>
      <c r="H410" s="1">
        <v>6593</v>
      </c>
      <c r="I410" s="79" t="s">
        <v>2</v>
      </c>
    </row>
    <row r="411" spans="1:9" x14ac:dyDescent="0.25">
      <c r="A411">
        <v>470</v>
      </c>
      <c r="B411">
        <v>1621300</v>
      </c>
      <c r="C411">
        <v>0</v>
      </c>
      <c r="D411" s="1">
        <v>16921.2</v>
      </c>
      <c r="E411">
        <v>692.04</v>
      </c>
      <c r="F411">
        <v>0</v>
      </c>
      <c r="G411" s="1">
        <v>26000</v>
      </c>
      <c r="H411">
        <v>0</v>
      </c>
      <c r="I411" s="79" t="s">
        <v>2</v>
      </c>
    </row>
    <row r="412" spans="1:9" x14ac:dyDescent="0.25">
      <c r="A412">
        <v>470</v>
      </c>
      <c r="B412">
        <v>1621310</v>
      </c>
      <c r="C412">
        <v>0</v>
      </c>
      <c r="D412">
        <v>900</v>
      </c>
      <c r="E412">
        <v>0</v>
      </c>
      <c r="F412" s="1">
        <v>13214</v>
      </c>
      <c r="G412" s="1">
        <v>107000</v>
      </c>
      <c r="H412">
        <v>0</v>
      </c>
      <c r="I412" s="79" t="s">
        <v>2</v>
      </c>
    </row>
    <row r="413" spans="1:9" x14ac:dyDescent="0.25">
      <c r="A413">
        <v>470</v>
      </c>
      <c r="B413">
        <v>1623000</v>
      </c>
      <c r="C413">
        <v>0</v>
      </c>
      <c r="D413" s="1">
        <v>26473.55</v>
      </c>
      <c r="E413" s="1">
        <v>14000</v>
      </c>
      <c r="F413">
        <v>0</v>
      </c>
      <c r="G413" s="1">
        <v>14000</v>
      </c>
      <c r="H413">
        <v>0</v>
      </c>
      <c r="I413" s="79" t="s">
        <v>2</v>
      </c>
    </row>
    <row r="414" spans="1:9" x14ac:dyDescent="0.25">
      <c r="A414">
        <v>470</v>
      </c>
      <c r="B414">
        <v>1711000</v>
      </c>
      <c r="C414">
        <v>0</v>
      </c>
      <c r="D414" s="1">
        <v>16165.56</v>
      </c>
      <c r="E414" s="1">
        <v>12323.02</v>
      </c>
      <c r="F414">
        <v>0</v>
      </c>
      <c r="G414" s="1">
        <v>87000</v>
      </c>
      <c r="H414">
        <v>0</v>
      </c>
      <c r="I414" s="79" t="s">
        <v>2</v>
      </c>
    </row>
    <row r="415" spans="1:9" x14ac:dyDescent="0.25">
      <c r="A415">
        <v>470</v>
      </c>
      <c r="B415">
        <v>1721000</v>
      </c>
      <c r="C415">
        <v>0</v>
      </c>
      <c r="D415" s="1">
        <v>12864.88</v>
      </c>
      <c r="E415" s="1">
        <v>26229</v>
      </c>
      <c r="F415">
        <v>0</v>
      </c>
      <c r="G415" s="1">
        <v>63000</v>
      </c>
      <c r="H415">
        <v>0</v>
      </c>
      <c r="I415" s="79" t="s">
        <v>2</v>
      </c>
    </row>
    <row r="416" spans="1:9" x14ac:dyDescent="0.25">
      <c r="A416">
        <v>470</v>
      </c>
      <c r="B416">
        <v>1722100</v>
      </c>
      <c r="C416">
        <v>0</v>
      </c>
      <c r="D416">
        <v>795</v>
      </c>
      <c r="E416">
        <v>0</v>
      </c>
      <c r="F416" s="1">
        <v>18143.63</v>
      </c>
      <c r="G416" s="1">
        <v>540000</v>
      </c>
      <c r="H416">
        <v>0</v>
      </c>
      <c r="I416" s="79" t="s">
        <v>2</v>
      </c>
    </row>
    <row r="417" spans="1:9" x14ac:dyDescent="0.25">
      <c r="A417">
        <v>470</v>
      </c>
      <c r="B417">
        <v>1731000</v>
      </c>
      <c r="C417">
        <v>0</v>
      </c>
      <c r="D417" s="1">
        <v>55252.67</v>
      </c>
      <c r="E417">
        <v>0</v>
      </c>
      <c r="F417" s="1">
        <v>1200</v>
      </c>
      <c r="G417" s="1">
        <v>93000</v>
      </c>
      <c r="H417">
        <v>0</v>
      </c>
      <c r="I417" s="79" t="s">
        <v>2</v>
      </c>
    </row>
    <row r="418" spans="1:9" x14ac:dyDescent="0.25">
      <c r="A418">
        <v>470</v>
      </c>
      <c r="B418">
        <v>1731100</v>
      </c>
      <c r="C418">
        <v>0</v>
      </c>
      <c r="D418" s="1">
        <v>4916.38</v>
      </c>
      <c r="E418">
        <v>0</v>
      </c>
      <c r="F418">
        <v>0</v>
      </c>
      <c r="G418" s="1">
        <v>140000</v>
      </c>
      <c r="H418">
        <v>0</v>
      </c>
      <c r="I418" s="79" t="s">
        <v>2</v>
      </c>
    </row>
    <row r="419" spans="1:9" x14ac:dyDescent="0.25">
      <c r="A419">
        <v>470</v>
      </c>
      <c r="B419">
        <v>1770000</v>
      </c>
      <c r="C419">
        <v>0</v>
      </c>
      <c r="D419" s="1">
        <v>1191.01</v>
      </c>
      <c r="E419">
        <v>0</v>
      </c>
      <c r="F419" s="1">
        <v>5252.67</v>
      </c>
      <c r="G419" s="1">
        <v>50000</v>
      </c>
      <c r="H419" s="1">
        <v>20819.080000000002</v>
      </c>
      <c r="I419" s="79" t="s">
        <v>2</v>
      </c>
    </row>
    <row r="420" spans="1:9" x14ac:dyDescent="0.25">
      <c r="A420">
        <v>470</v>
      </c>
      <c r="B420">
        <v>1782000</v>
      </c>
      <c r="C420">
        <v>0</v>
      </c>
      <c r="D420" s="1">
        <v>1051.02</v>
      </c>
      <c r="E420" s="1">
        <v>1000</v>
      </c>
      <c r="F420">
        <v>0</v>
      </c>
      <c r="G420" s="1">
        <v>1000</v>
      </c>
      <c r="H420" s="1">
        <v>1497</v>
      </c>
      <c r="I420" s="79" t="s">
        <v>2</v>
      </c>
    </row>
    <row r="421" spans="1:9" x14ac:dyDescent="0.25">
      <c r="A421">
        <v>470</v>
      </c>
      <c r="B421">
        <v>1811000</v>
      </c>
      <c r="C421">
        <v>0</v>
      </c>
      <c r="D421" s="1">
        <v>26103.75</v>
      </c>
      <c r="E421">
        <v>830</v>
      </c>
      <c r="F421">
        <v>0</v>
      </c>
      <c r="G421" s="1">
        <v>2000</v>
      </c>
      <c r="H421">
        <v>0</v>
      </c>
      <c r="I421" s="79" t="s">
        <v>2</v>
      </c>
    </row>
    <row r="422" spans="1:9" x14ac:dyDescent="0.25">
      <c r="A422">
        <v>470</v>
      </c>
      <c r="B422">
        <v>1813210</v>
      </c>
      <c r="C422">
        <v>0</v>
      </c>
      <c r="D422" s="1">
        <v>4467</v>
      </c>
      <c r="E422">
        <v>0</v>
      </c>
      <c r="F422" s="1">
        <v>2227.09</v>
      </c>
      <c r="G422" s="1">
        <v>6000</v>
      </c>
      <c r="H422" s="1">
        <v>5854.78</v>
      </c>
      <c r="I422" s="79" t="s">
        <v>2</v>
      </c>
    </row>
    <row r="423" spans="1:9" x14ac:dyDescent="0.25">
      <c r="A423">
        <v>470</v>
      </c>
      <c r="B423">
        <v>1815510</v>
      </c>
      <c r="C423">
        <v>0</v>
      </c>
      <c r="D423" s="1">
        <v>11786</v>
      </c>
      <c r="E423" s="1">
        <v>2000</v>
      </c>
      <c r="F423">
        <v>0</v>
      </c>
      <c r="G423" s="1">
        <v>2000</v>
      </c>
      <c r="H423">
        <v>0</v>
      </c>
      <c r="I423" s="79" t="s">
        <v>2</v>
      </c>
    </row>
    <row r="424" spans="1:9" x14ac:dyDescent="0.25">
      <c r="A424">
        <v>470</v>
      </c>
      <c r="B424">
        <v>1817300</v>
      </c>
      <c r="C424">
        <v>0</v>
      </c>
      <c r="D424" s="1">
        <v>8499.32</v>
      </c>
      <c r="E424" s="1">
        <v>1000</v>
      </c>
      <c r="F424">
        <v>0</v>
      </c>
      <c r="G424" s="1">
        <v>1000</v>
      </c>
      <c r="H424">
        <v>0</v>
      </c>
      <c r="I424" s="79" t="s">
        <v>2</v>
      </c>
    </row>
    <row r="425" spans="1:9" x14ac:dyDescent="0.25">
      <c r="A425">
        <v>470</v>
      </c>
      <c r="B425">
        <v>1822110</v>
      </c>
      <c r="C425">
        <v>0</v>
      </c>
      <c r="D425" s="1">
        <v>1200.31</v>
      </c>
      <c r="E425" s="1">
        <v>1000</v>
      </c>
      <c r="F425">
        <v>0</v>
      </c>
      <c r="G425" s="1">
        <v>1000</v>
      </c>
      <c r="H425">
        <v>643</v>
      </c>
      <c r="I425" s="79" t="s">
        <v>2</v>
      </c>
    </row>
    <row r="426" spans="1:9" x14ac:dyDescent="0.25">
      <c r="A426">
        <v>470</v>
      </c>
      <c r="B426">
        <v>1822200</v>
      </c>
      <c r="C426">
        <v>0</v>
      </c>
      <c r="D426" s="1">
        <v>2121.81</v>
      </c>
      <c r="E426" s="1">
        <v>1560.54</v>
      </c>
      <c r="F426">
        <v>0</v>
      </c>
      <c r="G426" s="1">
        <v>5000</v>
      </c>
      <c r="H426" s="1">
        <v>2996</v>
      </c>
      <c r="I426" s="79" t="s">
        <v>2</v>
      </c>
    </row>
    <row r="427" spans="1:9" x14ac:dyDescent="0.25">
      <c r="A427">
        <v>470</v>
      </c>
      <c r="B427">
        <v>1823000</v>
      </c>
      <c r="C427">
        <v>0</v>
      </c>
      <c r="D427" s="1">
        <v>4695.37</v>
      </c>
      <c r="E427">
        <v>0</v>
      </c>
      <c r="F427" s="1">
        <v>1827342.52</v>
      </c>
      <c r="G427" s="1">
        <v>538000</v>
      </c>
      <c r="H427" s="1">
        <v>2560262.79</v>
      </c>
      <c r="I427" s="79" t="s">
        <v>2</v>
      </c>
    </row>
    <row r="428" spans="1:9" x14ac:dyDescent="0.25">
      <c r="A428">
        <v>470</v>
      </c>
      <c r="B428">
        <v>1826100</v>
      </c>
      <c r="C428">
        <v>0</v>
      </c>
      <c r="D428" s="1">
        <v>5751.29</v>
      </c>
      <c r="E428">
        <v>499.62</v>
      </c>
      <c r="F428">
        <v>0</v>
      </c>
      <c r="G428" s="1">
        <v>12000</v>
      </c>
      <c r="H428" s="1">
        <v>10422.299999999999</v>
      </c>
      <c r="I428" s="79" t="s">
        <v>2</v>
      </c>
    </row>
    <row r="429" spans="1:9" x14ac:dyDescent="0.25">
      <c r="A429">
        <v>470</v>
      </c>
      <c r="B429">
        <v>1828200</v>
      </c>
      <c r="C429">
        <v>0</v>
      </c>
      <c r="D429" s="1">
        <v>2403.44</v>
      </c>
      <c r="E429">
        <v>292.33</v>
      </c>
      <c r="F429">
        <v>0</v>
      </c>
      <c r="G429" s="1">
        <v>2000</v>
      </c>
      <c r="H429" s="1">
        <v>2466.9699999999998</v>
      </c>
      <c r="I429" s="79" t="s">
        <v>2</v>
      </c>
    </row>
    <row r="430" spans="1:9" x14ac:dyDescent="0.25">
      <c r="A430">
        <v>470</v>
      </c>
      <c r="B430">
        <v>1841000</v>
      </c>
      <c r="C430">
        <v>0</v>
      </c>
      <c r="D430" s="1">
        <v>26046.17</v>
      </c>
      <c r="E430" s="1">
        <v>13471.37</v>
      </c>
      <c r="F430">
        <v>0</v>
      </c>
      <c r="G430" s="1">
        <v>38000</v>
      </c>
      <c r="H430" s="1">
        <v>43516.68</v>
      </c>
      <c r="I430" s="79" t="s">
        <v>2</v>
      </c>
    </row>
    <row r="431" spans="1:9" x14ac:dyDescent="0.25">
      <c r="A431">
        <v>470</v>
      </c>
      <c r="B431">
        <v>1860000</v>
      </c>
      <c r="C431">
        <v>0</v>
      </c>
      <c r="D431" s="1">
        <v>9762.14</v>
      </c>
      <c r="E431" s="1">
        <v>13476.54</v>
      </c>
      <c r="F431">
        <v>0</v>
      </c>
      <c r="G431" s="1">
        <v>1125000</v>
      </c>
      <c r="H431" s="1">
        <v>1187284.3</v>
      </c>
      <c r="I431" s="79" t="s">
        <v>2</v>
      </c>
    </row>
    <row r="432" spans="1:9" x14ac:dyDescent="0.25">
      <c r="A432">
        <v>470</v>
      </c>
      <c r="B432">
        <v>1913000</v>
      </c>
      <c r="C432">
        <v>0</v>
      </c>
      <c r="D432" s="1">
        <v>2384.85</v>
      </c>
      <c r="E432" s="1">
        <v>3777.98</v>
      </c>
      <c r="F432">
        <v>0</v>
      </c>
      <c r="G432" s="1">
        <v>10000</v>
      </c>
      <c r="H432" s="1">
        <v>22702.59</v>
      </c>
      <c r="I432" s="79" t="s">
        <v>2</v>
      </c>
    </row>
    <row r="433" spans="1:9" x14ac:dyDescent="0.25">
      <c r="A433">
        <v>470</v>
      </c>
      <c r="B433">
        <v>1933000</v>
      </c>
      <c r="C433">
        <v>0</v>
      </c>
      <c r="D433" s="1">
        <v>14952.89</v>
      </c>
      <c r="E433" s="1">
        <v>12947.71</v>
      </c>
      <c r="F433">
        <v>0</v>
      </c>
      <c r="G433" s="1">
        <v>68000</v>
      </c>
      <c r="H433" s="1">
        <v>60396.32</v>
      </c>
      <c r="I433" s="79" t="s">
        <v>2</v>
      </c>
    </row>
    <row r="434" spans="1:9" x14ac:dyDescent="0.25">
      <c r="A434">
        <v>470</v>
      </c>
      <c r="B434">
        <v>1943000</v>
      </c>
      <c r="C434">
        <v>0</v>
      </c>
      <c r="D434" s="1">
        <v>1670.41</v>
      </c>
      <c r="E434" s="1">
        <v>10930.75</v>
      </c>
      <c r="F434">
        <v>0</v>
      </c>
      <c r="G434" s="1">
        <v>672000</v>
      </c>
      <c r="H434" s="1">
        <v>856956.33</v>
      </c>
      <c r="I434" s="79">
        <f>SUM(D403:D434)/1000</f>
        <v>762.87549000000035</v>
      </c>
    </row>
    <row r="435" spans="1:9" x14ac:dyDescent="0.25">
      <c r="A435">
        <v>511</v>
      </c>
      <c r="B435">
        <v>1611000</v>
      </c>
      <c r="C435">
        <v>0</v>
      </c>
      <c r="D435" s="1">
        <v>8653.5</v>
      </c>
      <c r="E435">
        <v>0</v>
      </c>
      <c r="F435" s="1">
        <v>3614353.63</v>
      </c>
      <c r="G435">
        <v>0</v>
      </c>
      <c r="H435" s="1">
        <v>4079345.86</v>
      </c>
      <c r="I435" s="79" t="s">
        <v>2</v>
      </c>
    </row>
    <row r="436" spans="1:9" x14ac:dyDescent="0.25">
      <c r="A436">
        <v>511</v>
      </c>
      <c r="B436">
        <v>1613000</v>
      </c>
      <c r="C436">
        <v>0</v>
      </c>
      <c r="D436" s="1">
        <v>140697.60000000001</v>
      </c>
      <c r="E436" s="1">
        <v>100000</v>
      </c>
      <c r="F436">
        <v>0</v>
      </c>
      <c r="G436" s="1">
        <v>100000</v>
      </c>
      <c r="H436">
        <v>0</v>
      </c>
      <c r="I436" s="79" t="s">
        <v>2</v>
      </c>
    </row>
    <row r="437" spans="1:9" x14ac:dyDescent="0.25">
      <c r="A437">
        <v>511</v>
      </c>
      <c r="B437">
        <v>1617000</v>
      </c>
      <c r="C437">
        <v>0</v>
      </c>
      <c r="D437">
        <v>407.5</v>
      </c>
      <c r="E437" s="1">
        <v>76344.39</v>
      </c>
      <c r="F437">
        <v>0</v>
      </c>
      <c r="G437" s="1">
        <v>3604000</v>
      </c>
      <c r="H437" s="1">
        <v>3561443.76</v>
      </c>
      <c r="I437" s="79" t="s">
        <v>2</v>
      </c>
    </row>
    <row r="438" spans="1:9" x14ac:dyDescent="0.25">
      <c r="A438">
        <v>511</v>
      </c>
      <c r="B438">
        <v>1621000</v>
      </c>
      <c r="C438">
        <v>0</v>
      </c>
      <c r="D438" s="1">
        <v>1013.7</v>
      </c>
      <c r="E438">
        <v>0</v>
      </c>
      <c r="F438">
        <v>100.5</v>
      </c>
      <c r="G438">
        <v>0</v>
      </c>
      <c r="H438">
        <v>0</v>
      </c>
      <c r="I438" s="79" t="s">
        <v>2</v>
      </c>
    </row>
    <row r="439" spans="1:9" x14ac:dyDescent="0.25">
      <c r="A439">
        <v>511</v>
      </c>
      <c r="B439">
        <v>1621300</v>
      </c>
      <c r="C439">
        <v>0</v>
      </c>
      <c r="D439">
        <v>415.09</v>
      </c>
      <c r="E439">
        <v>0</v>
      </c>
      <c r="F439" s="1">
        <v>5838.38</v>
      </c>
      <c r="G439">
        <v>0</v>
      </c>
      <c r="H439" s="1">
        <v>137458.54999999999</v>
      </c>
      <c r="I439" s="79" t="s">
        <v>2</v>
      </c>
    </row>
    <row r="440" spans="1:9" x14ac:dyDescent="0.25">
      <c r="A440">
        <v>511</v>
      </c>
      <c r="B440">
        <v>1623000</v>
      </c>
      <c r="C440">
        <v>0</v>
      </c>
      <c r="D440">
        <v>79.400000000000006</v>
      </c>
      <c r="E440" s="1">
        <v>1000</v>
      </c>
      <c r="F440">
        <v>0</v>
      </c>
      <c r="G440" s="1">
        <v>1000</v>
      </c>
      <c r="H440">
        <v>656</v>
      </c>
      <c r="I440" s="79" t="s">
        <v>2</v>
      </c>
    </row>
    <row r="441" spans="1:9" x14ac:dyDescent="0.25">
      <c r="A441">
        <v>511</v>
      </c>
      <c r="B441">
        <v>1746000</v>
      </c>
      <c r="C441">
        <v>0</v>
      </c>
      <c r="D441">
        <v>828</v>
      </c>
      <c r="E441" s="1">
        <v>2242.5500000000002</v>
      </c>
      <c r="F441">
        <v>0</v>
      </c>
      <c r="G441" s="1">
        <v>161000</v>
      </c>
      <c r="H441" s="1">
        <v>144550.17000000001</v>
      </c>
      <c r="I441" s="79" t="s">
        <v>2</v>
      </c>
    </row>
    <row r="442" spans="1:9" x14ac:dyDescent="0.25">
      <c r="A442">
        <v>511</v>
      </c>
      <c r="B442">
        <v>1811000</v>
      </c>
      <c r="C442">
        <v>0</v>
      </c>
      <c r="D442">
        <v>520</v>
      </c>
      <c r="E442" s="1">
        <v>481484.31</v>
      </c>
      <c r="F442">
        <v>0</v>
      </c>
      <c r="G442" s="1">
        <v>3808000</v>
      </c>
      <c r="H442" s="1">
        <v>3591855.41</v>
      </c>
      <c r="I442" s="79">
        <f>SUM(D435:D442)/1000</f>
        <v>152.61479</v>
      </c>
    </row>
    <row r="443" spans="1:9" x14ac:dyDescent="0.25">
      <c r="A443">
        <v>513</v>
      </c>
      <c r="B443">
        <v>1754000</v>
      </c>
      <c r="C443">
        <v>0</v>
      </c>
      <c r="D443" s="1">
        <v>15191</v>
      </c>
      <c r="E443" s="1">
        <v>1169.8</v>
      </c>
      <c r="F443">
        <v>0</v>
      </c>
      <c r="G443" s="1">
        <v>3000</v>
      </c>
      <c r="H443" s="1">
        <v>4106.41</v>
      </c>
      <c r="I443" s="79">
        <f>D443/1000</f>
        <v>15.191000000000001</v>
      </c>
    </row>
    <row r="444" spans="1:9" x14ac:dyDescent="0.25">
      <c r="A444">
        <v>522</v>
      </c>
      <c r="B444">
        <v>1617000</v>
      </c>
      <c r="C444">
        <v>0</v>
      </c>
      <c r="D444" s="1">
        <v>1170</v>
      </c>
      <c r="E444">
        <v>0</v>
      </c>
      <c r="F444" s="1">
        <v>1682.84</v>
      </c>
      <c r="G444" s="1">
        <v>184000</v>
      </c>
      <c r="H444" s="1">
        <v>189463.27</v>
      </c>
      <c r="I444" s="79">
        <f>D444/1000</f>
        <v>1.17</v>
      </c>
    </row>
    <row r="445" spans="1:9" x14ac:dyDescent="0.25">
      <c r="A445">
        <v>530</v>
      </c>
      <c r="B445">
        <v>1712210</v>
      </c>
      <c r="C445">
        <v>0</v>
      </c>
      <c r="D445" s="1">
        <v>94952</v>
      </c>
      <c r="E445" s="1">
        <v>1547.7</v>
      </c>
      <c r="F445">
        <v>0</v>
      </c>
      <c r="G445" s="1">
        <v>4000</v>
      </c>
      <c r="H445">
        <v>0</v>
      </c>
      <c r="I445" s="79" t="s">
        <v>2</v>
      </c>
    </row>
    <row r="446" spans="1:9" x14ac:dyDescent="0.25">
      <c r="A446">
        <v>530</v>
      </c>
      <c r="B446">
        <v>1712220</v>
      </c>
      <c r="C446">
        <v>0</v>
      </c>
      <c r="D446" s="1">
        <v>63262</v>
      </c>
      <c r="E446">
        <v>0</v>
      </c>
      <c r="F446">
        <v>0</v>
      </c>
      <c r="G446">
        <v>0</v>
      </c>
      <c r="H446" s="1">
        <v>45784.89</v>
      </c>
      <c r="I446" s="79" t="s">
        <v>2</v>
      </c>
    </row>
    <row r="447" spans="1:9" x14ac:dyDescent="0.25">
      <c r="A447">
        <v>530</v>
      </c>
      <c r="B447">
        <v>1712230</v>
      </c>
      <c r="C447">
        <v>0</v>
      </c>
      <c r="D447" s="1">
        <v>34997</v>
      </c>
      <c r="E447">
        <v>206.6</v>
      </c>
      <c r="F447">
        <v>0</v>
      </c>
      <c r="G447" s="1">
        <v>101000</v>
      </c>
      <c r="H447" s="1">
        <v>669623.4</v>
      </c>
      <c r="I447" s="79">
        <f>SUM(D445:D447)/1000</f>
        <v>193.21100000000001</v>
      </c>
    </row>
    <row r="448" spans="1:9" x14ac:dyDescent="0.25">
      <c r="A448">
        <v>531</v>
      </c>
      <c r="B448">
        <v>1611000</v>
      </c>
      <c r="C448">
        <v>0</v>
      </c>
      <c r="D448" s="1">
        <v>65196.37</v>
      </c>
      <c r="E448">
        <v>0</v>
      </c>
      <c r="F448">
        <v>0</v>
      </c>
      <c r="G448">
        <v>0</v>
      </c>
      <c r="H448" s="1">
        <v>104057.99</v>
      </c>
      <c r="I448" s="79" t="s">
        <v>2</v>
      </c>
    </row>
    <row r="449" spans="1:9" x14ac:dyDescent="0.25">
      <c r="A449">
        <v>531</v>
      </c>
      <c r="B449">
        <v>1612000</v>
      </c>
      <c r="C449">
        <v>0</v>
      </c>
      <c r="D449" s="1">
        <v>9126.66</v>
      </c>
      <c r="E449" s="1">
        <v>27115.02</v>
      </c>
      <c r="F449">
        <v>0</v>
      </c>
      <c r="G449" s="1">
        <v>750000</v>
      </c>
      <c r="H449" s="1">
        <v>850647.81</v>
      </c>
      <c r="I449" s="79" t="s">
        <v>2</v>
      </c>
    </row>
    <row r="450" spans="1:9" x14ac:dyDescent="0.25">
      <c r="A450">
        <v>531</v>
      </c>
      <c r="B450">
        <v>1613000</v>
      </c>
      <c r="C450">
        <v>0</v>
      </c>
      <c r="D450" s="1">
        <v>19631.63</v>
      </c>
      <c r="E450">
        <v>0</v>
      </c>
      <c r="F450">
        <v>0</v>
      </c>
      <c r="G450">
        <v>0</v>
      </c>
      <c r="H450" s="1">
        <v>1545.43</v>
      </c>
      <c r="I450" s="79" t="s">
        <v>2</v>
      </c>
    </row>
    <row r="451" spans="1:9" x14ac:dyDescent="0.25">
      <c r="A451">
        <v>531</v>
      </c>
      <c r="B451">
        <v>1617000</v>
      </c>
      <c r="C451">
        <v>0</v>
      </c>
      <c r="D451" s="1">
        <v>4610.01</v>
      </c>
      <c r="E451">
        <v>809</v>
      </c>
      <c r="F451">
        <v>0</v>
      </c>
      <c r="G451" s="1">
        <v>16000</v>
      </c>
      <c r="H451" s="1">
        <v>77676.39</v>
      </c>
      <c r="I451" s="79" t="s">
        <v>2</v>
      </c>
    </row>
    <row r="452" spans="1:9" x14ac:dyDescent="0.25">
      <c r="A452">
        <v>531</v>
      </c>
      <c r="B452">
        <v>1621000</v>
      </c>
      <c r="C452">
        <v>0</v>
      </c>
      <c r="D452" s="1">
        <v>11076.08</v>
      </c>
      <c r="E452" s="1">
        <v>16650.25</v>
      </c>
      <c r="F452">
        <v>0</v>
      </c>
      <c r="G452" s="1">
        <v>1622000</v>
      </c>
      <c r="H452" s="1">
        <v>1740378.41</v>
      </c>
      <c r="I452" s="79" t="s">
        <v>2</v>
      </c>
    </row>
    <row r="453" spans="1:9" x14ac:dyDescent="0.25">
      <c r="A453">
        <v>531</v>
      </c>
      <c r="B453">
        <v>1711000</v>
      </c>
      <c r="C453">
        <v>0</v>
      </c>
      <c r="D453" s="1">
        <v>246971.23</v>
      </c>
      <c r="E453">
        <v>0</v>
      </c>
      <c r="F453" s="1">
        <v>2244</v>
      </c>
      <c r="G453">
        <v>0</v>
      </c>
      <c r="H453" s="1">
        <v>47806.07</v>
      </c>
      <c r="I453" s="79" t="s">
        <v>2</v>
      </c>
    </row>
    <row r="454" spans="1:9" x14ac:dyDescent="0.25">
      <c r="A454">
        <v>531</v>
      </c>
      <c r="B454">
        <v>1712200</v>
      </c>
      <c r="C454">
        <v>0</v>
      </c>
      <c r="D454" s="1">
        <v>55939.93</v>
      </c>
      <c r="E454" s="1">
        <v>1419</v>
      </c>
      <c r="F454">
        <v>0</v>
      </c>
      <c r="G454" s="1">
        <v>2000</v>
      </c>
      <c r="H454">
        <v>0</v>
      </c>
      <c r="I454" s="79" t="s">
        <v>2</v>
      </c>
    </row>
    <row r="455" spans="1:9" x14ac:dyDescent="0.25">
      <c r="A455">
        <v>531</v>
      </c>
      <c r="B455">
        <v>1712300</v>
      </c>
      <c r="C455">
        <v>0</v>
      </c>
      <c r="D455" s="1">
        <v>425180.55</v>
      </c>
      <c r="E455">
        <v>92.5</v>
      </c>
      <c r="F455">
        <v>0</v>
      </c>
      <c r="G455" s="1">
        <v>1000</v>
      </c>
      <c r="H455" s="1">
        <v>1021.82</v>
      </c>
      <c r="I455" s="79" t="s">
        <v>2</v>
      </c>
    </row>
    <row r="456" spans="1:9" x14ac:dyDescent="0.25">
      <c r="A456">
        <v>531</v>
      </c>
      <c r="B456">
        <v>1721000</v>
      </c>
      <c r="C456">
        <v>0</v>
      </c>
      <c r="D456">
        <v>534.75</v>
      </c>
      <c r="E456" s="1">
        <v>1000</v>
      </c>
      <c r="F456">
        <v>0</v>
      </c>
      <c r="G456" s="1">
        <v>1000</v>
      </c>
      <c r="H456">
        <v>0</v>
      </c>
      <c r="I456" s="79" t="s">
        <v>2</v>
      </c>
    </row>
    <row r="457" spans="1:9" x14ac:dyDescent="0.25">
      <c r="A457">
        <v>531</v>
      </c>
      <c r="B457">
        <v>1733000</v>
      </c>
      <c r="C457">
        <v>0</v>
      </c>
      <c r="D457" s="1">
        <v>11500.38</v>
      </c>
      <c r="E457" s="1">
        <v>1000</v>
      </c>
      <c r="F457">
        <v>0</v>
      </c>
      <c r="G457" s="1">
        <v>1000</v>
      </c>
      <c r="H457">
        <v>0</v>
      </c>
      <c r="I457" s="79" t="s">
        <v>2</v>
      </c>
    </row>
    <row r="458" spans="1:9" x14ac:dyDescent="0.25">
      <c r="A458">
        <v>531</v>
      </c>
      <c r="B458">
        <v>1746000</v>
      </c>
      <c r="C458">
        <v>0</v>
      </c>
      <c r="D458" s="1">
        <v>47902.73</v>
      </c>
      <c r="E458" s="1">
        <v>2969.51</v>
      </c>
      <c r="F458">
        <v>0</v>
      </c>
      <c r="G458" s="1">
        <v>180000</v>
      </c>
      <c r="H458" s="1">
        <v>180608.45</v>
      </c>
      <c r="I458" s="79" t="s">
        <v>2</v>
      </c>
    </row>
    <row r="459" spans="1:9" x14ac:dyDescent="0.25">
      <c r="A459">
        <v>531</v>
      </c>
      <c r="B459">
        <v>1811000</v>
      </c>
      <c r="C459">
        <v>0</v>
      </c>
      <c r="D459" s="1">
        <v>48197.06</v>
      </c>
      <c r="E459" s="1">
        <v>1000</v>
      </c>
      <c r="F459">
        <v>0</v>
      </c>
      <c r="G459" s="1">
        <v>1000</v>
      </c>
      <c r="H459">
        <v>0</v>
      </c>
      <c r="I459" s="79" t="s">
        <v>2</v>
      </c>
    </row>
    <row r="460" spans="1:9" x14ac:dyDescent="0.25">
      <c r="A460">
        <v>531</v>
      </c>
      <c r="B460">
        <v>1817910</v>
      </c>
      <c r="C460">
        <v>0</v>
      </c>
      <c r="D460" s="1">
        <v>33825.06</v>
      </c>
      <c r="E460">
        <v>0</v>
      </c>
      <c r="F460">
        <v>0</v>
      </c>
      <c r="G460" s="1">
        <v>1000</v>
      </c>
      <c r="H460">
        <v>0</v>
      </c>
      <c r="I460" s="79" t="s">
        <v>2</v>
      </c>
    </row>
    <row r="461" spans="1:9" x14ac:dyDescent="0.25">
      <c r="A461">
        <v>531</v>
      </c>
      <c r="B461">
        <v>1821000</v>
      </c>
      <c r="C461">
        <v>0</v>
      </c>
      <c r="D461" s="1">
        <v>9870.27</v>
      </c>
      <c r="E461">
        <v>80</v>
      </c>
      <c r="F461">
        <v>0</v>
      </c>
      <c r="G461" s="1">
        <v>220000</v>
      </c>
      <c r="H461" s="1">
        <v>21369</v>
      </c>
      <c r="I461" s="79" t="s">
        <v>2</v>
      </c>
    </row>
    <row r="462" spans="1:9" x14ac:dyDescent="0.25">
      <c r="A462">
        <v>531</v>
      </c>
      <c r="B462">
        <v>1822200</v>
      </c>
      <c r="C462">
        <v>0</v>
      </c>
      <c r="D462" s="1">
        <v>6960.51</v>
      </c>
      <c r="E462">
        <v>451</v>
      </c>
      <c r="F462">
        <v>0</v>
      </c>
      <c r="G462" s="1">
        <v>1000</v>
      </c>
      <c r="H462">
        <v>642</v>
      </c>
      <c r="I462" s="79" t="s">
        <v>2</v>
      </c>
    </row>
    <row r="463" spans="1:9" x14ac:dyDescent="0.25">
      <c r="A463">
        <v>531</v>
      </c>
      <c r="B463">
        <v>1841000</v>
      </c>
      <c r="C463">
        <v>0</v>
      </c>
      <c r="D463">
        <v>398.02</v>
      </c>
      <c r="E463">
        <v>0</v>
      </c>
      <c r="F463" s="1">
        <v>340659.67</v>
      </c>
      <c r="G463" s="1">
        <v>950000</v>
      </c>
      <c r="H463" s="1">
        <v>1094451.23</v>
      </c>
      <c r="I463" s="79" t="s">
        <v>2</v>
      </c>
    </row>
    <row r="464" spans="1:9" x14ac:dyDescent="0.25">
      <c r="A464">
        <v>531</v>
      </c>
      <c r="B464">
        <v>1913000</v>
      </c>
      <c r="C464">
        <v>0</v>
      </c>
      <c r="D464" s="1">
        <v>15797.34</v>
      </c>
      <c r="E464" s="1">
        <v>220090</v>
      </c>
      <c r="F464">
        <v>0</v>
      </c>
      <c r="G464" s="1">
        <v>2075000</v>
      </c>
      <c r="H464" s="1">
        <v>2020292.4</v>
      </c>
      <c r="I464" s="79" t="s">
        <v>2</v>
      </c>
    </row>
    <row r="465" spans="1:9" x14ac:dyDescent="0.25">
      <c r="A465">
        <v>531</v>
      </c>
      <c r="B465">
        <v>1943000</v>
      </c>
      <c r="C465">
        <v>0</v>
      </c>
      <c r="D465" s="1">
        <v>2870.54</v>
      </c>
      <c r="E465">
        <v>0</v>
      </c>
      <c r="F465" s="1">
        <v>287147.03999999998</v>
      </c>
      <c r="G465">
        <v>0</v>
      </c>
      <c r="H465">
        <v>0</v>
      </c>
      <c r="I465" s="79">
        <f>SUM(D448:D465)/1000</f>
        <v>1015.58912</v>
      </c>
    </row>
    <row r="466" spans="1:9" x14ac:dyDescent="0.25">
      <c r="A466">
        <v>532</v>
      </c>
      <c r="B466">
        <v>1611000</v>
      </c>
      <c r="C466">
        <v>0</v>
      </c>
      <c r="D466" s="1">
        <v>32932</v>
      </c>
      <c r="E466">
        <v>808.99</v>
      </c>
      <c r="F466">
        <v>0</v>
      </c>
      <c r="G466" s="1">
        <v>2000</v>
      </c>
      <c r="H466">
        <v>397.94</v>
      </c>
      <c r="I466" s="79" t="s">
        <v>2</v>
      </c>
    </row>
    <row r="467" spans="1:9" x14ac:dyDescent="0.25">
      <c r="A467">
        <v>532</v>
      </c>
      <c r="B467">
        <v>1612000</v>
      </c>
      <c r="C467">
        <v>0</v>
      </c>
      <c r="D467" s="1">
        <v>2779.46</v>
      </c>
      <c r="E467">
        <v>478.3</v>
      </c>
      <c r="F467">
        <v>0</v>
      </c>
      <c r="G467" s="1">
        <v>2000</v>
      </c>
      <c r="H467" s="1">
        <v>9737.5</v>
      </c>
      <c r="I467" s="79" t="s">
        <v>2</v>
      </c>
    </row>
    <row r="468" spans="1:9" x14ac:dyDescent="0.25">
      <c r="A468">
        <v>532</v>
      </c>
      <c r="B468">
        <v>1613000</v>
      </c>
      <c r="C468">
        <v>0</v>
      </c>
      <c r="D468" s="1">
        <v>8956.65</v>
      </c>
      <c r="E468">
        <v>0</v>
      </c>
      <c r="F468" s="1">
        <v>22951.78</v>
      </c>
      <c r="G468" s="1">
        <v>10000</v>
      </c>
      <c r="H468" s="1">
        <v>17099.400000000001</v>
      </c>
      <c r="I468" s="79" t="s">
        <v>2</v>
      </c>
    </row>
    <row r="469" spans="1:9" x14ac:dyDescent="0.25">
      <c r="A469">
        <v>532</v>
      </c>
      <c r="B469">
        <v>1617000</v>
      </c>
      <c r="C469">
        <v>0</v>
      </c>
      <c r="D469">
        <v>816.01</v>
      </c>
      <c r="E469">
        <v>0</v>
      </c>
      <c r="F469">
        <v>0</v>
      </c>
      <c r="G469">
        <v>0</v>
      </c>
      <c r="H469" s="1">
        <v>312830</v>
      </c>
      <c r="I469" s="79" t="s">
        <v>2</v>
      </c>
    </row>
    <row r="470" spans="1:9" x14ac:dyDescent="0.25">
      <c r="A470">
        <v>532</v>
      </c>
      <c r="B470">
        <v>1621000</v>
      </c>
      <c r="C470">
        <v>0</v>
      </c>
      <c r="D470">
        <v>539.30999999999995</v>
      </c>
      <c r="E470">
        <v>0</v>
      </c>
      <c r="F470">
        <v>0</v>
      </c>
      <c r="G470" s="1">
        <v>100000</v>
      </c>
      <c r="H470" s="1">
        <v>201146</v>
      </c>
      <c r="I470" s="79" t="s">
        <v>2</v>
      </c>
    </row>
    <row r="471" spans="1:9" x14ac:dyDescent="0.25">
      <c r="A471">
        <v>532</v>
      </c>
      <c r="B471">
        <v>1711000</v>
      </c>
      <c r="C471">
        <v>0</v>
      </c>
      <c r="D471" s="1">
        <v>208122.47</v>
      </c>
      <c r="E471" s="1">
        <v>62598.46</v>
      </c>
      <c r="F471">
        <v>0</v>
      </c>
      <c r="G471" s="1">
        <v>1824000</v>
      </c>
      <c r="H471" s="1">
        <v>1257557.3600000001</v>
      </c>
      <c r="I471" s="79" t="s">
        <v>2</v>
      </c>
    </row>
    <row r="472" spans="1:9" x14ac:dyDescent="0.25">
      <c r="A472">
        <v>532</v>
      </c>
      <c r="B472">
        <v>1711200</v>
      </c>
      <c r="C472">
        <v>0</v>
      </c>
      <c r="D472">
        <v>59.5</v>
      </c>
      <c r="E472" s="1">
        <v>2716.1</v>
      </c>
      <c r="F472">
        <v>0</v>
      </c>
      <c r="G472" s="1">
        <v>1036000</v>
      </c>
      <c r="H472" s="1">
        <v>1007868.12</v>
      </c>
      <c r="I472" s="79" t="s">
        <v>2</v>
      </c>
    </row>
    <row r="473" spans="1:9" x14ac:dyDescent="0.25">
      <c r="A473">
        <v>532</v>
      </c>
      <c r="B473">
        <v>1712200</v>
      </c>
      <c r="C473">
        <v>0</v>
      </c>
      <c r="D473" s="1">
        <v>93341.03</v>
      </c>
      <c r="E473">
        <v>948.98</v>
      </c>
      <c r="F473">
        <v>0</v>
      </c>
      <c r="G473" s="1">
        <v>2000</v>
      </c>
      <c r="H473">
        <v>426.64</v>
      </c>
      <c r="I473" s="79" t="s">
        <v>2</v>
      </c>
    </row>
    <row r="474" spans="1:9" x14ac:dyDescent="0.25">
      <c r="A474">
        <v>532</v>
      </c>
      <c r="B474">
        <v>1712300</v>
      </c>
      <c r="C474">
        <v>0</v>
      </c>
      <c r="D474" s="1">
        <v>452725.06</v>
      </c>
      <c r="E474">
        <v>0</v>
      </c>
      <c r="F474" s="1">
        <v>21103</v>
      </c>
      <c r="G474" s="1">
        <v>30000</v>
      </c>
      <c r="H474" s="1">
        <v>50340.2</v>
      </c>
      <c r="I474" s="79" t="s">
        <v>2</v>
      </c>
    </row>
    <row r="475" spans="1:9" x14ac:dyDescent="0.25">
      <c r="A475">
        <v>532</v>
      </c>
      <c r="B475">
        <v>1715300</v>
      </c>
      <c r="C475">
        <v>0</v>
      </c>
      <c r="D475" s="1">
        <v>14445</v>
      </c>
      <c r="E475" s="1">
        <v>124789.12</v>
      </c>
      <c r="F475">
        <v>0</v>
      </c>
      <c r="G475" s="1">
        <v>3404000</v>
      </c>
      <c r="H475" s="1">
        <v>3509936.62</v>
      </c>
      <c r="I475" s="79" t="s">
        <v>2</v>
      </c>
    </row>
    <row r="476" spans="1:9" x14ac:dyDescent="0.25">
      <c r="A476">
        <v>532</v>
      </c>
      <c r="B476">
        <v>1721000</v>
      </c>
      <c r="C476">
        <v>0</v>
      </c>
      <c r="D476" s="1">
        <v>5663.26</v>
      </c>
      <c r="E476">
        <v>0</v>
      </c>
      <c r="F476" s="1">
        <v>66109</v>
      </c>
      <c r="G476">
        <v>0</v>
      </c>
      <c r="H476" s="1">
        <v>519739</v>
      </c>
      <c r="I476" s="79" t="s">
        <v>2</v>
      </c>
    </row>
    <row r="477" spans="1:9" x14ac:dyDescent="0.25">
      <c r="A477">
        <v>532</v>
      </c>
      <c r="B477">
        <v>1731000</v>
      </c>
      <c r="C477">
        <v>0</v>
      </c>
      <c r="D477" s="1">
        <v>1170</v>
      </c>
      <c r="E477" s="1">
        <v>3896.25</v>
      </c>
      <c r="F477">
        <v>0</v>
      </c>
      <c r="G477" s="1">
        <v>30000</v>
      </c>
      <c r="H477" s="1">
        <v>18682.599999999999</v>
      </c>
      <c r="I477" s="79" t="s">
        <v>2</v>
      </c>
    </row>
    <row r="478" spans="1:9" x14ac:dyDescent="0.25">
      <c r="A478">
        <v>532</v>
      </c>
      <c r="B478">
        <v>1733000</v>
      </c>
      <c r="C478">
        <v>0</v>
      </c>
      <c r="D478" s="1">
        <v>1707.67</v>
      </c>
      <c r="E478" s="1">
        <v>2480</v>
      </c>
      <c r="F478">
        <v>0</v>
      </c>
      <c r="G478" s="1">
        <v>3000</v>
      </c>
      <c r="H478" s="1">
        <v>8083</v>
      </c>
      <c r="I478" s="79" t="s">
        <v>2</v>
      </c>
    </row>
    <row r="479" spans="1:9" x14ac:dyDescent="0.25">
      <c r="A479">
        <v>532</v>
      </c>
      <c r="B479">
        <v>1741000</v>
      </c>
      <c r="C479">
        <v>0</v>
      </c>
      <c r="D479" s="1">
        <v>6222.02</v>
      </c>
      <c r="E479" s="1">
        <v>3802.94</v>
      </c>
      <c r="F479">
        <v>0</v>
      </c>
      <c r="G479" s="1">
        <v>52000</v>
      </c>
      <c r="H479" s="1">
        <v>42290.65</v>
      </c>
      <c r="I479" s="79" t="s">
        <v>2</v>
      </c>
    </row>
    <row r="480" spans="1:9" x14ac:dyDescent="0.25">
      <c r="A480">
        <v>532</v>
      </c>
      <c r="B480">
        <v>1746000</v>
      </c>
      <c r="C480">
        <v>0</v>
      </c>
      <c r="D480" s="1">
        <v>53996.42</v>
      </c>
      <c r="E480">
        <v>0</v>
      </c>
      <c r="F480" s="1">
        <v>1360.61</v>
      </c>
      <c r="G480" s="1">
        <v>5000</v>
      </c>
      <c r="H480" s="1">
        <v>7499.04</v>
      </c>
      <c r="I480" s="79" t="s">
        <v>2</v>
      </c>
    </row>
    <row r="481" spans="1:9" x14ac:dyDescent="0.25">
      <c r="A481">
        <v>532</v>
      </c>
      <c r="B481">
        <v>1811000</v>
      </c>
      <c r="C481">
        <v>0</v>
      </c>
      <c r="D481" s="1">
        <v>6360.61</v>
      </c>
      <c r="E481" s="1">
        <v>5778.21</v>
      </c>
      <c r="F481">
        <v>0</v>
      </c>
      <c r="G481" s="1">
        <v>144000</v>
      </c>
      <c r="H481" s="1">
        <v>99696.45</v>
      </c>
      <c r="I481" s="79" t="s">
        <v>2</v>
      </c>
    </row>
    <row r="482" spans="1:9" x14ac:dyDescent="0.25">
      <c r="A482">
        <v>532</v>
      </c>
      <c r="B482">
        <v>1817900</v>
      </c>
      <c r="C482">
        <v>0</v>
      </c>
      <c r="D482" s="1">
        <v>2100</v>
      </c>
      <c r="E482">
        <v>0</v>
      </c>
      <c r="F482" s="1">
        <v>425009.32</v>
      </c>
      <c r="G482" s="1">
        <v>986000</v>
      </c>
      <c r="H482">
        <v>0</v>
      </c>
      <c r="I482" s="79" t="s">
        <v>2</v>
      </c>
    </row>
    <row r="483" spans="1:9" x14ac:dyDescent="0.25">
      <c r="A483">
        <v>532</v>
      </c>
      <c r="B483">
        <v>1817910</v>
      </c>
      <c r="C483">
        <v>0</v>
      </c>
      <c r="D483" s="1">
        <v>32816.400000000001</v>
      </c>
      <c r="E483" s="1">
        <v>8971.0499999999993</v>
      </c>
      <c r="F483">
        <v>0</v>
      </c>
      <c r="G483" s="1">
        <v>80000</v>
      </c>
      <c r="H483" s="1">
        <v>80954.87</v>
      </c>
      <c r="I483" s="79" t="s">
        <v>2</v>
      </c>
    </row>
    <row r="484" spans="1:9" x14ac:dyDescent="0.25">
      <c r="A484">
        <v>532</v>
      </c>
      <c r="B484">
        <v>1821000</v>
      </c>
      <c r="C484">
        <v>0</v>
      </c>
      <c r="D484" s="1">
        <v>1808.69</v>
      </c>
      <c r="E484">
        <v>0</v>
      </c>
      <c r="F484" s="1">
        <v>20478.05</v>
      </c>
      <c r="G484">
        <v>0</v>
      </c>
      <c r="H484">
        <v>0</v>
      </c>
      <c r="I484" s="79" t="s">
        <v>2</v>
      </c>
    </row>
    <row r="485" spans="1:9" x14ac:dyDescent="0.25">
      <c r="A485">
        <v>532</v>
      </c>
      <c r="B485">
        <v>1822200</v>
      </c>
      <c r="C485">
        <v>0</v>
      </c>
      <c r="D485" s="1">
        <v>5935.74</v>
      </c>
      <c r="E485" s="1">
        <v>16565</v>
      </c>
      <c r="F485">
        <v>0</v>
      </c>
      <c r="G485">
        <v>0</v>
      </c>
      <c r="H485" s="1">
        <v>5418</v>
      </c>
      <c r="I485" s="79" t="s">
        <v>2</v>
      </c>
    </row>
    <row r="486" spans="1:9" x14ac:dyDescent="0.25">
      <c r="A486">
        <v>532</v>
      </c>
      <c r="B486">
        <v>1828000</v>
      </c>
      <c r="C486">
        <v>0</v>
      </c>
      <c r="D486">
        <v>234</v>
      </c>
      <c r="E486">
        <v>0</v>
      </c>
      <c r="F486" s="1">
        <v>53093.919999999998</v>
      </c>
      <c r="G486">
        <v>0</v>
      </c>
      <c r="H486">
        <v>0</v>
      </c>
      <c r="I486" s="79" t="s">
        <v>2</v>
      </c>
    </row>
    <row r="487" spans="1:9" x14ac:dyDescent="0.25">
      <c r="A487">
        <v>532</v>
      </c>
      <c r="B487">
        <v>1841000</v>
      </c>
      <c r="C487">
        <v>0</v>
      </c>
      <c r="D487">
        <v>234</v>
      </c>
      <c r="E487" s="1">
        <v>3420.5</v>
      </c>
      <c r="F487">
        <v>0</v>
      </c>
      <c r="G487" s="1">
        <v>4000</v>
      </c>
      <c r="H487">
        <v>0</v>
      </c>
      <c r="I487" s="79" t="s">
        <v>2</v>
      </c>
    </row>
    <row r="488" spans="1:9" x14ac:dyDescent="0.25">
      <c r="A488">
        <v>532</v>
      </c>
      <c r="B488">
        <v>1913000</v>
      </c>
      <c r="C488">
        <v>0</v>
      </c>
      <c r="D488" s="1">
        <v>18414.900000000001</v>
      </c>
      <c r="E488">
        <v>0</v>
      </c>
      <c r="F488" s="1">
        <v>100177.37</v>
      </c>
      <c r="G488" s="1">
        <v>3568000</v>
      </c>
      <c r="H488" s="1">
        <v>3473803.69</v>
      </c>
      <c r="I488" s="79" t="s">
        <v>2</v>
      </c>
    </row>
    <row r="489" spans="1:9" x14ac:dyDescent="0.25">
      <c r="A489">
        <v>532</v>
      </c>
      <c r="B489">
        <v>1943000</v>
      </c>
      <c r="C489">
        <v>0</v>
      </c>
      <c r="D489" s="1">
        <v>4971</v>
      </c>
      <c r="E489" s="1">
        <v>1000</v>
      </c>
      <c r="F489">
        <v>0</v>
      </c>
      <c r="G489" s="1">
        <v>1000</v>
      </c>
      <c r="H489">
        <v>0</v>
      </c>
      <c r="I489" s="79">
        <f>SUM(D466:D489)/1000</f>
        <v>956.35120000000006</v>
      </c>
    </row>
    <row r="490" spans="1:9" x14ac:dyDescent="0.25">
      <c r="A490">
        <v>533</v>
      </c>
      <c r="B490">
        <v>1611000</v>
      </c>
      <c r="C490">
        <v>0</v>
      </c>
      <c r="D490" s="1">
        <v>11237</v>
      </c>
      <c r="E490" s="1">
        <v>351105.79</v>
      </c>
      <c r="F490">
        <v>0</v>
      </c>
      <c r="G490" s="1">
        <v>1596000</v>
      </c>
      <c r="H490" s="1">
        <v>1735794.82</v>
      </c>
      <c r="I490" s="79" t="s">
        <v>2</v>
      </c>
    </row>
    <row r="491" spans="1:9" x14ac:dyDescent="0.25">
      <c r="A491">
        <v>533</v>
      </c>
      <c r="B491">
        <v>1613000</v>
      </c>
      <c r="C491">
        <v>0</v>
      </c>
      <c r="D491">
        <v>227</v>
      </c>
      <c r="E491" s="1">
        <v>86778.32</v>
      </c>
      <c r="F491">
        <v>0</v>
      </c>
      <c r="G491" s="1">
        <v>2975000</v>
      </c>
      <c r="H491" s="1">
        <v>3111307.96</v>
      </c>
      <c r="I491" s="79" t="s">
        <v>2</v>
      </c>
    </row>
    <row r="492" spans="1:9" x14ac:dyDescent="0.25">
      <c r="A492">
        <v>533</v>
      </c>
      <c r="B492">
        <v>1711000</v>
      </c>
      <c r="C492">
        <v>0</v>
      </c>
      <c r="D492" s="1">
        <v>77481</v>
      </c>
      <c r="E492">
        <v>0</v>
      </c>
      <c r="F492" s="1">
        <v>67956</v>
      </c>
      <c r="G492">
        <v>0</v>
      </c>
      <c r="H492" s="1">
        <v>93526.51</v>
      </c>
      <c r="I492" s="79" t="s">
        <v>2</v>
      </c>
    </row>
    <row r="493" spans="1:9" x14ac:dyDescent="0.25">
      <c r="A493">
        <v>533</v>
      </c>
      <c r="B493">
        <v>1712200</v>
      </c>
      <c r="C493">
        <v>0</v>
      </c>
      <c r="D493" s="1">
        <v>36593</v>
      </c>
      <c r="E493" s="1">
        <v>4740.92</v>
      </c>
      <c r="F493">
        <v>0</v>
      </c>
      <c r="G493" s="1">
        <v>52000</v>
      </c>
      <c r="H493">
        <v>0</v>
      </c>
      <c r="I493" s="79" t="s">
        <v>2</v>
      </c>
    </row>
    <row r="494" spans="1:9" x14ac:dyDescent="0.25">
      <c r="A494">
        <v>533</v>
      </c>
      <c r="B494">
        <v>1712300</v>
      </c>
      <c r="C494">
        <v>0</v>
      </c>
      <c r="D494" s="1">
        <v>58916</v>
      </c>
      <c r="E494" s="1">
        <v>4801.3</v>
      </c>
      <c r="F494">
        <v>0</v>
      </c>
      <c r="G494" s="1">
        <v>60000</v>
      </c>
      <c r="H494">
        <v>0</v>
      </c>
      <c r="I494" s="79" t="s">
        <v>2</v>
      </c>
    </row>
    <row r="495" spans="1:9" x14ac:dyDescent="0.25">
      <c r="A495">
        <v>533</v>
      </c>
      <c r="B495">
        <v>1721000</v>
      </c>
      <c r="C495">
        <v>0</v>
      </c>
      <c r="D495">
        <v>-246</v>
      </c>
      <c r="E495" s="1">
        <v>1396.36</v>
      </c>
      <c r="F495">
        <v>0</v>
      </c>
      <c r="G495" s="1">
        <v>10000</v>
      </c>
      <c r="H495">
        <v>0</v>
      </c>
      <c r="I495" s="79" t="s">
        <v>2</v>
      </c>
    </row>
    <row r="496" spans="1:9" x14ac:dyDescent="0.25">
      <c r="A496">
        <v>533</v>
      </c>
      <c r="B496">
        <v>1746000</v>
      </c>
      <c r="C496">
        <v>0</v>
      </c>
      <c r="D496" s="1">
        <v>12050</v>
      </c>
      <c r="E496" s="1">
        <v>2964.66</v>
      </c>
      <c r="F496">
        <v>0</v>
      </c>
      <c r="G496" s="1">
        <v>21000</v>
      </c>
      <c r="H496">
        <v>0</v>
      </c>
      <c r="I496" s="79" t="s">
        <v>2</v>
      </c>
    </row>
    <row r="497" spans="1:9" x14ac:dyDescent="0.25">
      <c r="A497">
        <v>533</v>
      </c>
      <c r="B497">
        <v>1817910</v>
      </c>
      <c r="C497">
        <v>0</v>
      </c>
      <c r="D497" s="1">
        <v>8383</v>
      </c>
      <c r="E497" s="1">
        <v>1720.5</v>
      </c>
      <c r="F497">
        <v>0</v>
      </c>
      <c r="G497" s="1">
        <v>41000</v>
      </c>
      <c r="H497">
        <v>0</v>
      </c>
      <c r="I497" s="79" t="s">
        <v>2</v>
      </c>
    </row>
    <row r="498" spans="1:9" x14ac:dyDescent="0.25">
      <c r="A498">
        <v>533</v>
      </c>
      <c r="B498">
        <v>1822200</v>
      </c>
      <c r="C498">
        <v>0</v>
      </c>
      <c r="D498">
        <v>68</v>
      </c>
      <c r="E498">
        <v>0</v>
      </c>
      <c r="F498">
        <v>348.92</v>
      </c>
      <c r="G498" s="1">
        <v>8000</v>
      </c>
      <c r="H498">
        <v>0</v>
      </c>
      <c r="I498" s="79" t="s">
        <v>2</v>
      </c>
    </row>
    <row r="499" spans="1:9" x14ac:dyDescent="0.25">
      <c r="A499">
        <v>533</v>
      </c>
      <c r="B499">
        <v>1828000</v>
      </c>
      <c r="C499">
        <v>0</v>
      </c>
      <c r="D499">
        <v>136</v>
      </c>
      <c r="E499">
        <v>662.69</v>
      </c>
      <c r="F499">
        <v>0</v>
      </c>
      <c r="G499" s="1">
        <v>14000</v>
      </c>
      <c r="H499">
        <v>0</v>
      </c>
      <c r="I499" s="79" t="s">
        <v>2</v>
      </c>
    </row>
    <row r="500" spans="1:9" x14ac:dyDescent="0.25">
      <c r="A500">
        <v>533</v>
      </c>
      <c r="B500">
        <v>1841000</v>
      </c>
      <c r="C500">
        <v>0</v>
      </c>
      <c r="D500" s="1">
        <v>1036</v>
      </c>
      <c r="E500" s="1">
        <v>1000</v>
      </c>
      <c r="F500">
        <v>0</v>
      </c>
      <c r="G500" s="1">
        <v>1000</v>
      </c>
      <c r="H500">
        <v>0</v>
      </c>
      <c r="I500" s="79" t="s">
        <v>2</v>
      </c>
    </row>
    <row r="501" spans="1:9" x14ac:dyDescent="0.25">
      <c r="A501">
        <v>533</v>
      </c>
      <c r="B501">
        <v>1913000</v>
      </c>
      <c r="C501">
        <v>0</v>
      </c>
      <c r="D501" s="1">
        <v>2023</v>
      </c>
      <c r="E501" s="1">
        <v>2135.11</v>
      </c>
      <c r="F501">
        <v>0</v>
      </c>
      <c r="G501" s="1">
        <v>11000</v>
      </c>
      <c r="H501">
        <v>0</v>
      </c>
      <c r="I501" s="79" t="s">
        <v>2</v>
      </c>
    </row>
    <row r="502" spans="1:9" x14ac:dyDescent="0.25">
      <c r="A502">
        <v>533</v>
      </c>
      <c r="B502">
        <v>1943000</v>
      </c>
      <c r="C502">
        <v>0</v>
      </c>
      <c r="D502" s="1">
        <v>4519</v>
      </c>
      <c r="E502">
        <v>459.5</v>
      </c>
      <c r="F502">
        <v>0</v>
      </c>
      <c r="G502" s="1">
        <v>5000</v>
      </c>
      <c r="H502">
        <v>0</v>
      </c>
      <c r="I502" s="79">
        <f>SUM(D490:D502)/1000</f>
        <v>212.423</v>
      </c>
    </row>
    <row r="503" spans="1:9" x14ac:dyDescent="0.25">
      <c r="A503">
        <v>534</v>
      </c>
      <c r="B503">
        <v>1611000</v>
      </c>
      <c r="C503">
        <v>0</v>
      </c>
      <c r="D503" s="1">
        <v>227091</v>
      </c>
      <c r="E503">
        <v>575</v>
      </c>
      <c r="F503">
        <v>0</v>
      </c>
      <c r="G503" s="1">
        <v>55000</v>
      </c>
      <c r="H503">
        <v>0</v>
      </c>
      <c r="I503" s="79" t="s">
        <v>2</v>
      </c>
    </row>
    <row r="504" spans="1:9" x14ac:dyDescent="0.25">
      <c r="A504">
        <v>534</v>
      </c>
      <c r="B504">
        <v>1612000</v>
      </c>
      <c r="C504">
        <v>0</v>
      </c>
      <c r="D504" s="1">
        <v>48169.35</v>
      </c>
      <c r="E504">
        <v>0</v>
      </c>
      <c r="F504" s="1">
        <v>132338.76</v>
      </c>
      <c r="G504" s="1">
        <v>4956000</v>
      </c>
      <c r="H504" s="1">
        <v>4346489.71</v>
      </c>
      <c r="I504" s="79" t="s">
        <v>2</v>
      </c>
    </row>
    <row r="505" spans="1:9" x14ac:dyDescent="0.25">
      <c r="A505">
        <v>534</v>
      </c>
      <c r="B505">
        <v>1613000</v>
      </c>
      <c r="C505">
        <v>0</v>
      </c>
      <c r="D505" s="1">
        <v>94066.34</v>
      </c>
      <c r="E505">
        <v>0</v>
      </c>
      <c r="F505" s="1">
        <v>2224</v>
      </c>
      <c r="G505">
        <v>0</v>
      </c>
      <c r="H505" s="1">
        <v>14843</v>
      </c>
      <c r="I505" s="79" t="s">
        <v>2</v>
      </c>
    </row>
    <row r="506" spans="1:9" x14ac:dyDescent="0.25">
      <c r="A506">
        <v>534</v>
      </c>
      <c r="B506">
        <v>1617000</v>
      </c>
      <c r="C506">
        <v>0</v>
      </c>
      <c r="D506" s="1">
        <v>56539.02</v>
      </c>
      <c r="E506">
        <v>425.21</v>
      </c>
      <c r="F506">
        <v>0</v>
      </c>
      <c r="G506" s="1">
        <v>260000</v>
      </c>
      <c r="H506" s="1">
        <v>349207.47</v>
      </c>
      <c r="I506" s="79" t="s">
        <v>2</v>
      </c>
    </row>
    <row r="507" spans="1:9" x14ac:dyDescent="0.25">
      <c r="A507">
        <v>534</v>
      </c>
      <c r="B507">
        <v>1621000</v>
      </c>
      <c r="C507">
        <v>0</v>
      </c>
      <c r="D507" s="1">
        <v>47945.81</v>
      </c>
      <c r="E507" s="1">
        <v>4200</v>
      </c>
      <c r="F507">
        <v>0</v>
      </c>
      <c r="G507" s="1">
        <v>24000</v>
      </c>
      <c r="H507">
        <v>0</v>
      </c>
      <c r="I507" s="79" t="s">
        <v>2</v>
      </c>
    </row>
    <row r="508" spans="1:9" x14ac:dyDescent="0.25">
      <c r="A508">
        <v>534</v>
      </c>
      <c r="B508">
        <v>1711000</v>
      </c>
      <c r="C508">
        <v>0</v>
      </c>
      <c r="D508" s="1">
        <v>585710.12</v>
      </c>
      <c r="E508">
        <v>452.59</v>
      </c>
      <c r="F508">
        <v>0</v>
      </c>
      <c r="G508" s="1">
        <v>175000</v>
      </c>
      <c r="H508" s="1">
        <v>167330.29</v>
      </c>
      <c r="I508" s="79" t="s">
        <v>2</v>
      </c>
    </row>
    <row r="509" spans="1:9" x14ac:dyDescent="0.25">
      <c r="A509">
        <v>534</v>
      </c>
      <c r="B509">
        <v>1712200</v>
      </c>
      <c r="C509">
        <v>0</v>
      </c>
      <c r="D509" s="1">
        <v>36644.800000000003</v>
      </c>
      <c r="E509" s="1">
        <v>3309.19</v>
      </c>
      <c r="F509">
        <v>0</v>
      </c>
      <c r="G509" s="1">
        <v>35000</v>
      </c>
      <c r="H509">
        <v>0</v>
      </c>
      <c r="I509" s="79" t="s">
        <v>2</v>
      </c>
    </row>
    <row r="510" spans="1:9" x14ac:dyDescent="0.25">
      <c r="A510">
        <v>534</v>
      </c>
      <c r="B510">
        <v>1721000</v>
      </c>
      <c r="C510">
        <v>0</v>
      </c>
      <c r="D510" s="1">
        <v>159635.04999999999</v>
      </c>
      <c r="E510" s="1">
        <v>3168221.73</v>
      </c>
      <c r="F510">
        <v>0</v>
      </c>
      <c r="G510" s="1">
        <v>8551000</v>
      </c>
      <c r="H510" s="1">
        <v>2746532.48</v>
      </c>
      <c r="I510" s="79" t="s">
        <v>2</v>
      </c>
    </row>
    <row r="511" spans="1:9" x14ac:dyDescent="0.25">
      <c r="A511">
        <v>534</v>
      </c>
      <c r="B511">
        <v>1733000</v>
      </c>
      <c r="C511">
        <v>0</v>
      </c>
      <c r="D511" s="1">
        <v>24528.63</v>
      </c>
      <c r="E511">
        <v>0</v>
      </c>
      <c r="F511" s="1">
        <v>7136151.4800000004</v>
      </c>
      <c r="G511">
        <v>0</v>
      </c>
      <c r="H511" s="1">
        <v>7543196.8200000003</v>
      </c>
      <c r="I511" s="79" t="s">
        <v>2</v>
      </c>
    </row>
    <row r="512" spans="1:9" x14ac:dyDescent="0.25">
      <c r="A512">
        <v>534</v>
      </c>
      <c r="B512">
        <v>1741000</v>
      </c>
      <c r="C512">
        <v>0</v>
      </c>
      <c r="D512" s="1">
        <v>55052.29</v>
      </c>
      <c r="E512" s="1">
        <v>5402.1</v>
      </c>
      <c r="F512">
        <v>0</v>
      </c>
      <c r="G512" s="1">
        <v>60000</v>
      </c>
      <c r="H512">
        <v>0</v>
      </c>
      <c r="I512" s="79" t="s">
        <v>2</v>
      </c>
    </row>
    <row r="513" spans="1:9" x14ac:dyDescent="0.25">
      <c r="A513">
        <v>534</v>
      </c>
      <c r="B513">
        <v>1746000</v>
      </c>
      <c r="C513">
        <v>0</v>
      </c>
      <c r="D513" s="1">
        <v>158757.45000000001</v>
      </c>
      <c r="E513" s="1">
        <v>54991.1</v>
      </c>
      <c r="F513">
        <v>0</v>
      </c>
      <c r="G513" s="1">
        <v>144000</v>
      </c>
      <c r="H513">
        <v>0</v>
      </c>
      <c r="I513" s="79" t="s">
        <v>2</v>
      </c>
    </row>
    <row r="514" spans="1:9" x14ac:dyDescent="0.25">
      <c r="A514">
        <v>534</v>
      </c>
      <c r="B514">
        <v>1811000</v>
      </c>
      <c r="C514">
        <v>0</v>
      </c>
      <c r="D514" s="1">
        <v>138221.79</v>
      </c>
      <c r="E514" s="1">
        <v>9902</v>
      </c>
      <c r="F514">
        <v>0</v>
      </c>
      <c r="G514" s="1">
        <v>20000</v>
      </c>
      <c r="H514">
        <v>0</v>
      </c>
      <c r="I514" s="79" t="s">
        <v>2</v>
      </c>
    </row>
    <row r="515" spans="1:9" x14ac:dyDescent="0.25">
      <c r="A515">
        <v>534</v>
      </c>
      <c r="B515">
        <v>1817910</v>
      </c>
      <c r="C515">
        <v>0</v>
      </c>
      <c r="D515" s="1">
        <v>59495.47</v>
      </c>
      <c r="E515" s="1">
        <v>302079.46999999997</v>
      </c>
      <c r="F515">
        <v>0</v>
      </c>
      <c r="G515" s="1">
        <v>1004000</v>
      </c>
      <c r="H515" s="1">
        <v>637988.29</v>
      </c>
      <c r="I515" s="79" t="s">
        <v>2</v>
      </c>
    </row>
    <row r="516" spans="1:9" x14ac:dyDescent="0.25">
      <c r="A516">
        <v>534</v>
      </c>
      <c r="B516">
        <v>1821000</v>
      </c>
      <c r="C516">
        <v>0</v>
      </c>
      <c r="D516" s="1">
        <v>32025.8</v>
      </c>
      <c r="E516">
        <v>0</v>
      </c>
      <c r="F516" s="1">
        <v>119360.77</v>
      </c>
      <c r="G516" s="1">
        <v>1016000</v>
      </c>
      <c r="H516" s="1">
        <v>1890885.01</v>
      </c>
      <c r="I516" s="79" t="s">
        <v>2</v>
      </c>
    </row>
    <row r="517" spans="1:9" x14ac:dyDescent="0.25">
      <c r="A517">
        <v>534</v>
      </c>
      <c r="B517">
        <v>1822200</v>
      </c>
      <c r="C517">
        <v>0</v>
      </c>
      <c r="D517" s="1">
        <v>-9895.42</v>
      </c>
      <c r="E517" s="1">
        <v>31033.1</v>
      </c>
      <c r="F517">
        <v>0</v>
      </c>
      <c r="G517" s="1">
        <v>200000</v>
      </c>
      <c r="H517" s="1">
        <v>246939.9</v>
      </c>
      <c r="I517" s="79" t="s">
        <v>2</v>
      </c>
    </row>
    <row r="518" spans="1:9" x14ac:dyDescent="0.25">
      <c r="A518">
        <v>534</v>
      </c>
      <c r="B518">
        <v>1913000</v>
      </c>
      <c r="C518">
        <v>0</v>
      </c>
      <c r="D518" s="1">
        <v>49280.69</v>
      </c>
      <c r="E518">
        <v>0</v>
      </c>
      <c r="F518">
        <v>0</v>
      </c>
      <c r="G518">
        <v>0</v>
      </c>
      <c r="H518" s="1">
        <v>6734</v>
      </c>
      <c r="I518" s="79">
        <f>SUM(D503:D518)/1000</f>
        <v>1763.26819</v>
      </c>
    </row>
    <row r="519" spans="1:9" x14ac:dyDescent="0.25">
      <c r="A519">
        <v>540</v>
      </c>
      <c r="B519">
        <v>1613000</v>
      </c>
      <c r="C519">
        <v>0</v>
      </c>
      <c r="D519" s="1">
        <v>1153633.25</v>
      </c>
      <c r="E519">
        <v>481</v>
      </c>
      <c r="F519">
        <v>0</v>
      </c>
      <c r="G519" s="1">
        <v>4000</v>
      </c>
      <c r="H519">
        <v>0</v>
      </c>
      <c r="I519" s="79">
        <f>D519/1000</f>
        <v>1153.6332500000001</v>
      </c>
    </row>
    <row r="520" spans="1:9" x14ac:dyDescent="0.25">
      <c r="A520">
        <v>550</v>
      </c>
      <c r="B520">
        <v>1611000</v>
      </c>
      <c r="C520">
        <v>0</v>
      </c>
      <c r="D520" s="1">
        <v>15727</v>
      </c>
      <c r="E520" s="1">
        <v>1738</v>
      </c>
      <c r="F520">
        <v>0</v>
      </c>
      <c r="G520" s="1">
        <v>4000</v>
      </c>
      <c r="H520">
        <v>0</v>
      </c>
      <c r="I520" s="79" t="s">
        <v>2</v>
      </c>
    </row>
    <row r="521" spans="1:9" x14ac:dyDescent="0.25">
      <c r="A521">
        <v>550</v>
      </c>
      <c r="B521">
        <v>1613000</v>
      </c>
      <c r="C521">
        <v>0</v>
      </c>
      <c r="D521" s="1">
        <v>201942</v>
      </c>
      <c r="E521" s="1">
        <v>25240.47</v>
      </c>
      <c r="F521">
        <v>0</v>
      </c>
      <c r="G521" s="1">
        <v>684000</v>
      </c>
      <c r="H521" s="1">
        <v>881423.08</v>
      </c>
      <c r="I521" s="79" t="s">
        <v>2</v>
      </c>
    </row>
    <row r="522" spans="1:9" x14ac:dyDescent="0.25">
      <c r="A522">
        <v>550</v>
      </c>
      <c r="B522">
        <v>1613200</v>
      </c>
      <c r="C522">
        <v>0</v>
      </c>
      <c r="D522" s="1">
        <v>11899</v>
      </c>
      <c r="E522">
        <v>563.96</v>
      </c>
      <c r="F522">
        <v>0</v>
      </c>
      <c r="G522" s="1">
        <v>1000</v>
      </c>
      <c r="H522">
        <v>0</v>
      </c>
      <c r="I522" s="79" t="s">
        <v>2</v>
      </c>
    </row>
    <row r="523" spans="1:9" x14ac:dyDescent="0.25">
      <c r="A523">
        <v>550</v>
      </c>
      <c r="B523">
        <v>1729999</v>
      </c>
      <c r="C523">
        <v>0</v>
      </c>
      <c r="D523" s="1">
        <v>74676.98</v>
      </c>
      <c r="E523">
        <v>481</v>
      </c>
      <c r="F523">
        <v>0</v>
      </c>
      <c r="G523" s="1">
        <v>4000</v>
      </c>
      <c r="H523">
        <v>0</v>
      </c>
      <c r="I523" s="79">
        <f>SUM(D520:D523)/1000</f>
        <v>304.24498</v>
      </c>
    </row>
    <row r="524" spans="1:9" x14ac:dyDescent="0.25">
      <c r="A524">
        <v>570</v>
      </c>
      <c r="B524">
        <v>1621300</v>
      </c>
      <c r="C524">
        <v>0</v>
      </c>
      <c r="D524" s="1">
        <v>88201.52</v>
      </c>
      <c r="E524">
        <v>500</v>
      </c>
      <c r="F524">
        <v>0</v>
      </c>
      <c r="G524" s="1">
        <v>2000</v>
      </c>
      <c r="H524">
        <v>0</v>
      </c>
      <c r="I524" s="79" t="s">
        <v>2</v>
      </c>
    </row>
    <row r="525" spans="1:9" x14ac:dyDescent="0.25">
      <c r="A525">
        <v>570</v>
      </c>
      <c r="B525">
        <v>1623000</v>
      </c>
      <c r="C525">
        <v>0</v>
      </c>
      <c r="D525" s="1">
        <v>1123415.1599999999</v>
      </c>
      <c r="E525">
        <v>346.16</v>
      </c>
      <c r="F525">
        <v>0</v>
      </c>
      <c r="G525" s="1">
        <v>1000</v>
      </c>
      <c r="H525">
        <v>0</v>
      </c>
      <c r="I525" s="79">
        <f>SUM(D524:D525)/1000</f>
        <v>1211.6166799999999</v>
      </c>
    </row>
    <row r="526" spans="1:9" x14ac:dyDescent="0.25">
      <c r="A526">
        <v>581</v>
      </c>
      <c r="B526">
        <v>1617000</v>
      </c>
      <c r="C526">
        <v>0</v>
      </c>
      <c r="D526">
        <v>150</v>
      </c>
      <c r="E526">
        <v>605.6</v>
      </c>
      <c r="F526">
        <v>0</v>
      </c>
      <c r="G526" s="1">
        <v>1000</v>
      </c>
      <c r="H526">
        <v>0</v>
      </c>
      <c r="I526" s="79" t="s">
        <v>2</v>
      </c>
    </row>
    <row r="527" spans="1:9" x14ac:dyDescent="0.25">
      <c r="A527">
        <v>610</v>
      </c>
      <c r="B527">
        <v>1631000</v>
      </c>
      <c r="C527">
        <v>0</v>
      </c>
      <c r="D527" s="1">
        <v>878416.15</v>
      </c>
      <c r="E527">
        <v>566</v>
      </c>
      <c r="F527">
        <v>0</v>
      </c>
      <c r="G527" s="1">
        <v>1000</v>
      </c>
      <c r="H527">
        <v>0</v>
      </c>
      <c r="I527" s="79" t="s">
        <v>2</v>
      </c>
    </row>
    <row r="528" spans="1:9" x14ac:dyDescent="0.25">
      <c r="A528">
        <v>610</v>
      </c>
      <c r="B528">
        <v>1631200</v>
      </c>
      <c r="C528">
        <v>0</v>
      </c>
      <c r="D528" s="1">
        <v>379911.86</v>
      </c>
      <c r="E528">
        <v>0</v>
      </c>
      <c r="F528">
        <v>0</v>
      </c>
      <c r="G528">
        <v>0</v>
      </c>
      <c r="H528" s="1">
        <v>6388</v>
      </c>
      <c r="I528" s="79">
        <f>SUM(D527:D528)/1000</f>
        <v>1258.3280099999999</v>
      </c>
    </row>
    <row r="529" spans="1:9" x14ac:dyDescent="0.25">
      <c r="A529">
        <v>690</v>
      </c>
      <c r="B529">
        <v>1933000</v>
      </c>
      <c r="C529">
        <v>0</v>
      </c>
      <c r="D529">
        <v>296</v>
      </c>
      <c r="E529" s="1">
        <v>442511.83</v>
      </c>
      <c r="F529">
        <v>0</v>
      </c>
      <c r="G529" s="1">
        <v>1427000</v>
      </c>
      <c r="H529" s="1">
        <v>2126143.06</v>
      </c>
      <c r="I529" s="79" t="s">
        <v>2</v>
      </c>
    </row>
    <row r="530" spans="1:9" x14ac:dyDescent="0.25">
      <c r="A530">
        <v>691</v>
      </c>
      <c r="B530">
        <v>1648000</v>
      </c>
      <c r="C530">
        <v>0</v>
      </c>
      <c r="D530" s="1">
        <v>4394369.8499999996</v>
      </c>
      <c r="E530">
        <v>0</v>
      </c>
      <c r="F530" s="1">
        <v>4851.8900000000003</v>
      </c>
      <c r="G530">
        <v>0</v>
      </c>
      <c r="H530" s="1">
        <v>9000.75</v>
      </c>
      <c r="I530" s="79" t="s">
        <v>2</v>
      </c>
    </row>
    <row r="531" spans="1:9" x14ac:dyDescent="0.25">
      <c r="A531">
        <v>691</v>
      </c>
      <c r="B531">
        <v>1649100</v>
      </c>
      <c r="C531">
        <v>0</v>
      </c>
      <c r="D531" s="1">
        <v>2754795.17</v>
      </c>
      <c r="E531">
        <v>0</v>
      </c>
      <c r="F531" s="1">
        <v>68248.14</v>
      </c>
      <c r="G531">
        <v>0</v>
      </c>
      <c r="H531">
        <v>0</v>
      </c>
      <c r="I531" s="79" t="s">
        <v>2</v>
      </c>
    </row>
    <row r="532" spans="1:9" x14ac:dyDescent="0.25">
      <c r="A532">
        <v>692</v>
      </c>
      <c r="B532">
        <v>1648000</v>
      </c>
      <c r="C532">
        <v>0</v>
      </c>
      <c r="D532" s="1">
        <v>757409.65</v>
      </c>
      <c r="E532">
        <v>0</v>
      </c>
      <c r="F532" s="1">
        <v>69508.7</v>
      </c>
      <c r="G532">
        <v>0</v>
      </c>
      <c r="H532" s="1">
        <v>8014.83</v>
      </c>
      <c r="I532" s="79" t="s">
        <v>2</v>
      </c>
    </row>
    <row r="533" spans="1:9" x14ac:dyDescent="0.25">
      <c r="A533">
        <v>692</v>
      </c>
      <c r="B533">
        <v>1649100</v>
      </c>
      <c r="C533">
        <v>0</v>
      </c>
      <c r="D533" s="1">
        <v>503274.53</v>
      </c>
      <c r="E533" s="1">
        <v>26798.47</v>
      </c>
      <c r="F533">
        <v>0</v>
      </c>
      <c r="G533" s="1">
        <v>748000</v>
      </c>
      <c r="H533" s="1">
        <v>749038.48</v>
      </c>
      <c r="I533" s="79" t="s">
        <v>2</v>
      </c>
    </row>
    <row r="534" spans="1:9" x14ac:dyDescent="0.25">
      <c r="A534">
        <v>693</v>
      </c>
      <c r="B534">
        <v>1648000</v>
      </c>
      <c r="C534">
        <v>0</v>
      </c>
      <c r="D534" s="1">
        <v>202814.24</v>
      </c>
      <c r="E534" s="1">
        <v>77160.710000000006</v>
      </c>
      <c r="F534">
        <v>0</v>
      </c>
      <c r="G534" s="1">
        <v>2167000</v>
      </c>
      <c r="H534" s="1">
        <v>1940727.76</v>
      </c>
      <c r="I534" s="79" t="s">
        <v>2</v>
      </c>
    </row>
    <row r="535" spans="1:9" x14ac:dyDescent="0.25">
      <c r="A535">
        <v>693</v>
      </c>
      <c r="B535">
        <v>1649100</v>
      </c>
      <c r="C535">
        <v>0</v>
      </c>
      <c r="D535" s="1">
        <v>11348.58</v>
      </c>
      <c r="E535">
        <v>0</v>
      </c>
      <c r="F535" s="1">
        <v>8186.17</v>
      </c>
      <c r="G535">
        <v>0</v>
      </c>
      <c r="H535">
        <v>0</v>
      </c>
      <c r="I535" s="79">
        <f>SUM(D529:D535)/1000</f>
        <v>8624.3080200000004</v>
      </c>
    </row>
    <row r="536" spans="1:9" x14ac:dyDescent="0.25">
      <c r="A536">
        <v>710</v>
      </c>
      <c r="B536">
        <v>1817800</v>
      </c>
      <c r="C536">
        <v>0</v>
      </c>
      <c r="D536" s="1">
        <v>5835806.1399999997</v>
      </c>
      <c r="E536" s="1">
        <v>177512.53</v>
      </c>
      <c r="F536">
        <v>0</v>
      </c>
      <c r="G536" s="1">
        <v>1801000</v>
      </c>
      <c r="H536" s="1">
        <v>1719104.58</v>
      </c>
      <c r="I536" s="79">
        <f>D536/1000</f>
        <v>5835.8061399999997</v>
      </c>
    </row>
    <row r="537" spans="1:9" x14ac:dyDescent="0.25">
      <c r="A537">
        <v>720</v>
      </c>
      <c r="B537">
        <v>1746000</v>
      </c>
      <c r="C537">
        <v>0</v>
      </c>
      <c r="D537" s="1">
        <v>3326515.69</v>
      </c>
      <c r="E537">
        <v>0</v>
      </c>
      <c r="F537" s="1">
        <v>35114.93</v>
      </c>
      <c r="G537">
        <v>0</v>
      </c>
      <c r="H537" s="1">
        <v>54341</v>
      </c>
      <c r="I537" s="79">
        <f>D537/1000</f>
        <v>3326.5156899999997</v>
      </c>
    </row>
    <row r="538" spans="1:9" x14ac:dyDescent="0.25">
      <c r="A538">
        <v>732</v>
      </c>
      <c r="B538">
        <v>1712300</v>
      </c>
      <c r="C538">
        <v>0</v>
      </c>
      <c r="D538">
        <v>40.950000000000003</v>
      </c>
      <c r="E538" s="1">
        <v>1256337.6000000001</v>
      </c>
      <c r="F538">
        <v>0</v>
      </c>
      <c r="G538" s="1">
        <v>3551000</v>
      </c>
      <c r="H538" s="1">
        <v>2271931.4</v>
      </c>
      <c r="I538" s="79" t="s">
        <v>2</v>
      </c>
    </row>
    <row r="539" spans="1:9" x14ac:dyDescent="0.25">
      <c r="A539">
        <v>750</v>
      </c>
      <c r="B539">
        <v>1613000</v>
      </c>
      <c r="C539">
        <v>0</v>
      </c>
      <c r="D539" s="1">
        <v>86076.5</v>
      </c>
      <c r="E539">
        <v>0</v>
      </c>
      <c r="F539">
        <v>0</v>
      </c>
      <c r="G539">
        <v>0</v>
      </c>
      <c r="H539" s="1">
        <v>7035</v>
      </c>
      <c r="I539" s="79" t="s">
        <v>2</v>
      </c>
    </row>
    <row r="540" spans="1:9" x14ac:dyDescent="0.25">
      <c r="A540">
        <v>750</v>
      </c>
      <c r="B540">
        <v>1621000</v>
      </c>
      <c r="C540">
        <v>0</v>
      </c>
      <c r="D540" s="1">
        <v>152986</v>
      </c>
      <c r="E540" s="1">
        <v>358132.79</v>
      </c>
      <c r="F540">
        <v>0</v>
      </c>
      <c r="G540" s="1">
        <v>931000</v>
      </c>
      <c r="H540" s="1">
        <v>1083642.75</v>
      </c>
      <c r="I540" s="79" t="s">
        <v>2</v>
      </c>
    </row>
    <row r="541" spans="1:9" x14ac:dyDescent="0.25">
      <c r="A541">
        <v>750</v>
      </c>
      <c r="B541">
        <v>1623000</v>
      </c>
      <c r="C541">
        <v>0</v>
      </c>
      <c r="D541" s="1">
        <v>863609.7</v>
      </c>
      <c r="E541">
        <v>0</v>
      </c>
      <c r="F541">
        <v>0</v>
      </c>
      <c r="G541">
        <v>0</v>
      </c>
      <c r="H541" s="1">
        <v>7034.38</v>
      </c>
      <c r="I541" s="79" t="s">
        <v>2</v>
      </c>
    </row>
    <row r="542" spans="1:9" x14ac:dyDescent="0.25">
      <c r="A542">
        <v>750</v>
      </c>
      <c r="B542">
        <v>1623100</v>
      </c>
      <c r="C542">
        <v>0</v>
      </c>
      <c r="D542" s="1">
        <v>16763.88</v>
      </c>
      <c r="E542" s="1">
        <v>24468.080000000002</v>
      </c>
      <c r="F542">
        <v>0</v>
      </c>
      <c r="G542">
        <v>0</v>
      </c>
      <c r="H542" s="1">
        <v>414467.57</v>
      </c>
      <c r="I542" s="79" t="s">
        <v>2</v>
      </c>
    </row>
    <row r="543" spans="1:9" x14ac:dyDescent="0.25">
      <c r="A543">
        <v>750</v>
      </c>
      <c r="B543">
        <v>1623200</v>
      </c>
      <c r="C543">
        <v>0</v>
      </c>
      <c r="D543" s="1">
        <v>10267.32</v>
      </c>
      <c r="E543">
        <v>0</v>
      </c>
      <c r="F543" s="1">
        <v>58022.17</v>
      </c>
      <c r="G543">
        <v>0</v>
      </c>
      <c r="H543">
        <v>524</v>
      </c>
      <c r="I543" s="79" t="s">
        <v>2</v>
      </c>
    </row>
    <row r="544" spans="1:9" x14ac:dyDescent="0.25">
      <c r="A544">
        <v>750</v>
      </c>
      <c r="B544">
        <v>1623300</v>
      </c>
      <c r="C544">
        <v>0</v>
      </c>
      <c r="D544" s="1">
        <v>6161.46</v>
      </c>
      <c r="E544">
        <v>0</v>
      </c>
      <c r="F544" s="1">
        <v>10859.16</v>
      </c>
      <c r="G544" s="1">
        <v>960000</v>
      </c>
      <c r="H544">
        <v>0</v>
      </c>
      <c r="I544" s="79" t="s">
        <v>2</v>
      </c>
    </row>
    <row r="545" spans="1:9" x14ac:dyDescent="0.25">
      <c r="A545">
        <v>750</v>
      </c>
      <c r="B545">
        <v>1623500</v>
      </c>
      <c r="C545">
        <v>0</v>
      </c>
      <c r="D545">
        <v>647</v>
      </c>
      <c r="E545">
        <v>700</v>
      </c>
      <c r="F545">
        <v>0</v>
      </c>
      <c r="G545" s="1">
        <v>5000</v>
      </c>
      <c r="H545">
        <v>0</v>
      </c>
      <c r="I545" s="79" t="s">
        <v>2</v>
      </c>
    </row>
    <row r="546" spans="1:9" x14ac:dyDescent="0.25">
      <c r="A546">
        <v>750</v>
      </c>
      <c r="B546">
        <v>1712200</v>
      </c>
      <c r="C546">
        <v>0</v>
      </c>
      <c r="D546" s="1">
        <v>9894361.1300000008</v>
      </c>
      <c r="E546" s="1">
        <v>5596.48</v>
      </c>
      <c r="F546">
        <v>0</v>
      </c>
      <c r="G546" s="1">
        <v>871000</v>
      </c>
      <c r="H546" s="1">
        <v>874851.71</v>
      </c>
      <c r="I546" s="79" t="s">
        <v>2</v>
      </c>
    </row>
    <row r="547" spans="1:9" x14ac:dyDescent="0.25">
      <c r="A547">
        <v>750</v>
      </c>
      <c r="B547">
        <v>1712300</v>
      </c>
      <c r="C547">
        <v>0</v>
      </c>
      <c r="D547" s="1">
        <v>54603.96</v>
      </c>
      <c r="E547">
        <v>0</v>
      </c>
      <c r="F547" s="1">
        <v>1989.96</v>
      </c>
      <c r="G547" s="1">
        <v>15000</v>
      </c>
      <c r="H547" s="1">
        <v>7163</v>
      </c>
      <c r="I547" s="79" t="s">
        <v>2</v>
      </c>
    </row>
    <row r="548" spans="1:9" x14ac:dyDescent="0.25">
      <c r="A548">
        <v>750</v>
      </c>
      <c r="B548">
        <v>1712310</v>
      </c>
      <c r="C548">
        <v>0</v>
      </c>
      <c r="D548" s="1">
        <v>67653.5</v>
      </c>
      <c r="E548">
        <v>711.66</v>
      </c>
      <c r="F548">
        <v>0</v>
      </c>
      <c r="G548" s="1">
        <v>5000</v>
      </c>
      <c r="H548">
        <v>0</v>
      </c>
      <c r="I548" s="79" t="s">
        <v>2</v>
      </c>
    </row>
    <row r="549" spans="1:9" x14ac:dyDescent="0.25">
      <c r="A549">
        <v>750</v>
      </c>
      <c r="B549">
        <v>1726200</v>
      </c>
      <c r="C549">
        <v>0</v>
      </c>
      <c r="D549" s="1">
        <v>25307.96</v>
      </c>
      <c r="E549" s="1">
        <v>2000</v>
      </c>
      <c r="F549">
        <v>0</v>
      </c>
      <c r="G549" s="1">
        <v>2000</v>
      </c>
      <c r="H549">
        <v>0</v>
      </c>
      <c r="I549" s="79" t="s">
        <v>2</v>
      </c>
    </row>
    <row r="550" spans="1:9" x14ac:dyDescent="0.25">
      <c r="A550">
        <v>750</v>
      </c>
      <c r="B550">
        <v>1746000</v>
      </c>
      <c r="C550">
        <v>0</v>
      </c>
      <c r="D550" s="1">
        <v>3498088.66</v>
      </c>
      <c r="E550" s="1">
        <v>20000</v>
      </c>
      <c r="F550">
        <v>0</v>
      </c>
      <c r="G550" s="1">
        <v>20000</v>
      </c>
      <c r="H550">
        <v>0</v>
      </c>
      <c r="I550" s="79" t="s">
        <v>2</v>
      </c>
    </row>
    <row r="551" spans="1:9" x14ac:dyDescent="0.25">
      <c r="A551">
        <v>750</v>
      </c>
      <c r="B551">
        <v>1811000</v>
      </c>
      <c r="C551">
        <v>0</v>
      </c>
      <c r="D551" s="1">
        <v>1411009.32</v>
      </c>
      <c r="E551">
        <v>0</v>
      </c>
      <c r="F551" s="1">
        <v>11033.09</v>
      </c>
      <c r="G551" s="1">
        <v>835000</v>
      </c>
      <c r="H551" s="1">
        <v>776445.74</v>
      </c>
      <c r="I551" s="79" t="s">
        <v>2</v>
      </c>
    </row>
    <row r="552" spans="1:9" x14ac:dyDescent="0.25">
      <c r="A552">
        <v>750</v>
      </c>
      <c r="B552">
        <v>1812400</v>
      </c>
      <c r="C552">
        <v>0</v>
      </c>
      <c r="D552" s="1">
        <v>1135360.77</v>
      </c>
      <c r="E552">
        <v>0</v>
      </c>
      <c r="F552">
        <v>0</v>
      </c>
      <c r="G552">
        <v>0</v>
      </c>
      <c r="H552" s="1">
        <v>1138</v>
      </c>
      <c r="I552" s="79" t="s">
        <v>2</v>
      </c>
    </row>
    <row r="553" spans="1:9" x14ac:dyDescent="0.25">
      <c r="A553">
        <v>750</v>
      </c>
      <c r="B553">
        <v>1812440</v>
      </c>
      <c r="C553">
        <v>0</v>
      </c>
      <c r="D553" s="1">
        <v>658759.53</v>
      </c>
      <c r="E553">
        <v>0</v>
      </c>
      <c r="F553">
        <v>200</v>
      </c>
      <c r="G553" s="1">
        <v>100000</v>
      </c>
      <c r="H553">
        <v>0</v>
      </c>
      <c r="I553" s="79" t="s">
        <v>2</v>
      </c>
    </row>
    <row r="554" spans="1:9" x14ac:dyDescent="0.25">
      <c r="A554">
        <v>750</v>
      </c>
      <c r="B554">
        <v>1813200</v>
      </c>
      <c r="C554">
        <v>0</v>
      </c>
      <c r="D554" s="1">
        <v>970859.16</v>
      </c>
      <c r="E554">
        <v>0</v>
      </c>
      <c r="F554" s="1">
        <v>49649.36</v>
      </c>
      <c r="G554" s="1">
        <v>724000</v>
      </c>
      <c r="H554" s="1">
        <v>742547.48</v>
      </c>
      <c r="I554" s="79" t="s">
        <v>2</v>
      </c>
    </row>
    <row r="555" spans="1:9" x14ac:dyDescent="0.25">
      <c r="A555">
        <v>750</v>
      </c>
      <c r="B555">
        <v>1817900</v>
      </c>
      <c r="C555">
        <v>0</v>
      </c>
      <c r="D555" s="1">
        <v>2779201.31</v>
      </c>
      <c r="E555" s="1">
        <v>3110.99</v>
      </c>
      <c r="F555">
        <v>0</v>
      </c>
      <c r="G555" s="1">
        <v>14000</v>
      </c>
      <c r="H555" s="1">
        <v>13868.83</v>
      </c>
      <c r="I555" s="79" t="s">
        <v>2</v>
      </c>
    </row>
    <row r="556" spans="1:9" x14ac:dyDescent="0.25">
      <c r="A556">
        <v>750</v>
      </c>
      <c r="B556">
        <v>1826400</v>
      </c>
      <c r="C556">
        <v>0</v>
      </c>
      <c r="D556" s="1">
        <v>321669.83</v>
      </c>
      <c r="E556">
        <v>0</v>
      </c>
      <c r="F556" s="1">
        <v>18874.2</v>
      </c>
      <c r="G556" s="1">
        <v>37000</v>
      </c>
      <c r="H556" s="1">
        <v>4903</v>
      </c>
      <c r="I556" s="79" t="s">
        <v>2</v>
      </c>
    </row>
    <row r="557" spans="1:9" x14ac:dyDescent="0.25">
      <c r="A557">
        <v>750</v>
      </c>
      <c r="B557">
        <v>1829200</v>
      </c>
      <c r="C557">
        <v>0</v>
      </c>
      <c r="D557" s="1">
        <v>180178</v>
      </c>
      <c r="E557">
        <v>0</v>
      </c>
      <c r="F557" s="1">
        <v>4890.87</v>
      </c>
      <c r="G557" s="1">
        <v>585000</v>
      </c>
      <c r="H557" s="1">
        <v>620364.09</v>
      </c>
      <c r="I557" s="79">
        <f>SUM(D539:D557)/1000</f>
        <v>22133.564990000003</v>
      </c>
    </row>
    <row r="558" spans="1:9" x14ac:dyDescent="0.25">
      <c r="A558">
        <v>780</v>
      </c>
      <c r="B558">
        <v>1613000</v>
      </c>
      <c r="C558">
        <v>0</v>
      </c>
      <c r="D558" s="1">
        <v>2139.8000000000002</v>
      </c>
      <c r="E558">
        <v>0</v>
      </c>
      <c r="F558" s="1">
        <v>26764.19</v>
      </c>
      <c r="G558" s="1">
        <v>174000</v>
      </c>
      <c r="H558" s="1">
        <v>160266.42000000001</v>
      </c>
      <c r="I558" s="79" t="s">
        <v>2</v>
      </c>
    </row>
    <row r="559" spans="1:9" x14ac:dyDescent="0.25">
      <c r="A559">
        <v>780</v>
      </c>
      <c r="B559">
        <v>1616000</v>
      </c>
      <c r="C559">
        <v>0</v>
      </c>
      <c r="D559" s="1">
        <v>76768.52</v>
      </c>
      <c r="E559">
        <v>0</v>
      </c>
      <c r="F559">
        <v>221.4</v>
      </c>
      <c r="G559" s="1">
        <v>598000</v>
      </c>
      <c r="H559" s="1">
        <v>792439.59</v>
      </c>
      <c r="I559" s="79" t="s">
        <v>2</v>
      </c>
    </row>
    <row r="560" spans="1:9" x14ac:dyDescent="0.25">
      <c r="A560">
        <v>780</v>
      </c>
      <c r="B560">
        <v>1711000</v>
      </c>
      <c r="C560">
        <v>0</v>
      </c>
      <c r="D560" s="1">
        <v>1943.72</v>
      </c>
      <c r="E560" s="1">
        <v>1000</v>
      </c>
      <c r="F560">
        <v>0</v>
      </c>
      <c r="G560" s="1">
        <v>1000</v>
      </c>
      <c r="H560">
        <v>0</v>
      </c>
      <c r="I560" s="79" t="s">
        <v>2</v>
      </c>
    </row>
    <row r="561" spans="1:9" x14ac:dyDescent="0.25">
      <c r="A561">
        <v>780</v>
      </c>
      <c r="B561">
        <v>1711300</v>
      </c>
      <c r="C561">
        <v>0</v>
      </c>
      <c r="D561" s="1">
        <v>53032.72</v>
      </c>
      <c r="E561">
        <v>0</v>
      </c>
      <c r="F561" s="1">
        <v>70298.25</v>
      </c>
      <c r="G561" s="1">
        <v>324000</v>
      </c>
      <c r="H561" s="1">
        <v>353647.47</v>
      </c>
      <c r="I561" s="79" t="s">
        <v>2</v>
      </c>
    </row>
    <row r="562" spans="1:9" x14ac:dyDescent="0.25">
      <c r="A562">
        <v>780</v>
      </c>
      <c r="B562">
        <v>1714200</v>
      </c>
      <c r="C562">
        <v>0</v>
      </c>
      <c r="D562" s="1">
        <v>37261.5</v>
      </c>
      <c r="E562">
        <v>0</v>
      </c>
      <c r="F562" s="1">
        <v>24616</v>
      </c>
      <c r="G562">
        <v>0</v>
      </c>
      <c r="H562" s="1">
        <v>1737.37</v>
      </c>
      <c r="I562" s="79" t="s">
        <v>2</v>
      </c>
    </row>
    <row r="563" spans="1:9" x14ac:dyDescent="0.25">
      <c r="A563">
        <v>780</v>
      </c>
      <c r="B563">
        <v>1714210</v>
      </c>
      <c r="C563">
        <v>0</v>
      </c>
      <c r="D563" s="1">
        <v>60361</v>
      </c>
      <c r="E563" s="1">
        <v>5419.04</v>
      </c>
      <c r="F563">
        <v>0</v>
      </c>
      <c r="G563" s="1">
        <v>11000</v>
      </c>
      <c r="H563">
        <v>0</v>
      </c>
      <c r="I563" s="79" t="s">
        <v>2</v>
      </c>
    </row>
    <row r="564" spans="1:9" x14ac:dyDescent="0.25">
      <c r="A564">
        <v>780</v>
      </c>
      <c r="B564">
        <v>1715300</v>
      </c>
      <c r="C564">
        <v>0</v>
      </c>
      <c r="D564" s="1">
        <v>262200</v>
      </c>
      <c r="E564" s="1">
        <v>515000</v>
      </c>
      <c r="F564">
        <v>0</v>
      </c>
      <c r="G564" s="1">
        <v>515000</v>
      </c>
      <c r="H564">
        <v>0</v>
      </c>
      <c r="I564" s="79" t="s">
        <v>2</v>
      </c>
    </row>
    <row r="565" spans="1:9" x14ac:dyDescent="0.25">
      <c r="A565">
        <v>780</v>
      </c>
      <c r="B565">
        <v>1722000</v>
      </c>
      <c r="C565">
        <v>0</v>
      </c>
      <c r="D565" s="1">
        <v>2394.1999999999998</v>
      </c>
      <c r="E565">
        <v>0</v>
      </c>
      <c r="F565" s="1">
        <v>19057</v>
      </c>
      <c r="G565" s="1">
        <v>918000</v>
      </c>
      <c r="H565" s="1">
        <v>906839.11</v>
      </c>
      <c r="I565" s="79" t="s">
        <v>2</v>
      </c>
    </row>
    <row r="566" spans="1:9" x14ac:dyDescent="0.25">
      <c r="A566">
        <v>780</v>
      </c>
      <c r="B566">
        <v>1731000</v>
      </c>
      <c r="C566">
        <v>0</v>
      </c>
      <c r="D566" s="1">
        <v>8227.09</v>
      </c>
      <c r="E566" s="1">
        <v>3191.04</v>
      </c>
      <c r="F566">
        <v>0</v>
      </c>
      <c r="G566" s="1">
        <v>6000</v>
      </c>
      <c r="H566">
        <v>0</v>
      </c>
      <c r="I566" s="79" t="s">
        <v>2</v>
      </c>
    </row>
    <row r="567" spans="1:9" x14ac:dyDescent="0.25">
      <c r="A567">
        <v>780</v>
      </c>
      <c r="B567">
        <v>1746000</v>
      </c>
      <c r="C567">
        <v>0</v>
      </c>
      <c r="D567" s="1">
        <v>1830.2</v>
      </c>
      <c r="E567">
        <v>0</v>
      </c>
      <c r="F567" s="1">
        <v>4916.3100000000004</v>
      </c>
      <c r="G567" s="1">
        <v>780000</v>
      </c>
      <c r="H567" s="1">
        <v>721857.73</v>
      </c>
      <c r="I567" s="79" t="s">
        <v>2</v>
      </c>
    </row>
    <row r="568" spans="1:9" x14ac:dyDescent="0.25">
      <c r="A568">
        <v>780</v>
      </c>
      <c r="B568">
        <v>1746100</v>
      </c>
      <c r="C568">
        <v>0</v>
      </c>
      <c r="D568">
        <v>323</v>
      </c>
      <c r="E568">
        <v>0</v>
      </c>
      <c r="F568">
        <v>0</v>
      </c>
      <c r="G568">
        <v>0</v>
      </c>
      <c r="H568" s="1">
        <v>25009</v>
      </c>
      <c r="I568" s="79" t="s">
        <v>2</v>
      </c>
    </row>
    <row r="569" spans="1:9" x14ac:dyDescent="0.25">
      <c r="A569">
        <v>780</v>
      </c>
      <c r="B569">
        <v>1746200</v>
      </c>
      <c r="C569">
        <v>0</v>
      </c>
      <c r="D569" s="1">
        <v>2452.3000000000002</v>
      </c>
      <c r="E569" s="1">
        <v>10989.38</v>
      </c>
      <c r="F569">
        <v>0</v>
      </c>
      <c r="G569" s="1">
        <v>17000</v>
      </c>
      <c r="H569" s="1">
        <v>16878.830000000002</v>
      </c>
      <c r="I569" s="79" t="s">
        <v>2</v>
      </c>
    </row>
    <row r="570" spans="1:9" x14ac:dyDescent="0.25">
      <c r="A570">
        <v>780</v>
      </c>
      <c r="B570">
        <v>1751000</v>
      </c>
      <c r="C570">
        <v>0</v>
      </c>
      <c r="D570" s="1">
        <v>100793.4</v>
      </c>
      <c r="E570">
        <v>0</v>
      </c>
      <c r="F570" s="1">
        <v>77086.17</v>
      </c>
      <c r="G570" s="1">
        <v>262000</v>
      </c>
      <c r="H570" s="1">
        <v>319621.27</v>
      </c>
      <c r="I570" s="79" t="s">
        <v>2</v>
      </c>
    </row>
    <row r="571" spans="1:9" x14ac:dyDescent="0.25">
      <c r="A571">
        <v>780</v>
      </c>
      <c r="B571">
        <v>1752000</v>
      </c>
      <c r="C571">
        <v>0</v>
      </c>
      <c r="D571" s="1">
        <v>722884.98</v>
      </c>
      <c r="E571" s="1">
        <v>16795.62</v>
      </c>
      <c r="F571">
        <v>0</v>
      </c>
      <c r="G571" s="1">
        <v>119000</v>
      </c>
      <c r="H571" s="1">
        <v>89125.77</v>
      </c>
      <c r="I571" s="79" t="s">
        <v>2</v>
      </c>
    </row>
    <row r="572" spans="1:9" x14ac:dyDescent="0.25">
      <c r="A572">
        <v>780</v>
      </c>
      <c r="B572">
        <v>1761000</v>
      </c>
      <c r="C572">
        <v>0</v>
      </c>
      <c r="D572">
        <v>581</v>
      </c>
      <c r="E572">
        <v>0</v>
      </c>
      <c r="F572">
        <v>0</v>
      </c>
      <c r="G572">
        <v>0</v>
      </c>
      <c r="H572" s="1">
        <v>48632</v>
      </c>
      <c r="I572" s="79" t="s">
        <v>2</v>
      </c>
    </row>
    <row r="573" spans="1:9" x14ac:dyDescent="0.25">
      <c r="A573">
        <v>780</v>
      </c>
      <c r="B573">
        <v>1766000</v>
      </c>
      <c r="C573">
        <v>0</v>
      </c>
      <c r="D573" s="1">
        <v>1000</v>
      </c>
      <c r="E573" s="1">
        <v>2475.91</v>
      </c>
      <c r="F573">
        <v>0</v>
      </c>
      <c r="G573" s="1">
        <v>191000</v>
      </c>
      <c r="H573" s="1">
        <v>133877.63</v>
      </c>
      <c r="I573" s="79" t="s">
        <v>2</v>
      </c>
    </row>
    <row r="574" spans="1:9" x14ac:dyDescent="0.25">
      <c r="A574">
        <v>780</v>
      </c>
      <c r="B574">
        <v>1770000</v>
      </c>
      <c r="C574">
        <v>0</v>
      </c>
      <c r="D574" s="1">
        <v>1521.7</v>
      </c>
      <c r="E574" s="1">
        <v>1930.24</v>
      </c>
      <c r="F574">
        <v>0</v>
      </c>
      <c r="G574" s="1">
        <v>4000</v>
      </c>
      <c r="H574">
        <v>0</v>
      </c>
      <c r="I574" s="79" t="s">
        <v>2</v>
      </c>
    </row>
    <row r="575" spans="1:9" x14ac:dyDescent="0.25">
      <c r="A575">
        <v>780</v>
      </c>
      <c r="B575">
        <v>1811000</v>
      </c>
      <c r="C575">
        <v>0</v>
      </c>
      <c r="D575" s="1">
        <v>71028.95</v>
      </c>
      <c r="E575" s="1">
        <v>7429.18</v>
      </c>
      <c r="F575">
        <v>0</v>
      </c>
      <c r="G575" s="1">
        <v>279000</v>
      </c>
      <c r="H575" s="1">
        <v>207760.46</v>
      </c>
      <c r="I575" s="79" t="s">
        <v>2</v>
      </c>
    </row>
    <row r="576" spans="1:9" x14ac:dyDescent="0.25">
      <c r="A576">
        <v>780</v>
      </c>
      <c r="B576">
        <v>1811200</v>
      </c>
      <c r="C576">
        <v>0</v>
      </c>
      <c r="D576" s="1">
        <v>12701.8</v>
      </c>
      <c r="E576" s="1">
        <v>7644.96</v>
      </c>
      <c r="F576">
        <v>0</v>
      </c>
      <c r="G576" s="1">
        <v>15000</v>
      </c>
      <c r="H576">
        <v>0</v>
      </c>
      <c r="I576" s="79" t="s">
        <v>2</v>
      </c>
    </row>
    <row r="577" spans="1:9" x14ac:dyDescent="0.25">
      <c r="A577">
        <v>780</v>
      </c>
      <c r="B577">
        <v>1811400</v>
      </c>
      <c r="C577">
        <v>0</v>
      </c>
      <c r="D577">
        <v>579.5</v>
      </c>
      <c r="E577">
        <v>0</v>
      </c>
      <c r="F577" s="1">
        <v>14272.54</v>
      </c>
      <c r="G577" s="1">
        <v>389000</v>
      </c>
      <c r="H577" s="1">
        <v>153180.71</v>
      </c>
      <c r="I577" s="79" t="s">
        <v>2</v>
      </c>
    </row>
    <row r="578" spans="1:9" x14ac:dyDescent="0.25">
      <c r="A578">
        <v>780</v>
      </c>
      <c r="B578">
        <v>1813210</v>
      </c>
      <c r="C578">
        <v>0</v>
      </c>
      <c r="D578" s="1">
        <v>16989.96</v>
      </c>
      <c r="E578" s="1">
        <v>6556.64</v>
      </c>
      <c r="F578">
        <v>0</v>
      </c>
      <c r="G578" s="1">
        <v>13000</v>
      </c>
      <c r="H578">
        <v>0</v>
      </c>
      <c r="I578" s="79" t="s">
        <v>2</v>
      </c>
    </row>
    <row r="579" spans="1:9" x14ac:dyDescent="0.25">
      <c r="A579">
        <v>780</v>
      </c>
      <c r="B579">
        <v>1813211</v>
      </c>
      <c r="C579">
        <v>0</v>
      </c>
      <c r="D579" s="1">
        <v>361239.11</v>
      </c>
      <c r="E579" s="1">
        <v>17997.330000000002</v>
      </c>
      <c r="F579">
        <v>0</v>
      </c>
      <c r="G579" s="1">
        <v>480000</v>
      </c>
      <c r="H579" s="1">
        <v>178230.36</v>
      </c>
      <c r="I579" s="79" t="s">
        <v>2</v>
      </c>
    </row>
    <row r="580" spans="1:9" x14ac:dyDescent="0.25">
      <c r="A580">
        <v>780</v>
      </c>
      <c r="B580">
        <v>1813212</v>
      </c>
      <c r="C580">
        <v>0</v>
      </c>
      <c r="D580" s="1">
        <v>100200</v>
      </c>
      <c r="E580">
        <v>0</v>
      </c>
      <c r="F580">
        <v>0</v>
      </c>
      <c r="G580">
        <v>0</v>
      </c>
      <c r="H580">
        <v>20.51</v>
      </c>
      <c r="I580" s="79" t="s">
        <v>2</v>
      </c>
    </row>
    <row r="581" spans="1:9" x14ac:dyDescent="0.25">
      <c r="A581">
        <v>780</v>
      </c>
      <c r="B581">
        <v>1813213</v>
      </c>
      <c r="C581">
        <v>0</v>
      </c>
      <c r="D581" s="1">
        <v>55874.2</v>
      </c>
      <c r="E581">
        <v>0</v>
      </c>
      <c r="F581" s="1">
        <v>28120.73</v>
      </c>
      <c r="G581" s="1">
        <v>201000</v>
      </c>
      <c r="H581" s="1">
        <v>206352</v>
      </c>
      <c r="I581" s="79" t="s">
        <v>2</v>
      </c>
    </row>
    <row r="582" spans="1:9" x14ac:dyDescent="0.25">
      <c r="A582">
        <v>780</v>
      </c>
      <c r="B582">
        <v>1813214</v>
      </c>
      <c r="C582">
        <v>0</v>
      </c>
      <c r="D582" s="1">
        <v>200764.19</v>
      </c>
      <c r="E582" s="1">
        <v>51188.05</v>
      </c>
      <c r="F582">
        <v>0</v>
      </c>
      <c r="G582" s="1">
        <v>90000</v>
      </c>
      <c r="H582" s="1">
        <v>92277.38</v>
      </c>
      <c r="I582" s="79" t="s">
        <v>2</v>
      </c>
    </row>
    <row r="583" spans="1:9" x14ac:dyDescent="0.25">
      <c r="A583">
        <v>780</v>
      </c>
      <c r="B583">
        <v>1813215</v>
      </c>
      <c r="C583">
        <v>0</v>
      </c>
      <c r="D583" s="1">
        <v>394298.25</v>
      </c>
      <c r="E583">
        <v>0</v>
      </c>
      <c r="F583" s="1">
        <v>41767.440000000002</v>
      </c>
      <c r="G583" s="1">
        <v>86000</v>
      </c>
      <c r="H583" s="1">
        <v>85391.49</v>
      </c>
      <c r="I583" s="79" t="s">
        <v>2</v>
      </c>
    </row>
    <row r="584" spans="1:9" x14ac:dyDescent="0.25">
      <c r="A584">
        <v>780</v>
      </c>
      <c r="B584">
        <v>1813216</v>
      </c>
      <c r="C584">
        <v>0</v>
      </c>
      <c r="D584" s="1">
        <v>5580.96</v>
      </c>
      <c r="E584">
        <v>0</v>
      </c>
      <c r="F584" s="1">
        <v>77866.320000000007</v>
      </c>
      <c r="G584" s="1">
        <v>373000</v>
      </c>
      <c r="H584" s="1">
        <v>451091.93</v>
      </c>
      <c r="I584" s="79" t="s">
        <v>2</v>
      </c>
    </row>
    <row r="585" spans="1:9" x14ac:dyDescent="0.25">
      <c r="A585">
        <v>780</v>
      </c>
      <c r="B585">
        <v>1813217</v>
      </c>
      <c r="C585">
        <v>0</v>
      </c>
      <c r="D585" s="1">
        <v>10077.76</v>
      </c>
      <c r="E585">
        <v>0</v>
      </c>
      <c r="F585" s="1">
        <v>10472.77</v>
      </c>
      <c r="G585">
        <v>0</v>
      </c>
      <c r="H585">
        <v>0</v>
      </c>
      <c r="I585" s="79" t="s">
        <v>2</v>
      </c>
    </row>
    <row r="586" spans="1:9" x14ac:dyDescent="0.25">
      <c r="A586">
        <v>780</v>
      </c>
      <c r="B586">
        <v>1813218</v>
      </c>
      <c r="C586">
        <v>0</v>
      </c>
      <c r="D586" s="1">
        <v>2808.96</v>
      </c>
      <c r="E586">
        <v>0</v>
      </c>
      <c r="F586" s="1">
        <v>51551.67</v>
      </c>
      <c r="G586" s="1">
        <v>398000</v>
      </c>
      <c r="H586" s="1">
        <v>320440.86</v>
      </c>
      <c r="I586" s="79" t="s">
        <v>2</v>
      </c>
    </row>
    <row r="587" spans="1:9" x14ac:dyDescent="0.25">
      <c r="A587">
        <v>780</v>
      </c>
      <c r="B587">
        <v>1813219</v>
      </c>
      <c r="C587">
        <v>0</v>
      </c>
      <c r="D587" s="1">
        <v>6098.4</v>
      </c>
      <c r="E587">
        <v>0</v>
      </c>
      <c r="F587" s="1">
        <v>420221.51</v>
      </c>
      <c r="G587" s="1">
        <v>2693000</v>
      </c>
      <c r="H587" s="1">
        <v>3462544.2</v>
      </c>
      <c r="I587" s="79" t="s">
        <v>2</v>
      </c>
    </row>
    <row r="588" spans="1:9" x14ac:dyDescent="0.25">
      <c r="A588">
        <v>780</v>
      </c>
      <c r="B588">
        <v>1813220</v>
      </c>
      <c r="C588">
        <v>0</v>
      </c>
      <c r="D588" s="1">
        <v>339086.17</v>
      </c>
      <c r="E588">
        <v>0</v>
      </c>
      <c r="F588">
        <v>0</v>
      </c>
      <c r="G588">
        <v>0</v>
      </c>
      <c r="H588">
        <v>114.4</v>
      </c>
      <c r="I588" s="79" t="s">
        <v>2</v>
      </c>
    </row>
    <row r="589" spans="1:9" x14ac:dyDescent="0.25">
      <c r="A589">
        <v>780</v>
      </c>
      <c r="B589">
        <v>1813221</v>
      </c>
      <c r="C589">
        <v>0</v>
      </c>
      <c r="D589" s="1">
        <v>4275.04</v>
      </c>
      <c r="E589">
        <v>0</v>
      </c>
      <c r="F589" s="1">
        <v>21692</v>
      </c>
      <c r="G589">
        <v>0</v>
      </c>
      <c r="H589" s="1">
        <v>86845.95</v>
      </c>
      <c r="I589" s="79" t="s">
        <v>2</v>
      </c>
    </row>
    <row r="590" spans="1:9" x14ac:dyDescent="0.25">
      <c r="A590">
        <v>780</v>
      </c>
      <c r="B590">
        <v>1813222</v>
      </c>
      <c r="C590">
        <v>0</v>
      </c>
      <c r="D590" s="1">
        <v>3498.88</v>
      </c>
      <c r="E590">
        <v>0</v>
      </c>
      <c r="F590" s="1">
        <v>1506339.28</v>
      </c>
      <c r="G590" s="1">
        <v>150000</v>
      </c>
      <c r="H590" s="1">
        <v>324473</v>
      </c>
      <c r="I590" s="79" t="s">
        <v>2</v>
      </c>
    </row>
    <row r="591" spans="1:9" x14ac:dyDescent="0.25">
      <c r="A591">
        <v>780</v>
      </c>
      <c r="B591">
        <v>1813223</v>
      </c>
      <c r="C591">
        <v>0</v>
      </c>
      <c r="D591" s="1">
        <v>2069.7600000000002</v>
      </c>
      <c r="E591" s="1">
        <v>6000</v>
      </c>
      <c r="F591">
        <v>0</v>
      </c>
      <c r="G591" s="1">
        <v>6000</v>
      </c>
      <c r="H591" s="1">
        <v>5463</v>
      </c>
      <c r="I591" s="79" t="s">
        <v>2</v>
      </c>
    </row>
    <row r="592" spans="1:9" x14ac:dyDescent="0.25">
      <c r="A592">
        <v>780</v>
      </c>
      <c r="B592">
        <v>1813224</v>
      </c>
      <c r="C592">
        <v>0</v>
      </c>
      <c r="D592" s="1">
        <v>7355.04</v>
      </c>
      <c r="E592" s="1">
        <v>68627.8</v>
      </c>
      <c r="F592">
        <v>0</v>
      </c>
      <c r="G592" s="1">
        <v>1700000</v>
      </c>
      <c r="H592" s="1">
        <v>1290741</v>
      </c>
      <c r="I592" s="79" t="s">
        <v>2</v>
      </c>
    </row>
    <row r="593" spans="1:9" x14ac:dyDescent="0.25">
      <c r="A593">
        <v>780</v>
      </c>
      <c r="B593">
        <v>1813225</v>
      </c>
      <c r="C593">
        <v>0</v>
      </c>
      <c r="D593" s="1">
        <v>6443.36</v>
      </c>
      <c r="E593" s="1">
        <v>20508.8</v>
      </c>
      <c r="F593">
        <v>0</v>
      </c>
      <c r="G593" s="1">
        <v>84000</v>
      </c>
      <c r="H593">
        <v>0</v>
      </c>
      <c r="I593" s="79" t="s">
        <v>2</v>
      </c>
    </row>
    <row r="594" spans="1:9" x14ac:dyDescent="0.25">
      <c r="A594">
        <v>780</v>
      </c>
      <c r="B594">
        <v>1813230</v>
      </c>
      <c r="C594">
        <v>0</v>
      </c>
      <c r="D594" s="1">
        <v>229120.73</v>
      </c>
      <c r="E594">
        <v>0</v>
      </c>
      <c r="F594" s="1">
        <v>111094.85</v>
      </c>
      <c r="G594" s="1">
        <v>6605000</v>
      </c>
      <c r="H594" s="1">
        <v>6372693.5499999998</v>
      </c>
      <c r="I594" s="79" t="s">
        <v>2</v>
      </c>
    </row>
    <row r="595" spans="1:9" x14ac:dyDescent="0.25">
      <c r="A595">
        <v>780</v>
      </c>
      <c r="B595">
        <v>1813240</v>
      </c>
      <c r="C595">
        <v>0</v>
      </c>
      <c r="D595" s="1">
        <v>127767.44</v>
      </c>
      <c r="E595">
        <v>0</v>
      </c>
      <c r="F595" s="1">
        <v>179949.6</v>
      </c>
      <c r="G595">
        <v>0</v>
      </c>
      <c r="H595" s="1">
        <v>99208.86</v>
      </c>
      <c r="I595" s="79" t="s">
        <v>2</v>
      </c>
    </row>
    <row r="596" spans="1:9" x14ac:dyDescent="0.25">
      <c r="A596">
        <v>780</v>
      </c>
      <c r="B596">
        <v>1813270</v>
      </c>
      <c r="C596">
        <v>0</v>
      </c>
      <c r="D596" s="1">
        <v>450866.32</v>
      </c>
      <c r="E596" s="1">
        <v>139969.07999999999</v>
      </c>
      <c r="F596">
        <v>0</v>
      </c>
      <c r="G596" s="1">
        <v>4995000</v>
      </c>
      <c r="H596" s="1">
        <v>4642756.7</v>
      </c>
      <c r="I596" s="79" t="s">
        <v>2</v>
      </c>
    </row>
    <row r="597" spans="1:9" x14ac:dyDescent="0.25">
      <c r="A597">
        <v>780</v>
      </c>
      <c r="B597">
        <v>1813280</v>
      </c>
      <c r="C597">
        <v>0</v>
      </c>
      <c r="D597" s="1">
        <v>449551.67</v>
      </c>
      <c r="E597">
        <v>0</v>
      </c>
      <c r="F597" s="1">
        <v>17181.189999999999</v>
      </c>
      <c r="G597">
        <v>0</v>
      </c>
      <c r="H597">
        <v>0</v>
      </c>
      <c r="I597" s="79" t="s">
        <v>2</v>
      </c>
    </row>
    <row r="598" spans="1:9" x14ac:dyDescent="0.25">
      <c r="A598">
        <v>780</v>
      </c>
      <c r="B598">
        <v>1813300</v>
      </c>
      <c r="C598">
        <v>0</v>
      </c>
      <c r="D598" s="1">
        <v>1656339.28</v>
      </c>
      <c r="E598">
        <v>0</v>
      </c>
      <c r="F598" s="1">
        <v>29887.66</v>
      </c>
      <c r="G598" s="1">
        <v>1063000</v>
      </c>
      <c r="H598" s="1">
        <v>729107.81</v>
      </c>
      <c r="I598" s="79" t="s">
        <v>2</v>
      </c>
    </row>
    <row r="599" spans="1:9" x14ac:dyDescent="0.25">
      <c r="A599">
        <v>780</v>
      </c>
      <c r="B599">
        <v>1813700</v>
      </c>
      <c r="C599">
        <v>0</v>
      </c>
      <c r="D599" s="1">
        <v>27771.5</v>
      </c>
      <c r="E599" s="1">
        <v>33004.67</v>
      </c>
      <c r="F599">
        <v>0</v>
      </c>
      <c r="G599" s="1">
        <v>353000</v>
      </c>
      <c r="H599" s="1">
        <v>1196625.74</v>
      </c>
      <c r="I599" s="79" t="s">
        <v>2</v>
      </c>
    </row>
    <row r="600" spans="1:9" x14ac:dyDescent="0.25">
      <c r="A600">
        <v>780</v>
      </c>
      <c r="B600">
        <v>1817200</v>
      </c>
      <c r="C600">
        <v>0</v>
      </c>
      <c r="D600" s="1">
        <v>70595.77</v>
      </c>
      <c r="E600">
        <v>0</v>
      </c>
      <c r="F600">
        <v>0</v>
      </c>
      <c r="G600">
        <v>0</v>
      </c>
      <c r="H600" s="1">
        <v>24464.25</v>
      </c>
      <c r="I600" s="79" t="s">
        <v>2</v>
      </c>
    </row>
    <row r="601" spans="1:9" x14ac:dyDescent="0.25">
      <c r="A601">
        <v>780</v>
      </c>
      <c r="B601">
        <v>1822000</v>
      </c>
      <c r="C601">
        <v>0</v>
      </c>
      <c r="D601" s="1">
        <v>95000</v>
      </c>
      <c r="E601" s="1">
        <v>1000</v>
      </c>
      <c r="F601">
        <v>0</v>
      </c>
      <c r="G601" s="1">
        <v>1000</v>
      </c>
      <c r="H601">
        <v>0</v>
      </c>
      <c r="I601" s="79" t="s">
        <v>2</v>
      </c>
    </row>
    <row r="602" spans="1:9" x14ac:dyDescent="0.25">
      <c r="A602">
        <v>780</v>
      </c>
      <c r="B602">
        <v>1822100</v>
      </c>
      <c r="C602">
        <v>0</v>
      </c>
      <c r="D602" s="1">
        <v>11583.25</v>
      </c>
      <c r="E602">
        <v>0</v>
      </c>
      <c r="F602" s="1">
        <v>2771.5</v>
      </c>
      <c r="G602" s="1">
        <v>25000</v>
      </c>
      <c r="H602" s="1">
        <v>59944.480000000003</v>
      </c>
      <c r="I602" s="79" t="s">
        <v>2</v>
      </c>
    </row>
    <row r="603" spans="1:9" x14ac:dyDescent="0.25">
      <c r="A603">
        <v>780</v>
      </c>
      <c r="B603">
        <v>1822110</v>
      </c>
      <c r="C603">
        <v>0</v>
      </c>
      <c r="D603" s="1">
        <v>336925.72</v>
      </c>
      <c r="E603">
        <v>0</v>
      </c>
      <c r="F603" s="1">
        <v>2489.29</v>
      </c>
      <c r="G603" s="1">
        <v>3000</v>
      </c>
      <c r="H603">
        <v>0</v>
      </c>
      <c r="I603" s="79" t="s">
        <v>2</v>
      </c>
    </row>
    <row r="604" spans="1:9" x14ac:dyDescent="0.25">
      <c r="A604">
        <v>780</v>
      </c>
      <c r="B604">
        <v>1822111</v>
      </c>
      <c r="C604">
        <v>0</v>
      </c>
      <c r="D604" s="1">
        <v>85964.85</v>
      </c>
      <c r="E604" s="1">
        <v>1000</v>
      </c>
      <c r="F604">
        <v>0</v>
      </c>
      <c r="G604" s="1">
        <v>1000</v>
      </c>
      <c r="H604">
        <v>0</v>
      </c>
      <c r="I604" s="79" t="s">
        <v>2</v>
      </c>
    </row>
    <row r="605" spans="1:9" x14ac:dyDescent="0.25">
      <c r="A605">
        <v>780</v>
      </c>
      <c r="B605">
        <v>1822112</v>
      </c>
      <c r="C605">
        <v>0</v>
      </c>
      <c r="D605" s="1">
        <v>290215</v>
      </c>
      <c r="E605">
        <v>0</v>
      </c>
      <c r="F605" s="1">
        <v>6518.31</v>
      </c>
      <c r="G605" s="1">
        <v>27000</v>
      </c>
      <c r="H605" s="1">
        <v>27303.95</v>
      </c>
      <c r="I605" s="79" t="s">
        <v>2</v>
      </c>
    </row>
    <row r="606" spans="1:9" x14ac:dyDescent="0.25">
      <c r="A606">
        <v>780</v>
      </c>
      <c r="B606">
        <v>1822200</v>
      </c>
      <c r="C606">
        <v>0</v>
      </c>
      <c r="D606" s="1">
        <v>1000</v>
      </c>
      <c r="E606">
        <v>0</v>
      </c>
      <c r="F606">
        <v>0</v>
      </c>
      <c r="G606">
        <v>0</v>
      </c>
      <c r="H606" s="1">
        <v>5490</v>
      </c>
      <c r="I606" s="79" t="s">
        <v>2</v>
      </c>
    </row>
    <row r="607" spans="1:9" x14ac:dyDescent="0.25">
      <c r="A607">
        <v>780</v>
      </c>
      <c r="B607">
        <v>1822210</v>
      </c>
      <c r="C607">
        <v>0</v>
      </c>
      <c r="D607" s="1">
        <v>38561.199999999997</v>
      </c>
      <c r="E607">
        <v>9.76</v>
      </c>
      <c r="F607">
        <v>0</v>
      </c>
      <c r="G607" s="1">
        <v>5000</v>
      </c>
      <c r="H607" s="1">
        <v>38832.49</v>
      </c>
      <c r="I607" s="79" t="s">
        <v>2</v>
      </c>
    </row>
    <row r="608" spans="1:9" x14ac:dyDescent="0.25">
      <c r="A608">
        <v>780</v>
      </c>
      <c r="B608">
        <v>1822230</v>
      </c>
      <c r="C608">
        <v>0</v>
      </c>
      <c r="D608" s="1">
        <v>13059.1</v>
      </c>
      <c r="E608">
        <v>0</v>
      </c>
      <c r="F608" s="1">
        <v>3786</v>
      </c>
      <c r="G608" s="1">
        <v>8000</v>
      </c>
      <c r="H608">
        <v>0</v>
      </c>
      <c r="I608" s="79" t="s">
        <v>2</v>
      </c>
    </row>
    <row r="609" spans="1:9" x14ac:dyDescent="0.25">
      <c r="A609">
        <v>780</v>
      </c>
      <c r="B609">
        <v>1822300</v>
      </c>
      <c r="C609">
        <v>0</v>
      </c>
      <c r="D609" s="1">
        <v>478758</v>
      </c>
      <c r="E609" s="1">
        <v>1094.54</v>
      </c>
      <c r="F609">
        <v>0</v>
      </c>
      <c r="G609" s="1">
        <v>10000</v>
      </c>
      <c r="H609">
        <v>0</v>
      </c>
      <c r="I609" s="79" t="s">
        <v>2</v>
      </c>
    </row>
    <row r="610" spans="1:9" x14ac:dyDescent="0.25">
      <c r="A610">
        <v>780</v>
      </c>
      <c r="B610">
        <v>1822400</v>
      </c>
      <c r="C610">
        <v>0</v>
      </c>
      <c r="D610" s="1">
        <v>2719.5</v>
      </c>
      <c r="E610" s="1">
        <v>100000</v>
      </c>
      <c r="F610">
        <v>0</v>
      </c>
      <c r="G610" s="1">
        <v>100000</v>
      </c>
      <c r="H610">
        <v>0</v>
      </c>
      <c r="I610" s="79" t="s">
        <v>2</v>
      </c>
    </row>
    <row r="611" spans="1:9" x14ac:dyDescent="0.25">
      <c r="A611">
        <v>780</v>
      </c>
      <c r="B611">
        <v>1825110</v>
      </c>
      <c r="C611">
        <v>0</v>
      </c>
      <c r="D611" s="1">
        <v>2825926.32</v>
      </c>
      <c r="E611" s="1">
        <v>52741</v>
      </c>
      <c r="F611">
        <v>0</v>
      </c>
      <c r="G611" s="1">
        <v>100000</v>
      </c>
      <c r="H611" s="1">
        <v>179220</v>
      </c>
      <c r="I611" s="79" t="s">
        <v>2</v>
      </c>
    </row>
    <row r="612" spans="1:9" x14ac:dyDescent="0.25">
      <c r="A612">
        <v>780</v>
      </c>
      <c r="B612">
        <v>1825111</v>
      </c>
      <c r="C612">
        <v>0</v>
      </c>
      <c r="D612" s="1">
        <v>3000</v>
      </c>
      <c r="E612" s="1">
        <v>1341.74</v>
      </c>
      <c r="F612">
        <v>0</v>
      </c>
      <c r="G612" s="1">
        <v>120000</v>
      </c>
      <c r="H612">
        <v>0</v>
      </c>
      <c r="I612" s="79" t="s">
        <v>2</v>
      </c>
    </row>
    <row r="613" spans="1:9" x14ac:dyDescent="0.25">
      <c r="A613">
        <v>780</v>
      </c>
      <c r="B613">
        <v>1825112</v>
      </c>
      <c r="C613">
        <v>0</v>
      </c>
      <c r="D613" s="1">
        <v>2922</v>
      </c>
      <c r="E613">
        <v>0</v>
      </c>
      <c r="F613">
        <v>0</v>
      </c>
      <c r="G613" s="1">
        <v>100000</v>
      </c>
      <c r="H613" s="1">
        <v>100500</v>
      </c>
      <c r="I613" s="79" t="s">
        <v>2</v>
      </c>
    </row>
    <row r="614" spans="1:9" x14ac:dyDescent="0.25">
      <c r="A614">
        <v>780</v>
      </c>
      <c r="B614">
        <v>1825113</v>
      </c>
      <c r="C614">
        <v>0</v>
      </c>
      <c r="D614" s="1">
        <v>3551</v>
      </c>
      <c r="E614">
        <v>0</v>
      </c>
      <c r="F614" s="1">
        <v>34011.82</v>
      </c>
      <c r="G614" s="1">
        <v>231000</v>
      </c>
      <c r="H614" s="1">
        <v>350909.73</v>
      </c>
      <c r="I614" s="79" t="s">
        <v>2</v>
      </c>
    </row>
    <row r="615" spans="1:9" x14ac:dyDescent="0.25">
      <c r="A615">
        <v>780</v>
      </c>
      <c r="B615">
        <v>1825114</v>
      </c>
      <c r="C615">
        <v>0</v>
      </c>
      <c r="D615" s="1">
        <v>9769</v>
      </c>
      <c r="E615">
        <v>0</v>
      </c>
      <c r="F615" s="1">
        <v>15583.31</v>
      </c>
      <c r="G615" s="1">
        <v>494000</v>
      </c>
      <c r="H615" s="1">
        <v>573057.77</v>
      </c>
      <c r="I615" s="79" t="s">
        <v>2</v>
      </c>
    </row>
    <row r="616" spans="1:9" x14ac:dyDescent="0.25">
      <c r="A616">
        <v>780</v>
      </c>
      <c r="B616">
        <v>1826110</v>
      </c>
      <c r="C616">
        <v>0</v>
      </c>
      <c r="D616" s="1">
        <v>76177.8</v>
      </c>
      <c r="E616" s="1">
        <v>1805</v>
      </c>
      <c r="F616">
        <v>0</v>
      </c>
      <c r="G616" s="1">
        <v>2000</v>
      </c>
      <c r="H616" s="1">
        <v>3578.7</v>
      </c>
      <c r="I616" s="79" t="s">
        <v>2</v>
      </c>
    </row>
    <row r="617" spans="1:9" x14ac:dyDescent="0.25">
      <c r="A617">
        <v>780</v>
      </c>
      <c r="B617">
        <v>1826400</v>
      </c>
      <c r="C617">
        <v>0</v>
      </c>
      <c r="D617" s="1">
        <v>400000</v>
      </c>
      <c r="E617" s="1">
        <v>1291.92</v>
      </c>
      <c r="F617">
        <v>0</v>
      </c>
      <c r="G617" s="1">
        <v>2000</v>
      </c>
      <c r="H617">
        <v>0</v>
      </c>
      <c r="I617" s="79" t="s">
        <v>2</v>
      </c>
    </row>
    <row r="618" spans="1:9" x14ac:dyDescent="0.25">
      <c r="A618">
        <v>780</v>
      </c>
      <c r="B618">
        <v>1826420</v>
      </c>
      <c r="C618">
        <v>0</v>
      </c>
      <c r="D618" s="1">
        <v>71830.37</v>
      </c>
      <c r="E618">
        <v>0</v>
      </c>
      <c r="F618" s="1">
        <v>34511.160000000003</v>
      </c>
      <c r="G618" s="1">
        <v>3086000</v>
      </c>
      <c r="H618" s="1">
        <v>3092737.97</v>
      </c>
      <c r="I618" s="79" t="s">
        <v>2</v>
      </c>
    </row>
    <row r="619" spans="1:9" x14ac:dyDescent="0.25">
      <c r="A619">
        <v>780</v>
      </c>
      <c r="B619">
        <v>1827000</v>
      </c>
      <c r="C619">
        <v>0</v>
      </c>
      <c r="D619" s="1">
        <v>399986.5</v>
      </c>
      <c r="E619">
        <v>0</v>
      </c>
      <c r="F619" s="1">
        <v>69671</v>
      </c>
      <c r="G619">
        <v>0</v>
      </c>
      <c r="H619">
        <v>0</v>
      </c>
      <c r="I619" s="79" t="s">
        <v>2</v>
      </c>
    </row>
    <row r="620" spans="1:9" x14ac:dyDescent="0.25">
      <c r="A620">
        <v>780</v>
      </c>
      <c r="B620">
        <v>1827100</v>
      </c>
      <c r="C620">
        <v>0</v>
      </c>
      <c r="D620" s="1">
        <v>59996</v>
      </c>
      <c r="E620" s="1">
        <v>4347.28</v>
      </c>
      <c r="F620">
        <v>0</v>
      </c>
      <c r="G620" s="1">
        <v>7000</v>
      </c>
      <c r="H620" s="1">
        <v>7329.48</v>
      </c>
      <c r="I620" s="79" t="s">
        <v>2</v>
      </c>
    </row>
    <row r="621" spans="1:9" x14ac:dyDescent="0.25">
      <c r="A621">
        <v>780</v>
      </c>
      <c r="B621">
        <v>1827200</v>
      </c>
      <c r="C621">
        <v>0</v>
      </c>
      <c r="D621" s="1">
        <v>159887.5</v>
      </c>
      <c r="E621" s="1">
        <v>1500.68</v>
      </c>
      <c r="F621">
        <v>0</v>
      </c>
      <c r="G621" s="1">
        <v>10000</v>
      </c>
      <c r="H621" s="1">
        <v>3153.87</v>
      </c>
      <c r="I621" s="79" t="s">
        <v>2</v>
      </c>
    </row>
    <row r="622" spans="1:9" x14ac:dyDescent="0.25">
      <c r="A622">
        <v>780</v>
      </c>
      <c r="B622">
        <v>1827400</v>
      </c>
      <c r="C622">
        <v>0</v>
      </c>
      <c r="D622" s="1">
        <v>56523</v>
      </c>
      <c r="E622">
        <v>0</v>
      </c>
      <c r="F622" s="1">
        <v>6203.8</v>
      </c>
      <c r="G622" s="1">
        <v>40000</v>
      </c>
      <c r="H622" s="1">
        <v>40431.129999999997</v>
      </c>
      <c r="I622" s="79" t="s">
        <v>2</v>
      </c>
    </row>
    <row r="623" spans="1:9" x14ac:dyDescent="0.25">
      <c r="A623">
        <v>780</v>
      </c>
      <c r="B623">
        <v>1828000</v>
      </c>
      <c r="C623">
        <v>0</v>
      </c>
      <c r="D623" s="1">
        <v>86597.37</v>
      </c>
      <c r="E623">
        <v>156</v>
      </c>
      <c r="F623">
        <v>0</v>
      </c>
      <c r="G623" s="1">
        <v>4000</v>
      </c>
      <c r="H623">
        <v>0</v>
      </c>
      <c r="I623" s="79" t="s">
        <v>2</v>
      </c>
    </row>
    <row r="624" spans="1:9" x14ac:dyDescent="0.25">
      <c r="A624">
        <v>780</v>
      </c>
      <c r="B624">
        <v>1828100</v>
      </c>
      <c r="C624">
        <v>0</v>
      </c>
      <c r="D624" s="1">
        <v>135908.04999999999</v>
      </c>
      <c r="E624" s="1">
        <v>3560.6</v>
      </c>
      <c r="F624">
        <v>0</v>
      </c>
      <c r="G624" s="1">
        <v>6000</v>
      </c>
      <c r="H624">
        <v>0</v>
      </c>
      <c r="I624" s="79" t="s">
        <v>2</v>
      </c>
    </row>
    <row r="625" spans="1:9" x14ac:dyDescent="0.25">
      <c r="A625">
        <v>780</v>
      </c>
      <c r="B625">
        <v>1828120</v>
      </c>
      <c r="C625">
        <v>0</v>
      </c>
      <c r="D625" s="1">
        <v>399998.2</v>
      </c>
      <c r="E625">
        <v>296</v>
      </c>
      <c r="F625">
        <v>0</v>
      </c>
      <c r="G625" s="1">
        <v>1000</v>
      </c>
      <c r="H625">
        <v>0</v>
      </c>
      <c r="I625" s="79" t="s">
        <v>2</v>
      </c>
    </row>
    <row r="626" spans="1:9" x14ac:dyDescent="0.25">
      <c r="A626">
        <v>780</v>
      </c>
      <c r="B626">
        <v>1828200</v>
      </c>
      <c r="C626">
        <v>0</v>
      </c>
      <c r="D626" s="1">
        <v>27024.71</v>
      </c>
      <c r="E626" s="1">
        <v>64036.98</v>
      </c>
      <c r="F626">
        <v>0</v>
      </c>
      <c r="G626" s="1">
        <v>887000</v>
      </c>
      <c r="H626" s="1">
        <v>891941.29</v>
      </c>
      <c r="I626" s="79" t="s">
        <v>2</v>
      </c>
    </row>
    <row r="627" spans="1:9" x14ac:dyDescent="0.25">
      <c r="A627">
        <v>780</v>
      </c>
      <c r="B627">
        <v>1860000</v>
      </c>
      <c r="C627">
        <v>0</v>
      </c>
      <c r="D627" s="1">
        <v>69677.63</v>
      </c>
      <c r="E627">
        <v>0</v>
      </c>
      <c r="F627" s="1">
        <v>950806.14</v>
      </c>
      <c r="G627" s="1">
        <v>4885000</v>
      </c>
      <c r="H627" s="1">
        <v>6513253.4800000004</v>
      </c>
      <c r="I627" s="79" t="s">
        <v>2</v>
      </c>
    </row>
    <row r="628" spans="1:9" x14ac:dyDescent="0.25">
      <c r="A628">
        <v>780</v>
      </c>
      <c r="B628">
        <v>1913000</v>
      </c>
      <c r="C628">
        <v>0</v>
      </c>
      <c r="D628" s="1">
        <v>2483.5</v>
      </c>
      <c r="E628">
        <v>0</v>
      </c>
      <c r="F628" s="1">
        <v>30729.53</v>
      </c>
      <c r="G628" s="1">
        <v>209000</v>
      </c>
      <c r="H628" s="1">
        <v>240288.59</v>
      </c>
      <c r="I628" s="79" t="s">
        <v>2</v>
      </c>
    </row>
    <row r="629" spans="1:9" x14ac:dyDescent="0.25">
      <c r="A629">
        <v>780</v>
      </c>
      <c r="B629">
        <v>1933000</v>
      </c>
      <c r="C629">
        <v>0</v>
      </c>
      <c r="D629" s="1">
        <v>50104.49</v>
      </c>
      <c r="E629">
        <v>0</v>
      </c>
      <c r="F629" s="1">
        <v>5635.34</v>
      </c>
      <c r="G629">
        <v>0</v>
      </c>
      <c r="H629">
        <v>0</v>
      </c>
      <c r="I629" s="79" t="s">
        <v>2</v>
      </c>
    </row>
    <row r="630" spans="1:9" x14ac:dyDescent="0.25">
      <c r="A630">
        <v>780</v>
      </c>
      <c r="B630">
        <v>1933100</v>
      </c>
      <c r="C630">
        <v>0</v>
      </c>
      <c r="D630" s="1">
        <v>8061.49</v>
      </c>
      <c r="E630">
        <v>0</v>
      </c>
      <c r="F630">
        <v>100</v>
      </c>
      <c r="G630" s="1">
        <v>2000</v>
      </c>
      <c r="H630" s="1">
        <v>2287</v>
      </c>
      <c r="I630" s="79" t="s">
        <v>2</v>
      </c>
    </row>
    <row r="631" spans="1:9" x14ac:dyDescent="0.25">
      <c r="A631">
        <v>780</v>
      </c>
      <c r="B631">
        <v>1933200</v>
      </c>
      <c r="C631">
        <v>0</v>
      </c>
      <c r="D631" s="1">
        <v>31881.96</v>
      </c>
      <c r="E631">
        <v>0</v>
      </c>
      <c r="F631" s="1">
        <v>752201.31</v>
      </c>
      <c r="G631" s="1">
        <v>2027000</v>
      </c>
      <c r="H631" s="1">
        <v>2826606.3</v>
      </c>
      <c r="I631" s="79" t="s">
        <v>2</v>
      </c>
    </row>
    <row r="632" spans="1:9" x14ac:dyDescent="0.25">
      <c r="A632">
        <v>780</v>
      </c>
      <c r="B632">
        <v>1933300</v>
      </c>
      <c r="C632">
        <v>0</v>
      </c>
      <c r="D632" s="1">
        <v>9828</v>
      </c>
      <c r="E632">
        <v>0</v>
      </c>
      <c r="F632" s="1">
        <v>15614.59</v>
      </c>
      <c r="G632" s="1">
        <v>1378000</v>
      </c>
      <c r="H632" s="1">
        <v>1400765.27</v>
      </c>
      <c r="I632" s="79" t="s">
        <v>2</v>
      </c>
    </row>
    <row r="633" spans="1:9" x14ac:dyDescent="0.25">
      <c r="A633">
        <v>780</v>
      </c>
      <c r="B633">
        <v>1943000</v>
      </c>
      <c r="C633">
        <v>0</v>
      </c>
      <c r="D633" s="1">
        <v>1629882.08</v>
      </c>
      <c r="E633">
        <v>0</v>
      </c>
      <c r="F633" s="1">
        <v>7816.4</v>
      </c>
      <c r="G633" s="1">
        <v>25000</v>
      </c>
      <c r="H633" s="1">
        <v>37701.449999999997</v>
      </c>
      <c r="I633" s="79" t="s">
        <v>2</v>
      </c>
    </row>
    <row r="634" spans="1:9" x14ac:dyDescent="0.25">
      <c r="A634">
        <v>780</v>
      </c>
      <c r="B634">
        <v>1943100</v>
      </c>
      <c r="C634">
        <v>0</v>
      </c>
      <c r="D634" s="1">
        <v>5773.5</v>
      </c>
      <c r="E634">
        <v>0</v>
      </c>
      <c r="F634" s="1">
        <v>1383</v>
      </c>
      <c r="G634" s="1">
        <v>7000</v>
      </c>
      <c r="H634" s="1">
        <v>6786</v>
      </c>
      <c r="I634" s="79">
        <f>SUM(D558:D634)/1000</f>
        <v>13829.275220000001</v>
      </c>
    </row>
    <row r="635" spans="1:9" x14ac:dyDescent="0.25">
      <c r="A635">
        <v>781</v>
      </c>
      <c r="B635">
        <v>1772000</v>
      </c>
      <c r="C635">
        <v>0</v>
      </c>
      <c r="D635" s="1">
        <v>32951.78</v>
      </c>
      <c r="E635">
        <v>0</v>
      </c>
      <c r="F635" s="1">
        <v>25104.16</v>
      </c>
      <c r="G635" s="1">
        <v>163000</v>
      </c>
      <c r="H635" s="1">
        <v>239885.78</v>
      </c>
      <c r="I635" s="79" t="s">
        <v>2</v>
      </c>
    </row>
    <row r="636" spans="1:9" x14ac:dyDescent="0.25">
      <c r="A636">
        <v>781</v>
      </c>
      <c r="B636">
        <v>1772200</v>
      </c>
      <c r="C636">
        <v>0</v>
      </c>
      <c r="D636" s="1">
        <v>100000</v>
      </c>
      <c r="E636" s="1">
        <v>86949.7</v>
      </c>
      <c r="F636">
        <v>0</v>
      </c>
      <c r="G636" s="1">
        <v>1049000</v>
      </c>
      <c r="H636" s="1">
        <v>884126.7</v>
      </c>
      <c r="I636" s="79">
        <f>SUM(D635:D636)/1000</f>
        <v>132.95177999999999</v>
      </c>
    </row>
    <row r="637" spans="1:9" x14ac:dyDescent="0.25">
      <c r="A637">
        <v>782</v>
      </c>
      <c r="B637">
        <v>1611000</v>
      </c>
      <c r="C637">
        <v>0</v>
      </c>
      <c r="D637" s="1">
        <v>8583.14</v>
      </c>
      <c r="E637">
        <v>0</v>
      </c>
      <c r="F637">
        <v>0</v>
      </c>
      <c r="G637">
        <v>0</v>
      </c>
      <c r="H637" s="1">
        <v>1230.6400000000001</v>
      </c>
      <c r="I637" s="79" t="s">
        <v>2</v>
      </c>
    </row>
    <row r="638" spans="1:9" x14ac:dyDescent="0.25">
      <c r="A638">
        <v>782</v>
      </c>
      <c r="B638">
        <v>1611200</v>
      </c>
      <c r="C638">
        <v>0</v>
      </c>
      <c r="D638" s="1">
        <v>30202.52</v>
      </c>
      <c r="E638" s="1">
        <v>1129.73</v>
      </c>
      <c r="F638">
        <v>0</v>
      </c>
      <c r="G638" s="1">
        <v>11000</v>
      </c>
      <c r="H638" s="1">
        <v>12242.29</v>
      </c>
      <c r="I638" s="79" t="s">
        <v>2</v>
      </c>
    </row>
    <row r="639" spans="1:9" x14ac:dyDescent="0.25">
      <c r="A639">
        <v>782</v>
      </c>
      <c r="B639">
        <v>1611300</v>
      </c>
      <c r="C639">
        <v>0</v>
      </c>
      <c r="D639" s="1">
        <v>2254.1</v>
      </c>
      <c r="E639" s="1">
        <v>3191.31</v>
      </c>
      <c r="F639">
        <v>0</v>
      </c>
      <c r="G639" s="1">
        <v>5000</v>
      </c>
      <c r="H639" s="1">
        <v>1715.87</v>
      </c>
      <c r="I639" s="79" t="s">
        <v>2</v>
      </c>
    </row>
    <row r="640" spans="1:9" x14ac:dyDescent="0.25">
      <c r="A640">
        <v>782</v>
      </c>
      <c r="B640">
        <v>1611400</v>
      </c>
      <c r="C640">
        <v>0</v>
      </c>
      <c r="D640" s="1">
        <v>2943.68</v>
      </c>
      <c r="E640">
        <v>974.2</v>
      </c>
      <c r="F640">
        <v>0</v>
      </c>
      <c r="G640" s="1">
        <v>33000</v>
      </c>
      <c r="H640" s="1">
        <v>41843.54</v>
      </c>
      <c r="I640" s="79" t="s">
        <v>2</v>
      </c>
    </row>
    <row r="641" spans="1:9" x14ac:dyDescent="0.25">
      <c r="A641">
        <v>782</v>
      </c>
      <c r="B641">
        <v>1611500</v>
      </c>
      <c r="C641">
        <v>0</v>
      </c>
      <c r="D641" s="1">
        <v>2534.92</v>
      </c>
      <c r="E641" s="1">
        <v>41000</v>
      </c>
      <c r="F641">
        <v>0</v>
      </c>
      <c r="G641" s="1">
        <v>136000</v>
      </c>
      <c r="H641" s="1">
        <v>320000</v>
      </c>
      <c r="I641" s="79" t="s">
        <v>2</v>
      </c>
    </row>
    <row r="642" spans="1:9" x14ac:dyDescent="0.25">
      <c r="A642">
        <v>782</v>
      </c>
      <c r="B642">
        <v>1611510</v>
      </c>
      <c r="C642">
        <v>0</v>
      </c>
      <c r="D642" s="1">
        <v>1523.7</v>
      </c>
      <c r="E642" s="1">
        <v>3416.75</v>
      </c>
      <c r="F642">
        <v>0</v>
      </c>
      <c r="G642" s="1">
        <v>15000</v>
      </c>
      <c r="H642" s="1">
        <v>18881</v>
      </c>
      <c r="I642" s="79" t="s">
        <v>2</v>
      </c>
    </row>
    <row r="643" spans="1:9" x14ac:dyDescent="0.25">
      <c r="A643">
        <v>782</v>
      </c>
      <c r="B643">
        <v>1612000</v>
      </c>
      <c r="C643">
        <v>0</v>
      </c>
      <c r="D643" s="1">
        <v>2480</v>
      </c>
      <c r="E643">
        <v>0</v>
      </c>
      <c r="F643">
        <v>200.31</v>
      </c>
      <c r="G643" s="1">
        <v>1000</v>
      </c>
      <c r="H643" s="1">
        <v>1512.15</v>
      </c>
      <c r="I643" s="79" t="s">
        <v>2</v>
      </c>
    </row>
    <row r="644" spans="1:9" x14ac:dyDescent="0.25">
      <c r="A644">
        <v>782</v>
      </c>
      <c r="B644">
        <v>1612100</v>
      </c>
      <c r="C644">
        <v>0</v>
      </c>
      <c r="D644">
        <v>386.5</v>
      </c>
      <c r="E644" s="1">
        <v>13074.28</v>
      </c>
      <c r="F644">
        <v>0</v>
      </c>
      <c r="G644" s="1">
        <v>350000</v>
      </c>
      <c r="H644" s="1">
        <v>201275.1</v>
      </c>
      <c r="I644" s="79" t="s">
        <v>2</v>
      </c>
    </row>
    <row r="645" spans="1:9" x14ac:dyDescent="0.25">
      <c r="A645">
        <v>782</v>
      </c>
      <c r="B645">
        <v>1613000</v>
      </c>
      <c r="C645">
        <v>0</v>
      </c>
      <c r="D645" s="1">
        <v>124736.16</v>
      </c>
      <c r="E645" s="1">
        <v>4035.15</v>
      </c>
      <c r="F645">
        <v>0</v>
      </c>
      <c r="G645" s="1">
        <v>90000</v>
      </c>
      <c r="H645" s="1">
        <v>183850.41</v>
      </c>
      <c r="I645" s="79" t="s">
        <v>2</v>
      </c>
    </row>
    <row r="646" spans="1:9" x14ac:dyDescent="0.25">
      <c r="A646">
        <v>782</v>
      </c>
      <c r="B646">
        <v>1613100</v>
      </c>
      <c r="C646">
        <v>0</v>
      </c>
      <c r="D646" s="1">
        <v>2048.46</v>
      </c>
      <c r="E646" s="1">
        <v>24785</v>
      </c>
      <c r="F646">
        <v>0</v>
      </c>
      <c r="G646" s="1">
        <v>315000</v>
      </c>
      <c r="H646">
        <v>0</v>
      </c>
      <c r="I646" s="79" t="s">
        <v>2</v>
      </c>
    </row>
    <row r="647" spans="1:9" x14ac:dyDescent="0.25">
      <c r="A647">
        <v>782</v>
      </c>
      <c r="B647">
        <v>1613200</v>
      </c>
      <c r="C647">
        <v>0</v>
      </c>
      <c r="D647" s="1">
        <v>54088.9</v>
      </c>
      <c r="E647">
        <v>0</v>
      </c>
      <c r="F647" s="1">
        <v>1121.81</v>
      </c>
      <c r="G647" s="1">
        <v>1000</v>
      </c>
      <c r="H647">
        <v>0</v>
      </c>
      <c r="I647" s="79" t="s">
        <v>2</v>
      </c>
    </row>
    <row r="648" spans="1:9" x14ac:dyDescent="0.25">
      <c r="A648">
        <v>782</v>
      </c>
      <c r="B648">
        <v>1613300</v>
      </c>
      <c r="C648">
        <v>0</v>
      </c>
      <c r="D648" s="1">
        <v>28794.5</v>
      </c>
      <c r="E648" s="1">
        <v>3039.49</v>
      </c>
      <c r="F648">
        <v>0</v>
      </c>
      <c r="G648" s="1">
        <v>10000</v>
      </c>
      <c r="H648" s="1">
        <v>21466.63</v>
      </c>
      <c r="I648" s="79" t="s">
        <v>2</v>
      </c>
    </row>
    <row r="649" spans="1:9" x14ac:dyDescent="0.25">
      <c r="A649">
        <v>782</v>
      </c>
      <c r="B649">
        <v>1613400</v>
      </c>
      <c r="C649">
        <v>0</v>
      </c>
      <c r="D649" s="1">
        <v>20576.36</v>
      </c>
      <c r="E649">
        <v>0</v>
      </c>
      <c r="F649">
        <v>935.74</v>
      </c>
      <c r="G649" s="1">
        <v>5000</v>
      </c>
      <c r="H649" s="1">
        <v>1341.47</v>
      </c>
      <c r="I649" s="79" t="s">
        <v>2</v>
      </c>
    </row>
    <row r="650" spans="1:9" x14ac:dyDescent="0.25">
      <c r="A650">
        <v>782</v>
      </c>
      <c r="B650">
        <v>1613500</v>
      </c>
      <c r="C650">
        <v>0</v>
      </c>
      <c r="D650" s="1">
        <v>9114</v>
      </c>
      <c r="E650">
        <v>932</v>
      </c>
      <c r="F650">
        <v>0</v>
      </c>
      <c r="G650" s="1">
        <v>1000</v>
      </c>
      <c r="H650">
        <v>763</v>
      </c>
      <c r="I650" s="79" t="s">
        <v>2</v>
      </c>
    </row>
    <row r="651" spans="1:9" x14ac:dyDescent="0.25">
      <c r="A651">
        <v>782</v>
      </c>
      <c r="B651">
        <v>1613600</v>
      </c>
      <c r="C651">
        <v>0</v>
      </c>
      <c r="D651">
        <v>257</v>
      </c>
      <c r="E651" s="1">
        <v>9895.42</v>
      </c>
      <c r="F651">
        <v>0</v>
      </c>
      <c r="G651">
        <v>0</v>
      </c>
      <c r="H651" s="1">
        <v>33312.89</v>
      </c>
      <c r="I651" s="79" t="s">
        <v>2</v>
      </c>
    </row>
    <row r="652" spans="1:9" x14ac:dyDescent="0.25">
      <c r="A652">
        <v>782</v>
      </c>
      <c r="B652">
        <v>1613700</v>
      </c>
      <c r="C652">
        <v>0</v>
      </c>
      <c r="D652">
        <v>388.8</v>
      </c>
      <c r="E652" s="1">
        <v>9000</v>
      </c>
      <c r="F652">
        <v>0</v>
      </c>
      <c r="G652" s="1">
        <v>10000</v>
      </c>
      <c r="H652" s="1">
        <v>116298.8</v>
      </c>
      <c r="I652" s="79" t="s">
        <v>2</v>
      </c>
    </row>
    <row r="653" spans="1:9" x14ac:dyDescent="0.25">
      <c r="A653">
        <v>782</v>
      </c>
      <c r="B653">
        <v>1613910</v>
      </c>
      <c r="C653">
        <v>0</v>
      </c>
      <c r="D653" s="1">
        <v>3222.41</v>
      </c>
      <c r="E653">
        <v>0</v>
      </c>
      <c r="F653">
        <v>0</v>
      </c>
      <c r="G653">
        <v>0</v>
      </c>
      <c r="H653">
        <v>234</v>
      </c>
      <c r="I653" s="79" t="s">
        <v>2</v>
      </c>
    </row>
    <row r="654" spans="1:9" x14ac:dyDescent="0.25">
      <c r="A654">
        <v>782</v>
      </c>
      <c r="B654">
        <v>1617000</v>
      </c>
      <c r="C654">
        <v>0</v>
      </c>
      <c r="D654" s="1">
        <v>591089.84</v>
      </c>
      <c r="E654" s="1">
        <v>1000</v>
      </c>
      <c r="F654">
        <v>0</v>
      </c>
      <c r="G654" s="1">
        <v>1000</v>
      </c>
      <c r="H654">
        <v>696</v>
      </c>
      <c r="I654" s="79" t="s">
        <v>2</v>
      </c>
    </row>
    <row r="655" spans="1:9" x14ac:dyDescent="0.25">
      <c r="A655">
        <v>782</v>
      </c>
      <c r="B655">
        <v>1621000</v>
      </c>
      <c r="C655">
        <v>0</v>
      </c>
      <c r="D655" s="1">
        <v>27130.54</v>
      </c>
      <c r="E655" s="1">
        <v>1438.8</v>
      </c>
      <c r="F655">
        <v>0</v>
      </c>
      <c r="G655" s="1">
        <v>40000</v>
      </c>
      <c r="H655" s="1">
        <v>129843</v>
      </c>
      <c r="I655" s="79" t="s">
        <v>2</v>
      </c>
    </row>
    <row r="656" spans="1:9" x14ac:dyDescent="0.25">
      <c r="A656">
        <v>782</v>
      </c>
      <c r="B656">
        <v>1621100</v>
      </c>
      <c r="C656">
        <v>0</v>
      </c>
      <c r="D656" s="1">
        <v>1769</v>
      </c>
      <c r="E656" s="1">
        <v>1000</v>
      </c>
      <c r="F656">
        <v>0</v>
      </c>
      <c r="G656" s="1">
        <v>1000</v>
      </c>
      <c r="H656">
        <v>0</v>
      </c>
      <c r="I656" s="79" t="s">
        <v>2</v>
      </c>
    </row>
    <row r="657" spans="1:9" x14ac:dyDescent="0.25">
      <c r="A657">
        <v>782</v>
      </c>
      <c r="B657">
        <v>1621200</v>
      </c>
      <c r="C657">
        <v>0</v>
      </c>
      <c r="D657">
        <v>752</v>
      </c>
      <c r="E657" s="1">
        <v>12940.9</v>
      </c>
      <c r="F657">
        <v>0</v>
      </c>
      <c r="G657" s="1">
        <v>26000</v>
      </c>
      <c r="H657">
        <v>0</v>
      </c>
      <c r="I657" s="79" t="s">
        <v>2</v>
      </c>
    </row>
    <row r="658" spans="1:9" x14ac:dyDescent="0.25">
      <c r="A658">
        <v>782</v>
      </c>
      <c r="B658">
        <v>1621210</v>
      </c>
      <c r="C658">
        <v>0</v>
      </c>
      <c r="D658" s="1">
        <v>2649.4</v>
      </c>
      <c r="E658">
        <v>0</v>
      </c>
      <c r="F658" s="1">
        <v>403758</v>
      </c>
      <c r="G658" s="1">
        <v>75000</v>
      </c>
      <c r="H658" s="1">
        <v>548743</v>
      </c>
      <c r="I658" s="79" t="s">
        <v>2</v>
      </c>
    </row>
    <row r="659" spans="1:9" x14ac:dyDescent="0.25">
      <c r="A659">
        <v>782</v>
      </c>
      <c r="B659">
        <v>1621300</v>
      </c>
      <c r="C659">
        <v>0</v>
      </c>
      <c r="D659" s="1">
        <v>4980.6000000000004</v>
      </c>
      <c r="E659">
        <v>280.5</v>
      </c>
      <c r="F659">
        <v>0</v>
      </c>
      <c r="G659" s="1">
        <v>3000</v>
      </c>
      <c r="H659">
        <v>0</v>
      </c>
      <c r="I659" s="79" t="s">
        <v>2</v>
      </c>
    </row>
    <row r="660" spans="1:9" x14ac:dyDescent="0.25">
      <c r="A660">
        <v>782</v>
      </c>
      <c r="B660">
        <v>1623000</v>
      </c>
      <c r="C660">
        <v>0</v>
      </c>
      <c r="D660">
        <v>839.2</v>
      </c>
      <c r="E660" s="1">
        <v>16381.31</v>
      </c>
      <c r="F660">
        <v>0</v>
      </c>
      <c r="G660" s="1">
        <v>1304000</v>
      </c>
      <c r="H660" s="1">
        <v>1327712.77</v>
      </c>
      <c r="I660" s="79" t="s">
        <v>2</v>
      </c>
    </row>
    <row r="661" spans="1:9" x14ac:dyDescent="0.25">
      <c r="A661">
        <v>782</v>
      </c>
      <c r="B661">
        <v>1623100</v>
      </c>
      <c r="C661">
        <v>0</v>
      </c>
      <c r="D661" s="1">
        <v>33345</v>
      </c>
      <c r="E661">
        <v>0</v>
      </c>
      <c r="F661" s="1">
        <v>14887</v>
      </c>
      <c r="G661">
        <v>0</v>
      </c>
      <c r="H661" s="1">
        <v>1046</v>
      </c>
      <c r="I661" s="79" t="s">
        <v>2</v>
      </c>
    </row>
    <row r="662" spans="1:9" x14ac:dyDescent="0.25">
      <c r="A662">
        <v>782</v>
      </c>
      <c r="B662">
        <v>1623200</v>
      </c>
      <c r="C662">
        <v>0</v>
      </c>
      <c r="D662" s="1">
        <v>4695.2</v>
      </c>
      <c r="E662">
        <v>0</v>
      </c>
      <c r="F662" s="1">
        <v>6735.4</v>
      </c>
      <c r="G662" s="1">
        <v>7000</v>
      </c>
      <c r="H662" s="1">
        <v>6321.9</v>
      </c>
      <c r="I662" s="79" t="s">
        <v>2</v>
      </c>
    </row>
    <row r="663" spans="1:9" x14ac:dyDescent="0.25">
      <c r="A663">
        <v>782</v>
      </c>
      <c r="B663">
        <v>1623300</v>
      </c>
      <c r="C663">
        <v>0</v>
      </c>
      <c r="D663" s="1">
        <v>3701.14</v>
      </c>
      <c r="E663">
        <v>304.63</v>
      </c>
      <c r="F663">
        <v>0</v>
      </c>
      <c r="G663" s="1">
        <v>5000</v>
      </c>
      <c r="H663">
        <v>0</v>
      </c>
      <c r="I663" s="79" t="s">
        <v>2</v>
      </c>
    </row>
    <row r="664" spans="1:9" x14ac:dyDescent="0.25">
      <c r="A664">
        <v>782</v>
      </c>
      <c r="B664">
        <v>1623500</v>
      </c>
      <c r="C664">
        <v>0</v>
      </c>
      <c r="D664" s="1">
        <v>146354.99</v>
      </c>
      <c r="E664" s="1">
        <v>2196.09</v>
      </c>
      <c r="F664">
        <v>0</v>
      </c>
      <c r="G664" s="1">
        <v>15000</v>
      </c>
      <c r="H664" s="1">
        <v>33932.74</v>
      </c>
      <c r="I664" s="79" t="s">
        <v>2</v>
      </c>
    </row>
    <row r="665" spans="1:9" x14ac:dyDescent="0.25">
      <c r="A665">
        <v>782</v>
      </c>
      <c r="B665">
        <v>1711000</v>
      </c>
      <c r="C665">
        <v>0</v>
      </c>
      <c r="D665" s="1">
        <v>139562</v>
      </c>
      <c r="E665" s="1">
        <v>1000</v>
      </c>
      <c r="F665">
        <v>0</v>
      </c>
      <c r="G665" s="1">
        <v>1000</v>
      </c>
      <c r="H665">
        <v>0</v>
      </c>
      <c r="I665" s="79" t="s">
        <v>2</v>
      </c>
    </row>
    <row r="666" spans="1:9" x14ac:dyDescent="0.25">
      <c r="A666">
        <v>782</v>
      </c>
      <c r="B666">
        <v>1711100</v>
      </c>
      <c r="C666">
        <v>0</v>
      </c>
      <c r="D666" s="1">
        <v>5274.5</v>
      </c>
      <c r="E666">
        <v>283.66000000000003</v>
      </c>
      <c r="F666">
        <v>0</v>
      </c>
      <c r="G666" s="1">
        <v>335000</v>
      </c>
      <c r="H666" s="1">
        <v>689123.86</v>
      </c>
      <c r="I666" s="79" t="s">
        <v>2</v>
      </c>
    </row>
    <row r="667" spans="1:9" x14ac:dyDescent="0.25">
      <c r="A667">
        <v>782</v>
      </c>
      <c r="B667">
        <v>1712400</v>
      </c>
      <c r="C667">
        <v>0</v>
      </c>
      <c r="D667" s="1">
        <v>2297918.36</v>
      </c>
      <c r="E667">
        <v>0</v>
      </c>
      <c r="F667" s="1">
        <v>1989</v>
      </c>
      <c r="G667" s="1">
        <v>1600000</v>
      </c>
      <c r="H667" s="1">
        <v>1688000</v>
      </c>
      <c r="I667" s="79" t="s">
        <v>2</v>
      </c>
    </row>
    <row r="668" spans="1:9" x14ac:dyDescent="0.25">
      <c r="A668">
        <v>782</v>
      </c>
      <c r="B668">
        <v>1712410</v>
      </c>
      <c r="C668">
        <v>0</v>
      </c>
      <c r="D668" s="1">
        <v>7334697.1900000004</v>
      </c>
      <c r="E668">
        <v>0</v>
      </c>
      <c r="F668" s="1">
        <v>41042.19</v>
      </c>
      <c r="G668" s="1">
        <v>142000</v>
      </c>
      <c r="H668" s="1">
        <v>154764.32999999999</v>
      </c>
      <c r="I668" s="79" t="s">
        <v>2</v>
      </c>
    </row>
    <row r="669" spans="1:9" x14ac:dyDescent="0.25">
      <c r="A669">
        <v>782</v>
      </c>
      <c r="B669">
        <v>1721000</v>
      </c>
      <c r="C669">
        <v>0</v>
      </c>
      <c r="D669" s="1">
        <v>58996.5</v>
      </c>
      <c r="E669">
        <v>0</v>
      </c>
      <c r="F669">
        <v>0</v>
      </c>
      <c r="G669" s="1">
        <v>130000</v>
      </c>
      <c r="H669">
        <v>0</v>
      </c>
      <c r="I669" s="79" t="s">
        <v>2</v>
      </c>
    </row>
    <row r="670" spans="1:9" x14ac:dyDescent="0.25">
      <c r="A670">
        <v>782</v>
      </c>
      <c r="B670">
        <v>1721100</v>
      </c>
      <c r="C670">
        <v>0</v>
      </c>
      <c r="D670" s="1">
        <v>7937.66</v>
      </c>
      <c r="E670" s="1">
        <v>28773.89</v>
      </c>
      <c r="F670">
        <v>0</v>
      </c>
      <c r="G670" s="1">
        <v>547000</v>
      </c>
      <c r="H670" s="1">
        <v>495970.38</v>
      </c>
      <c r="I670" s="79" t="s">
        <v>2</v>
      </c>
    </row>
    <row r="671" spans="1:9" x14ac:dyDescent="0.25">
      <c r="A671">
        <v>782</v>
      </c>
      <c r="B671">
        <v>1721200</v>
      </c>
      <c r="C671">
        <v>0</v>
      </c>
      <c r="D671" s="1">
        <v>1665.4</v>
      </c>
      <c r="E671">
        <v>0</v>
      </c>
      <c r="F671" s="1">
        <v>3500</v>
      </c>
      <c r="G671">
        <v>0</v>
      </c>
      <c r="H671">
        <v>0</v>
      </c>
      <c r="I671" s="79" t="s">
        <v>2</v>
      </c>
    </row>
    <row r="672" spans="1:9" x14ac:dyDescent="0.25">
      <c r="A672">
        <v>782</v>
      </c>
      <c r="B672">
        <v>1732000</v>
      </c>
      <c r="C672">
        <v>0</v>
      </c>
      <c r="D672" s="1">
        <v>3439.46</v>
      </c>
      <c r="E672">
        <v>0</v>
      </c>
      <c r="F672">
        <v>0</v>
      </c>
      <c r="G672" s="1">
        <v>3000</v>
      </c>
      <c r="H672">
        <v>0</v>
      </c>
      <c r="I672" s="79" t="s">
        <v>2</v>
      </c>
    </row>
    <row r="673" spans="1:9" x14ac:dyDescent="0.25">
      <c r="A673">
        <v>782</v>
      </c>
      <c r="B673">
        <v>1746000</v>
      </c>
      <c r="C673">
        <v>0</v>
      </c>
      <c r="D673" s="1">
        <v>14704.3</v>
      </c>
      <c r="E673" s="1">
        <v>2078</v>
      </c>
      <c r="F673">
        <v>0</v>
      </c>
      <c r="G673" s="1">
        <v>5000</v>
      </c>
      <c r="H673">
        <v>0</v>
      </c>
      <c r="I673" s="79" t="s">
        <v>2</v>
      </c>
    </row>
    <row r="674" spans="1:9" x14ac:dyDescent="0.25">
      <c r="A674">
        <v>782</v>
      </c>
      <c r="B674">
        <v>1761000</v>
      </c>
      <c r="C674">
        <v>0</v>
      </c>
      <c r="D674">
        <v>907.5</v>
      </c>
      <c r="E674">
        <v>449</v>
      </c>
      <c r="F674">
        <v>0</v>
      </c>
      <c r="G674" s="1">
        <v>4000</v>
      </c>
      <c r="H674">
        <v>0</v>
      </c>
      <c r="I674" s="79" t="s">
        <v>2</v>
      </c>
    </row>
    <row r="675" spans="1:9" x14ac:dyDescent="0.25">
      <c r="A675">
        <v>782</v>
      </c>
      <c r="B675">
        <v>1782000</v>
      </c>
      <c r="C675">
        <v>0</v>
      </c>
      <c r="D675" s="1">
        <v>51103</v>
      </c>
      <c r="E675">
        <v>0</v>
      </c>
      <c r="F675" s="1">
        <v>2769</v>
      </c>
      <c r="G675" s="1">
        <v>7000</v>
      </c>
      <c r="H675">
        <v>0</v>
      </c>
      <c r="I675" s="79" t="s">
        <v>2</v>
      </c>
    </row>
    <row r="676" spans="1:9" x14ac:dyDescent="0.25">
      <c r="A676">
        <v>782</v>
      </c>
      <c r="B676">
        <v>1782100</v>
      </c>
      <c r="C676">
        <v>0</v>
      </c>
      <c r="D676">
        <v>390.6</v>
      </c>
      <c r="E676" s="1">
        <v>2000</v>
      </c>
      <c r="F676">
        <v>0</v>
      </c>
      <c r="G676" s="1">
        <v>2000</v>
      </c>
      <c r="H676">
        <v>0</v>
      </c>
      <c r="I676" s="79" t="s">
        <v>2</v>
      </c>
    </row>
    <row r="677" spans="1:9" x14ac:dyDescent="0.25">
      <c r="A677">
        <v>782</v>
      </c>
      <c r="B677">
        <v>1812200</v>
      </c>
      <c r="C677">
        <v>0</v>
      </c>
      <c r="D677" s="1">
        <v>1244894.21</v>
      </c>
      <c r="E677">
        <v>0</v>
      </c>
      <c r="F677" s="1">
        <v>2751.29</v>
      </c>
      <c r="G677" s="1">
        <v>3000</v>
      </c>
      <c r="H677">
        <v>0</v>
      </c>
      <c r="I677" s="79" t="s">
        <v>2</v>
      </c>
    </row>
    <row r="678" spans="1:9" x14ac:dyDescent="0.25">
      <c r="A678">
        <v>782</v>
      </c>
      <c r="B678">
        <v>1812210</v>
      </c>
      <c r="C678">
        <v>0</v>
      </c>
      <c r="D678" s="1">
        <v>47259.08</v>
      </c>
      <c r="E678">
        <v>0</v>
      </c>
      <c r="F678">
        <v>618.65</v>
      </c>
      <c r="G678" s="1">
        <v>1802000</v>
      </c>
      <c r="H678" s="1">
        <v>1543288.81</v>
      </c>
      <c r="I678" s="79" t="s">
        <v>2</v>
      </c>
    </row>
    <row r="679" spans="1:9" x14ac:dyDescent="0.25">
      <c r="A679">
        <v>782</v>
      </c>
      <c r="B679">
        <v>1812220</v>
      </c>
      <c r="C679">
        <v>0</v>
      </c>
      <c r="D679" s="1">
        <v>55198.7</v>
      </c>
      <c r="E679">
        <v>0</v>
      </c>
      <c r="F679">
        <v>177.8</v>
      </c>
      <c r="G679" s="1">
        <v>76000</v>
      </c>
      <c r="H679" s="1">
        <v>50470</v>
      </c>
      <c r="I679" s="79" t="s">
        <v>2</v>
      </c>
    </row>
    <row r="680" spans="1:9" x14ac:dyDescent="0.25">
      <c r="A680">
        <v>782</v>
      </c>
      <c r="B680">
        <v>1812230</v>
      </c>
      <c r="C680">
        <v>0</v>
      </c>
      <c r="D680" s="1">
        <v>13480</v>
      </c>
      <c r="E680" s="1">
        <v>11157.36</v>
      </c>
      <c r="F680">
        <v>0</v>
      </c>
      <c r="G680" s="1">
        <v>324000</v>
      </c>
      <c r="H680" s="1">
        <v>320938.62</v>
      </c>
      <c r="I680" s="79" t="s">
        <v>2</v>
      </c>
    </row>
    <row r="681" spans="1:9" x14ac:dyDescent="0.25">
      <c r="A681">
        <v>782</v>
      </c>
      <c r="B681">
        <v>1812240</v>
      </c>
      <c r="C681">
        <v>0</v>
      </c>
      <c r="D681" s="1">
        <v>8603.64</v>
      </c>
      <c r="E681" s="1">
        <v>678330.17</v>
      </c>
      <c r="F681">
        <v>0</v>
      </c>
      <c r="G681" s="1">
        <v>1000000</v>
      </c>
      <c r="H681">
        <v>0</v>
      </c>
      <c r="I681" s="79" t="s">
        <v>2</v>
      </c>
    </row>
    <row r="682" spans="1:9" x14ac:dyDescent="0.25">
      <c r="A682">
        <v>782</v>
      </c>
      <c r="B682">
        <v>1812250</v>
      </c>
      <c r="C682">
        <v>0</v>
      </c>
      <c r="D682" s="1">
        <v>18035.34</v>
      </c>
      <c r="E682">
        <v>0</v>
      </c>
      <c r="F682">
        <v>0</v>
      </c>
      <c r="G682" s="1">
        <v>400000</v>
      </c>
      <c r="H682" s="1">
        <v>658992</v>
      </c>
      <c r="I682" s="79" t="s">
        <v>2</v>
      </c>
    </row>
    <row r="683" spans="1:9" x14ac:dyDescent="0.25">
      <c r="A683">
        <v>782</v>
      </c>
      <c r="B683">
        <v>1812260</v>
      </c>
      <c r="C683">
        <v>0</v>
      </c>
      <c r="D683" s="1">
        <v>39279.5</v>
      </c>
      <c r="E683" s="1">
        <v>8169.63</v>
      </c>
      <c r="F683">
        <v>0</v>
      </c>
      <c r="G683" s="1">
        <v>80000</v>
      </c>
      <c r="H683">
        <v>0</v>
      </c>
      <c r="I683" s="79" t="s">
        <v>2</v>
      </c>
    </row>
    <row r="684" spans="1:9" x14ac:dyDescent="0.25">
      <c r="A684">
        <v>782</v>
      </c>
      <c r="B684">
        <v>1812270</v>
      </c>
      <c r="C684">
        <v>0</v>
      </c>
      <c r="D684" s="1">
        <v>8348.92</v>
      </c>
      <c r="E684" s="1">
        <v>220013.5</v>
      </c>
      <c r="F684">
        <v>0</v>
      </c>
      <c r="G684" s="1">
        <v>620000</v>
      </c>
      <c r="H684" s="1">
        <v>1052280.23</v>
      </c>
      <c r="I684" s="79" t="s">
        <v>2</v>
      </c>
    </row>
    <row r="685" spans="1:9" x14ac:dyDescent="0.25">
      <c r="A685">
        <v>782</v>
      </c>
      <c r="B685">
        <v>1812280</v>
      </c>
      <c r="C685">
        <v>0</v>
      </c>
      <c r="D685" s="1">
        <v>13798.5</v>
      </c>
      <c r="E685" s="1">
        <v>13592</v>
      </c>
      <c r="F685">
        <v>0</v>
      </c>
      <c r="G685" s="1">
        <v>55000</v>
      </c>
      <c r="H685" s="1">
        <v>27665</v>
      </c>
      <c r="I685" s="79" t="s">
        <v>2</v>
      </c>
    </row>
    <row r="686" spans="1:9" x14ac:dyDescent="0.25">
      <c r="A686">
        <v>782</v>
      </c>
      <c r="B686">
        <v>1812290</v>
      </c>
      <c r="C686">
        <v>0</v>
      </c>
      <c r="D686" s="1">
        <v>13337.31</v>
      </c>
      <c r="E686">
        <v>0</v>
      </c>
      <c r="F686" s="1">
        <v>59996</v>
      </c>
      <c r="G686">
        <v>0</v>
      </c>
      <c r="H686">
        <v>0</v>
      </c>
      <c r="I686" s="79" t="s">
        <v>2</v>
      </c>
    </row>
    <row r="687" spans="1:9" x14ac:dyDescent="0.25">
      <c r="A687">
        <v>782</v>
      </c>
      <c r="B687">
        <v>1812292</v>
      </c>
      <c r="C687">
        <v>0</v>
      </c>
      <c r="D687" s="1">
        <v>59071.77</v>
      </c>
      <c r="E687" s="1">
        <v>10477</v>
      </c>
      <c r="F687">
        <v>0</v>
      </c>
      <c r="G687" s="1">
        <v>67000</v>
      </c>
      <c r="H687">
        <v>0</v>
      </c>
      <c r="I687" s="79" t="s">
        <v>2</v>
      </c>
    </row>
    <row r="688" spans="1:9" x14ac:dyDescent="0.25">
      <c r="A688">
        <v>782</v>
      </c>
      <c r="B688">
        <v>1812293</v>
      </c>
      <c r="C688">
        <v>0</v>
      </c>
      <c r="D688" s="1">
        <v>8864.89</v>
      </c>
      <c r="E688">
        <v>0</v>
      </c>
      <c r="F688">
        <v>234</v>
      </c>
      <c r="G688">
        <v>0</v>
      </c>
      <c r="H688">
        <v>234</v>
      </c>
      <c r="I688" s="79" t="s">
        <v>2</v>
      </c>
    </row>
    <row r="689" spans="1:9" x14ac:dyDescent="0.25">
      <c r="A689">
        <v>782</v>
      </c>
      <c r="B689">
        <v>1812294</v>
      </c>
      <c r="C689">
        <v>0</v>
      </c>
      <c r="D689" s="1">
        <v>4540.5</v>
      </c>
      <c r="E689">
        <v>864</v>
      </c>
      <c r="F689">
        <v>0</v>
      </c>
      <c r="G689" s="1">
        <v>1000</v>
      </c>
      <c r="H689">
        <v>696</v>
      </c>
      <c r="I689" s="79" t="s">
        <v>2</v>
      </c>
    </row>
    <row r="690" spans="1:9" x14ac:dyDescent="0.25">
      <c r="A690">
        <v>782</v>
      </c>
      <c r="B690">
        <v>1812295</v>
      </c>
      <c r="C690">
        <v>0</v>
      </c>
      <c r="D690" s="1">
        <v>54425</v>
      </c>
      <c r="E690" s="1">
        <v>3402.63</v>
      </c>
      <c r="F690">
        <v>0</v>
      </c>
      <c r="G690" s="1">
        <v>90000</v>
      </c>
      <c r="H690" s="1">
        <v>125127.7</v>
      </c>
      <c r="I690" s="79" t="s">
        <v>2</v>
      </c>
    </row>
    <row r="691" spans="1:9" x14ac:dyDescent="0.25">
      <c r="A691">
        <v>782</v>
      </c>
      <c r="B691">
        <v>1812300</v>
      </c>
      <c r="C691">
        <v>0</v>
      </c>
      <c r="D691" s="1">
        <v>19800</v>
      </c>
      <c r="E691" s="1">
        <v>1900</v>
      </c>
      <c r="F691">
        <v>0</v>
      </c>
      <c r="G691" s="1">
        <v>3000</v>
      </c>
      <c r="H691" s="1">
        <v>3020</v>
      </c>
      <c r="I691" s="79" t="s">
        <v>2</v>
      </c>
    </row>
    <row r="692" spans="1:9" x14ac:dyDescent="0.25">
      <c r="A692">
        <v>782</v>
      </c>
      <c r="B692">
        <v>1812310</v>
      </c>
      <c r="C692">
        <v>0</v>
      </c>
      <c r="D692" s="1">
        <v>31690.81</v>
      </c>
      <c r="E692" s="1">
        <v>4091.95</v>
      </c>
      <c r="F692">
        <v>0</v>
      </c>
      <c r="G692" s="1">
        <v>140000</v>
      </c>
      <c r="H692" s="1">
        <v>470720.9</v>
      </c>
      <c r="I692" s="79" t="s">
        <v>2</v>
      </c>
    </row>
    <row r="693" spans="1:9" x14ac:dyDescent="0.25">
      <c r="A693">
        <v>782</v>
      </c>
      <c r="B693">
        <v>1812320</v>
      </c>
      <c r="C693">
        <v>0</v>
      </c>
      <c r="D693" s="1">
        <v>54597.9</v>
      </c>
      <c r="E693">
        <v>1.8</v>
      </c>
      <c r="F693">
        <v>0</v>
      </c>
      <c r="G693" s="1">
        <v>400000</v>
      </c>
      <c r="H693" s="1">
        <v>304379.28000000003</v>
      </c>
      <c r="I693" s="79" t="s">
        <v>2</v>
      </c>
    </row>
    <row r="694" spans="1:9" x14ac:dyDescent="0.25">
      <c r="A694">
        <v>782</v>
      </c>
      <c r="B694">
        <v>1812330</v>
      </c>
      <c r="C694">
        <v>0</v>
      </c>
      <c r="D694" s="1">
        <v>89008.9</v>
      </c>
      <c r="E694">
        <v>596.55999999999995</v>
      </c>
      <c r="F694">
        <v>0</v>
      </c>
      <c r="G694" s="1">
        <v>3000</v>
      </c>
      <c r="H694">
        <v>803.78</v>
      </c>
      <c r="I694" s="79" t="s">
        <v>2</v>
      </c>
    </row>
    <row r="695" spans="1:9" x14ac:dyDescent="0.25">
      <c r="A695">
        <v>782</v>
      </c>
      <c r="B695">
        <v>1812340</v>
      </c>
      <c r="C695">
        <v>0</v>
      </c>
      <c r="D695" s="1">
        <v>10098</v>
      </c>
      <c r="E695" s="1">
        <v>87975.29</v>
      </c>
      <c r="F695">
        <v>0</v>
      </c>
      <c r="G695" s="1">
        <v>115000</v>
      </c>
      <c r="H695" s="1">
        <v>21600</v>
      </c>
      <c r="I695" s="79" t="s">
        <v>2</v>
      </c>
    </row>
    <row r="696" spans="1:9" x14ac:dyDescent="0.25">
      <c r="A696">
        <v>782</v>
      </c>
      <c r="B696">
        <v>1812400</v>
      </c>
      <c r="C696">
        <v>0</v>
      </c>
      <c r="D696" s="1">
        <v>168966.9</v>
      </c>
      <c r="E696">
        <v>0</v>
      </c>
      <c r="F696">
        <v>0</v>
      </c>
      <c r="G696">
        <v>0</v>
      </c>
      <c r="H696" s="1">
        <v>257167.64</v>
      </c>
      <c r="I696" s="79" t="s">
        <v>2</v>
      </c>
    </row>
    <row r="697" spans="1:9" x14ac:dyDescent="0.25">
      <c r="A697">
        <v>782</v>
      </c>
      <c r="B697">
        <v>1812420</v>
      </c>
      <c r="C697">
        <v>0</v>
      </c>
      <c r="D697" s="1">
        <v>3519</v>
      </c>
      <c r="E697" s="1">
        <v>14000</v>
      </c>
      <c r="F697">
        <v>0</v>
      </c>
      <c r="G697" s="1">
        <v>14000</v>
      </c>
      <c r="H697">
        <v>0</v>
      </c>
      <c r="I697" s="79" t="s">
        <v>2</v>
      </c>
    </row>
    <row r="698" spans="1:9" x14ac:dyDescent="0.25">
      <c r="A698">
        <v>782</v>
      </c>
      <c r="B698">
        <v>1812430</v>
      </c>
      <c r="C698">
        <v>0</v>
      </c>
      <c r="D698" s="1">
        <v>2262</v>
      </c>
      <c r="E698">
        <v>76</v>
      </c>
      <c r="F698">
        <v>0</v>
      </c>
      <c r="G698" s="1">
        <v>10000</v>
      </c>
      <c r="H698">
        <v>0</v>
      </c>
      <c r="I698" s="79" t="s">
        <v>2</v>
      </c>
    </row>
    <row r="699" spans="1:9" x14ac:dyDescent="0.25">
      <c r="A699">
        <v>782</v>
      </c>
      <c r="B699">
        <v>1812440</v>
      </c>
      <c r="C699">
        <v>0</v>
      </c>
      <c r="D699">
        <v>436.04</v>
      </c>
      <c r="E699">
        <v>0</v>
      </c>
      <c r="F699">
        <v>0</v>
      </c>
      <c r="G699" s="1">
        <v>6000</v>
      </c>
      <c r="H699">
        <v>0</v>
      </c>
      <c r="I699" s="79" t="s">
        <v>2</v>
      </c>
    </row>
    <row r="700" spans="1:9" x14ac:dyDescent="0.25">
      <c r="A700">
        <v>782</v>
      </c>
      <c r="B700">
        <v>1812450</v>
      </c>
      <c r="C700">
        <v>0</v>
      </c>
      <c r="D700" s="1">
        <v>3519</v>
      </c>
      <c r="E700">
        <v>699</v>
      </c>
      <c r="F700">
        <v>0</v>
      </c>
      <c r="G700" s="1">
        <v>73000</v>
      </c>
      <c r="H700">
        <v>0</v>
      </c>
      <c r="I700" s="79" t="s">
        <v>2</v>
      </c>
    </row>
    <row r="701" spans="1:9" x14ac:dyDescent="0.25">
      <c r="A701">
        <v>782</v>
      </c>
      <c r="B701">
        <v>1812460</v>
      </c>
      <c r="C701">
        <v>0</v>
      </c>
      <c r="D701" s="1">
        <v>1500</v>
      </c>
      <c r="E701" s="1">
        <v>1544</v>
      </c>
      <c r="F701">
        <v>0</v>
      </c>
      <c r="G701" s="1">
        <v>66000</v>
      </c>
      <c r="H701">
        <v>0</v>
      </c>
      <c r="I701" s="79" t="s">
        <v>2</v>
      </c>
    </row>
    <row r="702" spans="1:9" x14ac:dyDescent="0.25">
      <c r="A702">
        <v>782</v>
      </c>
      <c r="B702">
        <v>1812470</v>
      </c>
      <c r="C702">
        <v>0</v>
      </c>
      <c r="D702">
        <v>653.84</v>
      </c>
      <c r="E702" s="1">
        <v>5061.5</v>
      </c>
      <c r="F702">
        <v>0</v>
      </c>
      <c r="G702" s="1">
        <v>63000</v>
      </c>
      <c r="H702">
        <v>0</v>
      </c>
      <c r="I702" s="79" t="s">
        <v>2</v>
      </c>
    </row>
    <row r="703" spans="1:9" x14ac:dyDescent="0.25">
      <c r="A703">
        <v>782</v>
      </c>
      <c r="B703">
        <v>1812490</v>
      </c>
      <c r="C703">
        <v>0</v>
      </c>
      <c r="D703">
        <v>394.4</v>
      </c>
      <c r="E703">
        <v>0</v>
      </c>
      <c r="F703">
        <v>20</v>
      </c>
      <c r="G703" s="1">
        <v>54000</v>
      </c>
      <c r="H703">
        <v>0</v>
      </c>
      <c r="I703" s="79" t="s">
        <v>2</v>
      </c>
    </row>
    <row r="704" spans="1:9" x14ac:dyDescent="0.25">
      <c r="A704">
        <v>782</v>
      </c>
      <c r="B704">
        <v>1812491</v>
      </c>
      <c r="C704">
        <v>0</v>
      </c>
      <c r="D704">
        <v>434</v>
      </c>
      <c r="E704" s="1">
        <v>5544</v>
      </c>
      <c r="F704">
        <v>0</v>
      </c>
      <c r="G704" s="1">
        <v>51000</v>
      </c>
      <c r="H704">
        <v>0</v>
      </c>
      <c r="I704" s="79" t="s">
        <v>2</v>
      </c>
    </row>
    <row r="705" spans="1:9" x14ac:dyDescent="0.25">
      <c r="A705">
        <v>782</v>
      </c>
      <c r="B705">
        <v>1813200</v>
      </c>
      <c r="C705">
        <v>0</v>
      </c>
      <c r="D705" s="1">
        <v>4300</v>
      </c>
      <c r="E705" s="1">
        <v>9500.1200000000008</v>
      </c>
      <c r="F705">
        <v>0</v>
      </c>
      <c r="G705" s="1">
        <v>19000</v>
      </c>
      <c r="H705">
        <v>0</v>
      </c>
      <c r="I705" s="79" t="s">
        <v>2</v>
      </c>
    </row>
    <row r="706" spans="1:9" x14ac:dyDescent="0.25">
      <c r="A706">
        <v>782</v>
      </c>
      <c r="B706">
        <v>1813210</v>
      </c>
      <c r="C706">
        <v>0</v>
      </c>
      <c r="D706" s="1">
        <v>4288.34</v>
      </c>
      <c r="E706">
        <v>310</v>
      </c>
      <c r="F706">
        <v>0</v>
      </c>
      <c r="G706" s="1">
        <v>38000</v>
      </c>
      <c r="H706">
        <v>0</v>
      </c>
      <c r="I706" s="79" t="s">
        <v>2</v>
      </c>
    </row>
    <row r="707" spans="1:9" x14ac:dyDescent="0.25">
      <c r="A707">
        <v>782</v>
      </c>
      <c r="B707">
        <v>1813310</v>
      </c>
      <c r="C707">
        <v>0</v>
      </c>
      <c r="D707" s="1">
        <v>1631372.2</v>
      </c>
      <c r="E707" s="1">
        <v>57197.61</v>
      </c>
      <c r="F707">
        <v>0</v>
      </c>
      <c r="G707" s="1">
        <v>1174000</v>
      </c>
      <c r="H707" s="1">
        <v>1315656.94</v>
      </c>
      <c r="I707" s="79" t="s">
        <v>2</v>
      </c>
    </row>
    <row r="708" spans="1:9" x14ac:dyDescent="0.25">
      <c r="A708">
        <v>782</v>
      </c>
      <c r="B708">
        <v>1813320</v>
      </c>
      <c r="C708">
        <v>0</v>
      </c>
      <c r="D708" s="1">
        <v>63491.199999999997</v>
      </c>
      <c r="E708">
        <v>0</v>
      </c>
      <c r="F708" s="1">
        <v>13420</v>
      </c>
      <c r="G708">
        <v>0</v>
      </c>
      <c r="H708" s="1">
        <v>14192</v>
      </c>
      <c r="I708" s="79" t="s">
        <v>2</v>
      </c>
    </row>
    <row r="709" spans="1:9" x14ac:dyDescent="0.25">
      <c r="A709">
        <v>782</v>
      </c>
      <c r="B709">
        <v>1813710</v>
      </c>
      <c r="C709">
        <v>0</v>
      </c>
      <c r="D709" s="1">
        <v>5489.29</v>
      </c>
      <c r="E709">
        <v>0</v>
      </c>
      <c r="F709">
        <v>178</v>
      </c>
      <c r="G709" s="1">
        <v>180000</v>
      </c>
      <c r="H709" s="1">
        <v>105291</v>
      </c>
      <c r="I709" s="79" t="s">
        <v>2</v>
      </c>
    </row>
    <row r="710" spans="1:9" x14ac:dyDescent="0.25">
      <c r="A710">
        <v>782</v>
      </c>
      <c r="B710">
        <v>1815500</v>
      </c>
      <c r="C710">
        <v>0</v>
      </c>
      <c r="D710" s="1">
        <v>4990.24</v>
      </c>
      <c r="E710">
        <v>0</v>
      </c>
      <c r="F710">
        <v>0</v>
      </c>
      <c r="G710" s="1">
        <v>40000</v>
      </c>
      <c r="H710">
        <v>0</v>
      </c>
      <c r="I710" s="79" t="s">
        <v>2</v>
      </c>
    </row>
    <row r="711" spans="1:9" x14ac:dyDescent="0.25">
      <c r="A711">
        <v>782</v>
      </c>
      <c r="B711">
        <v>1815510</v>
      </c>
      <c r="C711">
        <v>0</v>
      </c>
      <c r="D711" s="1">
        <v>8905.4599999999991</v>
      </c>
      <c r="E711">
        <v>0</v>
      </c>
      <c r="F711" s="1">
        <v>72059</v>
      </c>
      <c r="G711" s="1">
        <v>275000</v>
      </c>
      <c r="H711" s="1">
        <v>205652</v>
      </c>
      <c r="I711" s="79" t="s">
        <v>2</v>
      </c>
    </row>
    <row r="712" spans="1:9" x14ac:dyDescent="0.25">
      <c r="A712">
        <v>782</v>
      </c>
      <c r="B712">
        <v>1817200</v>
      </c>
      <c r="C712">
        <v>0</v>
      </c>
      <c r="D712">
        <v>195</v>
      </c>
      <c r="E712">
        <v>0</v>
      </c>
      <c r="F712">
        <v>0</v>
      </c>
      <c r="G712">
        <v>0</v>
      </c>
      <c r="H712" s="1">
        <v>8824</v>
      </c>
      <c r="I712" s="79" t="s">
        <v>2</v>
      </c>
    </row>
    <row r="713" spans="1:9" x14ac:dyDescent="0.25">
      <c r="A713">
        <v>782</v>
      </c>
      <c r="B713">
        <v>1817210</v>
      </c>
      <c r="C713">
        <v>0</v>
      </c>
      <c r="D713">
        <v>708.08</v>
      </c>
      <c r="E713" s="1">
        <v>479965.51</v>
      </c>
      <c r="F713">
        <v>0</v>
      </c>
      <c r="G713" s="1">
        <v>13004000</v>
      </c>
      <c r="H713" s="1">
        <v>11979811.6</v>
      </c>
      <c r="I713" s="79" t="s">
        <v>2</v>
      </c>
    </row>
    <row r="714" spans="1:9" x14ac:dyDescent="0.25">
      <c r="A714">
        <v>782</v>
      </c>
      <c r="B714">
        <v>1817300</v>
      </c>
      <c r="C714">
        <v>0</v>
      </c>
      <c r="D714" s="1">
        <v>46203.8</v>
      </c>
      <c r="E714">
        <v>0</v>
      </c>
      <c r="F714" s="1">
        <v>28733.32</v>
      </c>
      <c r="G714">
        <v>0</v>
      </c>
      <c r="H714" s="1">
        <v>77172.31</v>
      </c>
      <c r="I714" s="79" t="s">
        <v>2</v>
      </c>
    </row>
    <row r="715" spans="1:9" x14ac:dyDescent="0.25">
      <c r="A715">
        <v>782</v>
      </c>
      <c r="B715">
        <v>1817310</v>
      </c>
      <c r="C715">
        <v>0</v>
      </c>
      <c r="D715" s="1">
        <v>3844</v>
      </c>
      <c r="E715" s="1">
        <v>12619.02</v>
      </c>
      <c r="F715">
        <v>0</v>
      </c>
      <c r="G715" s="1">
        <v>19000</v>
      </c>
      <c r="H715" s="1">
        <v>19283.39</v>
      </c>
      <c r="I715" s="79" t="s">
        <v>2</v>
      </c>
    </row>
    <row r="716" spans="1:9" x14ac:dyDescent="0.25">
      <c r="A716">
        <v>782</v>
      </c>
      <c r="B716">
        <v>1817311</v>
      </c>
      <c r="C716">
        <v>0</v>
      </c>
      <c r="D716" s="1">
        <v>2439.4</v>
      </c>
      <c r="E716">
        <v>0</v>
      </c>
      <c r="F716">
        <v>46.17</v>
      </c>
      <c r="G716" s="1">
        <v>26000</v>
      </c>
      <c r="H716" s="1">
        <v>18233.939999999999</v>
      </c>
      <c r="I716" s="79" t="s">
        <v>2</v>
      </c>
    </row>
    <row r="717" spans="1:9" x14ac:dyDescent="0.25">
      <c r="A717">
        <v>782</v>
      </c>
      <c r="B717">
        <v>1817320</v>
      </c>
      <c r="C717">
        <v>0</v>
      </c>
      <c r="D717">
        <v>704</v>
      </c>
      <c r="E717" s="1">
        <v>1000</v>
      </c>
      <c r="F717">
        <v>0</v>
      </c>
      <c r="G717" s="1">
        <v>1000</v>
      </c>
      <c r="H717" s="1">
        <v>1600</v>
      </c>
      <c r="I717" s="79" t="s">
        <v>2</v>
      </c>
    </row>
    <row r="718" spans="1:9" x14ac:dyDescent="0.25">
      <c r="A718">
        <v>782</v>
      </c>
      <c r="B718">
        <v>1823000</v>
      </c>
      <c r="C718">
        <v>0</v>
      </c>
      <c r="D718" s="1">
        <v>12803.91</v>
      </c>
      <c r="E718" s="1">
        <v>4601.9799999999996</v>
      </c>
      <c r="F718">
        <v>0</v>
      </c>
      <c r="G718" s="1">
        <v>5000</v>
      </c>
      <c r="H718" s="1">
        <v>6301.5</v>
      </c>
      <c r="I718" s="79" t="s">
        <v>2</v>
      </c>
    </row>
    <row r="719" spans="1:9" x14ac:dyDescent="0.25">
      <c r="A719">
        <v>782</v>
      </c>
      <c r="B719">
        <v>1841000</v>
      </c>
      <c r="C719">
        <v>0</v>
      </c>
      <c r="D719" s="1">
        <v>25306.9</v>
      </c>
      <c r="E719" s="1">
        <v>3964</v>
      </c>
      <c r="F719">
        <v>0</v>
      </c>
      <c r="G719" s="1">
        <v>5000</v>
      </c>
      <c r="H719" s="1">
        <v>5142</v>
      </c>
      <c r="I719" s="79" t="s">
        <v>2</v>
      </c>
    </row>
    <row r="720" spans="1:9" x14ac:dyDescent="0.25">
      <c r="A720">
        <v>782</v>
      </c>
      <c r="B720">
        <v>1841100</v>
      </c>
      <c r="C720">
        <v>0</v>
      </c>
      <c r="D720" s="1">
        <v>3553</v>
      </c>
      <c r="E720">
        <v>0</v>
      </c>
      <c r="F720">
        <v>0</v>
      </c>
      <c r="G720">
        <v>0</v>
      </c>
      <c r="H720" s="1">
        <v>15522.28</v>
      </c>
      <c r="I720" s="79" t="s">
        <v>2</v>
      </c>
    </row>
    <row r="721" spans="1:9" x14ac:dyDescent="0.25">
      <c r="A721">
        <v>782</v>
      </c>
      <c r="B721">
        <v>1841120</v>
      </c>
      <c r="C721">
        <v>0</v>
      </c>
      <c r="D721" s="1">
        <v>4347.1000000000004</v>
      </c>
      <c r="E721" s="1">
        <v>2693.1</v>
      </c>
      <c r="F721">
        <v>0</v>
      </c>
      <c r="G721" s="1">
        <v>28000</v>
      </c>
      <c r="H721" s="1">
        <v>39778.6</v>
      </c>
      <c r="I721" s="79" t="s">
        <v>2</v>
      </c>
    </row>
    <row r="722" spans="1:9" x14ac:dyDescent="0.25">
      <c r="A722">
        <v>782</v>
      </c>
      <c r="B722">
        <v>1841241</v>
      </c>
      <c r="C722">
        <v>0</v>
      </c>
      <c r="D722">
        <v>800</v>
      </c>
      <c r="E722" s="1">
        <v>16000</v>
      </c>
      <c r="F722">
        <v>0</v>
      </c>
      <c r="G722" s="1">
        <v>106000</v>
      </c>
      <c r="H722">
        <v>0</v>
      </c>
      <c r="I722" s="79" t="s">
        <v>2</v>
      </c>
    </row>
    <row r="723" spans="1:9" x14ac:dyDescent="0.25">
      <c r="A723">
        <v>782</v>
      </c>
      <c r="B723">
        <v>1937000</v>
      </c>
      <c r="C723">
        <v>0</v>
      </c>
      <c r="D723" s="1">
        <v>40000</v>
      </c>
      <c r="E723">
        <v>447</v>
      </c>
      <c r="F723">
        <v>0</v>
      </c>
      <c r="G723" s="1">
        <v>4000</v>
      </c>
      <c r="H723">
        <v>0</v>
      </c>
      <c r="I723" s="79" t="s">
        <v>2</v>
      </c>
    </row>
    <row r="724" spans="1:9" x14ac:dyDescent="0.25">
      <c r="A724">
        <v>782</v>
      </c>
      <c r="B724">
        <v>1939000</v>
      </c>
      <c r="C724">
        <v>0</v>
      </c>
      <c r="D724">
        <v>123.2</v>
      </c>
      <c r="E724" s="1">
        <v>6185</v>
      </c>
      <c r="F724">
        <v>0</v>
      </c>
      <c r="G724" s="1">
        <v>16000</v>
      </c>
      <c r="H724" s="1">
        <v>9738</v>
      </c>
      <c r="I724" s="79">
        <f>SUM(D637:D723)/1000</f>
        <v>14867.798600000004</v>
      </c>
    </row>
    <row r="725" spans="1:9" x14ac:dyDescent="0.25">
      <c r="A725">
        <v>800</v>
      </c>
      <c r="B725">
        <v>1611000</v>
      </c>
      <c r="C725">
        <v>0</v>
      </c>
      <c r="D725" s="1">
        <v>17773.95</v>
      </c>
      <c r="E725" s="1">
        <v>1652.9</v>
      </c>
      <c r="F725">
        <v>0</v>
      </c>
      <c r="G725" s="1">
        <v>6000</v>
      </c>
      <c r="H725">
        <v>0</v>
      </c>
      <c r="I725" s="79">
        <f>D725/1000</f>
        <v>17.773949999999999</v>
      </c>
    </row>
    <row r="726" spans="1:9" x14ac:dyDescent="0.25">
      <c r="A726">
        <v>810</v>
      </c>
      <c r="B726">
        <v>1611000</v>
      </c>
      <c r="C726">
        <v>0</v>
      </c>
      <c r="D726" s="1">
        <v>118425</v>
      </c>
      <c r="E726" s="1">
        <v>1200</v>
      </c>
      <c r="F726">
        <v>0</v>
      </c>
      <c r="G726" s="1">
        <v>2000</v>
      </c>
      <c r="H726">
        <v>0</v>
      </c>
      <c r="I726" s="79" t="s">
        <v>2</v>
      </c>
    </row>
    <row r="727" spans="1:9" x14ac:dyDescent="0.25">
      <c r="A727">
        <v>810</v>
      </c>
      <c r="B727">
        <v>1613000</v>
      </c>
      <c r="C727">
        <v>0</v>
      </c>
      <c r="D727" s="1">
        <v>61450</v>
      </c>
      <c r="E727" s="1">
        <v>2000</v>
      </c>
      <c r="F727">
        <v>0</v>
      </c>
      <c r="G727" s="1">
        <v>4000</v>
      </c>
      <c r="H727" s="1">
        <v>3487</v>
      </c>
      <c r="I727" s="79" t="s">
        <v>2</v>
      </c>
    </row>
    <row r="728" spans="1:9" x14ac:dyDescent="0.25">
      <c r="A728">
        <v>810</v>
      </c>
      <c r="B728">
        <v>1724000</v>
      </c>
      <c r="C728">
        <v>0</v>
      </c>
      <c r="D728" s="1">
        <v>27622.69</v>
      </c>
      <c r="E728">
        <v>0</v>
      </c>
      <c r="F728" s="1">
        <v>365396</v>
      </c>
      <c r="G728" s="1">
        <v>100000</v>
      </c>
      <c r="H728" s="1">
        <v>22592</v>
      </c>
      <c r="I728" s="79" t="s">
        <v>2</v>
      </c>
    </row>
    <row r="729" spans="1:9" x14ac:dyDescent="0.25">
      <c r="A729">
        <v>810</v>
      </c>
      <c r="B729">
        <v>1766000</v>
      </c>
      <c r="C729">
        <v>0</v>
      </c>
      <c r="D729" s="1">
        <v>219920</v>
      </c>
      <c r="E729">
        <v>0</v>
      </c>
      <c r="F729" s="1">
        <v>34241</v>
      </c>
      <c r="G729" s="1">
        <v>86000</v>
      </c>
      <c r="H729" s="1">
        <v>118412</v>
      </c>
      <c r="I729" s="79" t="s">
        <v>2</v>
      </c>
    </row>
    <row r="730" spans="1:9" x14ac:dyDescent="0.25">
      <c r="A730">
        <v>810</v>
      </c>
      <c r="B730">
        <v>1766100</v>
      </c>
      <c r="C730">
        <v>0</v>
      </c>
      <c r="D730">
        <v>549</v>
      </c>
      <c r="E730" s="1">
        <v>35000</v>
      </c>
      <c r="F730">
        <v>0</v>
      </c>
      <c r="G730" s="1">
        <v>35000</v>
      </c>
      <c r="H730" s="1">
        <v>70568</v>
      </c>
      <c r="I730" s="79" t="s">
        <v>2</v>
      </c>
    </row>
    <row r="731" spans="1:9" x14ac:dyDescent="0.25">
      <c r="A731">
        <v>810</v>
      </c>
      <c r="B731">
        <v>1812310</v>
      </c>
      <c r="C731">
        <v>0</v>
      </c>
      <c r="D731" s="1">
        <v>5382778.2699999996</v>
      </c>
      <c r="E731">
        <v>0</v>
      </c>
      <c r="F731" s="1">
        <v>26570</v>
      </c>
      <c r="G731" s="1">
        <v>59000</v>
      </c>
      <c r="H731" s="1">
        <v>59430</v>
      </c>
      <c r="I731" s="79" t="s">
        <v>2</v>
      </c>
    </row>
    <row r="732" spans="1:9" x14ac:dyDescent="0.25">
      <c r="A732">
        <v>810</v>
      </c>
      <c r="B732">
        <v>1812311</v>
      </c>
      <c r="C732">
        <v>0</v>
      </c>
      <c r="D732" s="1">
        <v>7136151.4800000004</v>
      </c>
      <c r="E732" s="1">
        <v>4310</v>
      </c>
      <c r="F732">
        <v>0</v>
      </c>
      <c r="G732" s="1">
        <v>15000</v>
      </c>
      <c r="H732" s="1">
        <v>22407.15</v>
      </c>
      <c r="I732" s="79" t="s">
        <v>2</v>
      </c>
    </row>
    <row r="733" spans="1:9" x14ac:dyDescent="0.25">
      <c r="A733">
        <v>810</v>
      </c>
      <c r="B733">
        <v>1812400</v>
      </c>
      <c r="C733">
        <v>0</v>
      </c>
      <c r="D733" s="1">
        <v>13950</v>
      </c>
      <c r="E733" s="1">
        <v>2673.89</v>
      </c>
      <c r="F733">
        <v>0</v>
      </c>
      <c r="G733" s="1">
        <v>14000</v>
      </c>
      <c r="H733">
        <v>0</v>
      </c>
      <c r="I733" s="79" t="s">
        <v>2</v>
      </c>
    </row>
    <row r="734" spans="1:9" x14ac:dyDescent="0.25">
      <c r="A734">
        <v>810</v>
      </c>
      <c r="B734">
        <v>1815500</v>
      </c>
      <c r="C734">
        <v>0</v>
      </c>
      <c r="D734" s="1">
        <v>90844</v>
      </c>
      <c r="E734">
        <v>0</v>
      </c>
      <c r="F734" s="1">
        <v>37201</v>
      </c>
      <c r="G734">
        <v>0</v>
      </c>
      <c r="H734" s="1">
        <v>-3300</v>
      </c>
      <c r="I734" s="79" t="s">
        <v>2</v>
      </c>
    </row>
    <row r="735" spans="1:9" x14ac:dyDescent="0.25">
      <c r="A735">
        <v>810</v>
      </c>
      <c r="B735">
        <v>1815520</v>
      </c>
      <c r="C735">
        <v>0</v>
      </c>
      <c r="D735" s="1">
        <v>47259</v>
      </c>
      <c r="E735" s="1">
        <v>24726</v>
      </c>
      <c r="F735">
        <v>0</v>
      </c>
      <c r="G735" s="1">
        <v>80000</v>
      </c>
      <c r="H735" s="1">
        <v>36879</v>
      </c>
      <c r="I735" s="79" t="s">
        <v>2</v>
      </c>
    </row>
    <row r="736" spans="1:9" x14ac:dyDescent="0.25">
      <c r="A736">
        <v>810</v>
      </c>
      <c r="B736">
        <v>1815530</v>
      </c>
      <c r="C736">
        <v>0</v>
      </c>
      <c r="D736" s="1">
        <v>118658.26</v>
      </c>
      <c r="E736" s="1">
        <v>8411</v>
      </c>
      <c r="F736">
        <v>0</v>
      </c>
      <c r="G736" s="1">
        <v>80000</v>
      </c>
      <c r="H736" s="1">
        <v>79554</v>
      </c>
      <c r="I736" s="79" t="s">
        <v>2</v>
      </c>
    </row>
    <row r="737" spans="1:9" x14ac:dyDescent="0.25">
      <c r="A737">
        <v>810</v>
      </c>
      <c r="B737">
        <v>1816800</v>
      </c>
      <c r="C737">
        <v>0</v>
      </c>
      <c r="D737" s="1">
        <v>100000</v>
      </c>
      <c r="E737" s="1">
        <v>14789</v>
      </c>
      <c r="F737">
        <v>0</v>
      </c>
      <c r="G737" s="1">
        <v>20000</v>
      </c>
      <c r="H737">
        <v>0</v>
      </c>
      <c r="I737" s="79" t="s">
        <v>2</v>
      </c>
    </row>
    <row r="738" spans="1:9" x14ac:dyDescent="0.25">
      <c r="A738">
        <v>810</v>
      </c>
      <c r="B738">
        <v>1824000</v>
      </c>
      <c r="C738">
        <v>0</v>
      </c>
      <c r="D738" s="1">
        <v>1601989</v>
      </c>
      <c r="E738">
        <v>0</v>
      </c>
      <c r="F738" s="1">
        <v>21565.38</v>
      </c>
      <c r="G738" s="1">
        <v>88000</v>
      </c>
      <c r="H738" s="1">
        <v>88217</v>
      </c>
      <c r="I738" s="79" t="s">
        <v>2</v>
      </c>
    </row>
    <row r="739" spans="1:9" x14ac:dyDescent="0.25">
      <c r="A739">
        <v>810</v>
      </c>
      <c r="B739">
        <v>1824100</v>
      </c>
      <c r="C739">
        <v>0</v>
      </c>
      <c r="D739" s="1">
        <v>183042.19</v>
      </c>
      <c r="E739">
        <v>0</v>
      </c>
      <c r="F739">
        <v>0</v>
      </c>
      <c r="G739">
        <v>0</v>
      </c>
      <c r="H739" s="1">
        <v>27360</v>
      </c>
      <c r="I739" s="79" t="s">
        <v>2</v>
      </c>
    </row>
    <row r="740" spans="1:9" x14ac:dyDescent="0.25">
      <c r="A740">
        <v>810</v>
      </c>
      <c r="B740">
        <v>1824300</v>
      </c>
      <c r="C740">
        <v>0</v>
      </c>
      <c r="D740" s="1">
        <v>130000</v>
      </c>
      <c r="E740">
        <v>0</v>
      </c>
      <c r="F740" s="1">
        <v>73186</v>
      </c>
      <c r="G740" s="1">
        <v>200000</v>
      </c>
      <c r="H740" s="1">
        <v>199733</v>
      </c>
      <c r="I740" s="79" t="s">
        <v>2</v>
      </c>
    </row>
    <row r="741" spans="1:9" x14ac:dyDescent="0.25">
      <c r="A741">
        <v>810</v>
      </c>
      <c r="B741">
        <v>1826100</v>
      </c>
      <c r="C741">
        <v>0</v>
      </c>
      <c r="D741" s="1">
        <v>1802618.65</v>
      </c>
      <c r="E741" s="1">
        <v>3561</v>
      </c>
      <c r="F741">
        <v>0</v>
      </c>
      <c r="G741" s="1">
        <v>8000</v>
      </c>
      <c r="H741" s="1">
        <v>5236</v>
      </c>
      <c r="I741" s="79" t="s">
        <v>2</v>
      </c>
    </row>
    <row r="742" spans="1:9" x14ac:dyDescent="0.25">
      <c r="A742">
        <v>810</v>
      </c>
      <c r="B742">
        <v>1826110</v>
      </c>
      <c r="C742">
        <v>0</v>
      </c>
      <c r="D742" s="1">
        <v>312842.64</v>
      </c>
      <c r="E742">
        <v>0</v>
      </c>
      <c r="F742" s="1">
        <v>141208</v>
      </c>
      <c r="G742" s="1">
        <v>401000</v>
      </c>
      <c r="H742" s="1">
        <v>400657.61</v>
      </c>
      <c r="I742" s="79" t="s">
        <v>2</v>
      </c>
    </row>
    <row r="743" spans="1:9" x14ac:dyDescent="0.25">
      <c r="A743">
        <v>810</v>
      </c>
      <c r="B743">
        <v>1827000</v>
      </c>
      <c r="C743">
        <v>0</v>
      </c>
      <c r="D743" s="1">
        <v>41408</v>
      </c>
      <c r="E743">
        <v>842</v>
      </c>
      <c r="F743">
        <v>0</v>
      </c>
      <c r="G743" s="1">
        <v>4000</v>
      </c>
      <c r="H743">
        <v>0</v>
      </c>
      <c r="I743" s="79" t="s">
        <v>2</v>
      </c>
    </row>
    <row r="744" spans="1:9" x14ac:dyDescent="0.25">
      <c r="A744">
        <v>810</v>
      </c>
      <c r="B744">
        <v>1828000</v>
      </c>
      <c r="C744">
        <v>0</v>
      </c>
      <c r="D744" s="1">
        <v>1100</v>
      </c>
      <c r="E744">
        <v>755.3</v>
      </c>
      <c r="F744">
        <v>0</v>
      </c>
      <c r="G744" s="1">
        <v>188000</v>
      </c>
      <c r="H744" s="1">
        <v>187584</v>
      </c>
      <c r="I744" s="79" t="s">
        <v>2</v>
      </c>
    </row>
    <row r="745" spans="1:9" x14ac:dyDescent="0.25">
      <c r="A745">
        <v>810</v>
      </c>
      <c r="B745">
        <v>1828910</v>
      </c>
      <c r="C745">
        <v>0</v>
      </c>
      <c r="D745" s="1">
        <v>19302</v>
      </c>
      <c r="E745">
        <v>0</v>
      </c>
      <c r="F745" s="1">
        <v>118490</v>
      </c>
      <c r="G745" s="1">
        <v>3334000</v>
      </c>
      <c r="H745" s="1">
        <v>4463649</v>
      </c>
      <c r="I745" s="79" t="s">
        <v>2</v>
      </c>
    </row>
    <row r="746" spans="1:9" x14ac:dyDescent="0.25">
      <c r="A746">
        <v>810</v>
      </c>
      <c r="B746">
        <v>1828912</v>
      </c>
      <c r="C746">
        <v>0</v>
      </c>
      <c r="D746" s="1">
        <v>9924</v>
      </c>
      <c r="E746" s="1">
        <v>30784</v>
      </c>
      <c r="F746">
        <v>0</v>
      </c>
      <c r="G746" s="1">
        <v>899000</v>
      </c>
      <c r="H746" s="1">
        <v>1013866</v>
      </c>
      <c r="I746" s="79" t="s">
        <v>2</v>
      </c>
    </row>
    <row r="747" spans="1:9" x14ac:dyDescent="0.25">
      <c r="A747">
        <v>810</v>
      </c>
      <c r="B747">
        <v>1828913</v>
      </c>
      <c r="C747">
        <v>0</v>
      </c>
      <c r="D747" s="1">
        <v>6000</v>
      </c>
      <c r="E747">
        <v>0</v>
      </c>
      <c r="F747" s="1">
        <v>46698</v>
      </c>
      <c r="G747" s="1">
        <v>4624000</v>
      </c>
      <c r="H747" s="1">
        <v>4624153</v>
      </c>
      <c r="I747" s="79" t="s">
        <v>2</v>
      </c>
    </row>
    <row r="748" spans="1:9" x14ac:dyDescent="0.25">
      <c r="A748">
        <v>810</v>
      </c>
      <c r="B748">
        <v>1828920</v>
      </c>
      <c r="C748">
        <v>0</v>
      </c>
      <c r="D748" s="1">
        <v>72301</v>
      </c>
      <c r="E748" s="1">
        <v>4987.5</v>
      </c>
      <c r="F748">
        <v>0</v>
      </c>
      <c r="G748" s="1">
        <v>10000</v>
      </c>
      <c r="H748">
        <v>0</v>
      </c>
      <c r="I748" s="79" t="s">
        <v>2</v>
      </c>
    </row>
    <row r="749" spans="1:9" x14ac:dyDescent="0.25">
      <c r="A749">
        <v>810</v>
      </c>
      <c r="B749">
        <v>1828930</v>
      </c>
      <c r="C749">
        <v>0</v>
      </c>
      <c r="D749" s="1">
        <v>64456</v>
      </c>
      <c r="E749" s="1">
        <v>6003</v>
      </c>
      <c r="F749">
        <v>0</v>
      </c>
      <c r="G749" s="1">
        <v>20000</v>
      </c>
      <c r="H749" s="1">
        <v>118275.9</v>
      </c>
      <c r="I749" s="79" t="s">
        <v>2</v>
      </c>
    </row>
    <row r="750" spans="1:9" x14ac:dyDescent="0.25">
      <c r="A750">
        <v>810</v>
      </c>
      <c r="B750">
        <v>1828940</v>
      </c>
      <c r="C750">
        <v>0</v>
      </c>
      <c r="D750" s="1">
        <v>57938.5</v>
      </c>
      <c r="E750">
        <v>0</v>
      </c>
      <c r="F750" s="1">
        <v>9884.0499999999993</v>
      </c>
      <c r="G750">
        <v>0</v>
      </c>
      <c r="H750">
        <v>0</v>
      </c>
      <c r="I750" s="79" t="s">
        <v>2</v>
      </c>
    </row>
    <row r="751" spans="1:9" x14ac:dyDescent="0.25">
      <c r="A751">
        <v>810</v>
      </c>
      <c r="B751">
        <v>1828950</v>
      </c>
      <c r="C751">
        <v>0</v>
      </c>
      <c r="D751" s="1">
        <v>54020</v>
      </c>
      <c r="E751" s="1">
        <v>20065</v>
      </c>
      <c r="F751">
        <v>0</v>
      </c>
      <c r="G751" s="1">
        <v>172000</v>
      </c>
      <c r="H751" s="1">
        <v>228500</v>
      </c>
      <c r="I751" s="79" t="s">
        <v>2</v>
      </c>
    </row>
    <row r="752" spans="1:9" x14ac:dyDescent="0.25">
      <c r="A752">
        <v>810</v>
      </c>
      <c r="B752">
        <v>1828960</v>
      </c>
      <c r="C752">
        <v>0</v>
      </c>
      <c r="D752" s="1">
        <v>45456</v>
      </c>
      <c r="E752">
        <v>0</v>
      </c>
      <c r="F752" s="1">
        <v>5697</v>
      </c>
      <c r="G752" s="1">
        <v>76000</v>
      </c>
      <c r="H752" s="1">
        <v>75927</v>
      </c>
      <c r="I752" s="79" t="s">
        <v>2</v>
      </c>
    </row>
    <row r="753" spans="1:9" x14ac:dyDescent="0.25">
      <c r="A753">
        <v>810</v>
      </c>
      <c r="B753">
        <v>1828970</v>
      </c>
      <c r="C753">
        <v>0</v>
      </c>
      <c r="D753" s="1">
        <v>9499.8799999999992</v>
      </c>
      <c r="E753">
        <v>0</v>
      </c>
      <c r="F753" s="1">
        <v>319346</v>
      </c>
      <c r="G753" s="1">
        <v>404000</v>
      </c>
      <c r="H753" s="1">
        <v>793388</v>
      </c>
      <c r="I753" s="79" t="s">
        <v>2</v>
      </c>
    </row>
    <row r="754" spans="1:9" x14ac:dyDescent="0.25">
      <c r="A754">
        <v>810</v>
      </c>
      <c r="B754">
        <v>1828980</v>
      </c>
      <c r="C754">
        <v>0</v>
      </c>
      <c r="D754" s="1">
        <v>37690</v>
      </c>
      <c r="E754" s="1">
        <v>65730.8</v>
      </c>
      <c r="F754">
        <v>0</v>
      </c>
      <c r="G754" s="1">
        <v>132000</v>
      </c>
      <c r="H754" s="1">
        <v>138918.46</v>
      </c>
      <c r="I754" s="79" t="s">
        <v>2</v>
      </c>
    </row>
    <row r="755" spans="1:9" x14ac:dyDescent="0.25">
      <c r="A755">
        <v>810</v>
      </c>
      <c r="B755">
        <v>1828990</v>
      </c>
      <c r="C755">
        <v>0</v>
      </c>
      <c r="D755" s="1">
        <v>13275</v>
      </c>
      <c r="E755" s="1">
        <v>1196</v>
      </c>
      <c r="F755">
        <v>0</v>
      </c>
      <c r="G755" s="1">
        <v>20000</v>
      </c>
      <c r="H755" s="1">
        <v>93226</v>
      </c>
      <c r="I755" s="79" t="s">
        <v>2</v>
      </c>
    </row>
    <row r="756" spans="1:9" x14ac:dyDescent="0.25">
      <c r="A756">
        <v>810</v>
      </c>
      <c r="B756">
        <v>1829900</v>
      </c>
      <c r="C756">
        <v>0</v>
      </c>
      <c r="D756" s="1">
        <v>905654</v>
      </c>
      <c r="E756" s="1">
        <v>61404</v>
      </c>
      <c r="F756">
        <v>0</v>
      </c>
      <c r="G756" s="1">
        <v>62000</v>
      </c>
      <c r="H756" s="1">
        <v>62070</v>
      </c>
      <c r="I756" s="79" t="s">
        <v>2</v>
      </c>
    </row>
    <row r="757" spans="1:9" x14ac:dyDescent="0.25">
      <c r="A757">
        <v>810</v>
      </c>
      <c r="B757">
        <v>1829910</v>
      </c>
      <c r="C757">
        <v>0</v>
      </c>
      <c r="D757" s="1">
        <v>40000</v>
      </c>
      <c r="E757" s="1">
        <v>20700</v>
      </c>
      <c r="F757">
        <v>0</v>
      </c>
      <c r="G757" s="1">
        <v>18000</v>
      </c>
      <c r="H757" s="1">
        <v>17889</v>
      </c>
      <c r="I757" s="79" t="s">
        <v>2</v>
      </c>
    </row>
    <row r="758" spans="1:9" x14ac:dyDescent="0.25">
      <c r="A758">
        <v>810</v>
      </c>
      <c r="B758">
        <v>1835000</v>
      </c>
      <c r="C758">
        <v>0</v>
      </c>
      <c r="D758" s="1">
        <v>347059</v>
      </c>
      <c r="E758">
        <v>0</v>
      </c>
      <c r="F758" s="1">
        <v>15763.6</v>
      </c>
      <c r="G758" s="1">
        <v>39000</v>
      </c>
      <c r="H758" s="1">
        <v>39222</v>
      </c>
      <c r="I758" s="79" t="s">
        <v>2</v>
      </c>
    </row>
    <row r="759" spans="1:9" x14ac:dyDescent="0.25">
      <c r="A759">
        <v>810</v>
      </c>
      <c r="B759">
        <v>1851000</v>
      </c>
      <c r="C759">
        <v>0</v>
      </c>
      <c r="D759" s="1">
        <v>1756000</v>
      </c>
      <c r="E759">
        <v>0</v>
      </c>
      <c r="F759">
        <v>0</v>
      </c>
      <c r="G759">
        <v>0</v>
      </c>
      <c r="H759" s="1">
        <v>67230</v>
      </c>
      <c r="I759" s="79" t="s">
        <v>2</v>
      </c>
    </row>
    <row r="760" spans="1:9" x14ac:dyDescent="0.25">
      <c r="A760">
        <v>810</v>
      </c>
      <c r="B760">
        <v>1860000</v>
      </c>
      <c r="C760">
        <v>0</v>
      </c>
      <c r="D760" s="1">
        <v>19868</v>
      </c>
      <c r="E760">
        <v>0</v>
      </c>
      <c r="F760" s="1">
        <v>1070</v>
      </c>
      <c r="G760" s="1">
        <v>2000</v>
      </c>
      <c r="H760" s="1">
        <v>3502</v>
      </c>
      <c r="I760" s="79" t="s">
        <v>2</v>
      </c>
    </row>
    <row r="761" spans="1:9" x14ac:dyDescent="0.25">
      <c r="A761">
        <v>810</v>
      </c>
      <c r="B761">
        <v>1870000</v>
      </c>
      <c r="C761">
        <v>0</v>
      </c>
      <c r="D761" s="1">
        <v>180411</v>
      </c>
      <c r="E761">
        <v>0</v>
      </c>
      <c r="F761" s="1">
        <v>125202</v>
      </c>
      <c r="G761" s="1">
        <v>1525000</v>
      </c>
      <c r="H761" s="1">
        <v>109614</v>
      </c>
      <c r="I761" s="79">
        <f>SUM(D726:D761)/1000</f>
        <v>21029.46256</v>
      </c>
    </row>
    <row r="762" spans="1:9" x14ac:dyDescent="0.25">
      <c r="A762">
        <v>811</v>
      </c>
      <c r="B762">
        <v>1723000</v>
      </c>
      <c r="C762">
        <v>0</v>
      </c>
      <c r="D762" s="1">
        <v>288418</v>
      </c>
      <c r="E762">
        <v>0</v>
      </c>
      <c r="F762" s="1">
        <v>34170</v>
      </c>
      <c r="G762" s="1">
        <v>118000</v>
      </c>
      <c r="H762" s="1">
        <v>117958</v>
      </c>
      <c r="I762" s="79">
        <f>D762/1000</f>
        <v>288.41800000000001</v>
      </c>
    </row>
    <row r="763" spans="1:9" x14ac:dyDescent="0.25">
      <c r="A763">
        <v>840</v>
      </c>
      <c r="B763">
        <v>1841020</v>
      </c>
      <c r="C763">
        <v>0</v>
      </c>
      <c r="D763" s="1">
        <v>90000</v>
      </c>
      <c r="E763">
        <v>0</v>
      </c>
      <c r="F763" s="1">
        <v>9704</v>
      </c>
      <c r="G763" s="1">
        <v>124000</v>
      </c>
      <c r="H763">
        <v>0</v>
      </c>
      <c r="I763" s="79" t="s">
        <v>2</v>
      </c>
    </row>
    <row r="764" spans="1:9" x14ac:dyDescent="0.25">
      <c r="A764">
        <v>840</v>
      </c>
      <c r="B764">
        <v>1841100</v>
      </c>
      <c r="C764">
        <v>0</v>
      </c>
      <c r="D764" s="1">
        <v>9815</v>
      </c>
      <c r="E764">
        <v>0</v>
      </c>
      <c r="F764" s="1">
        <v>6332</v>
      </c>
      <c r="G764" s="1">
        <v>20000</v>
      </c>
      <c r="H764" s="1">
        <v>15616</v>
      </c>
      <c r="I764" s="79" t="s">
        <v>2</v>
      </c>
    </row>
    <row r="765" spans="1:9" x14ac:dyDescent="0.25">
      <c r="A765">
        <v>840</v>
      </c>
      <c r="B765">
        <v>1841300</v>
      </c>
      <c r="C765">
        <v>0</v>
      </c>
      <c r="D765" s="1">
        <v>2000</v>
      </c>
      <c r="E765" s="1">
        <v>1053</v>
      </c>
      <c r="F765">
        <v>0</v>
      </c>
      <c r="G765" s="1">
        <v>32000</v>
      </c>
      <c r="H765" s="1">
        <v>32345</v>
      </c>
      <c r="I765" s="79" t="s">
        <v>2</v>
      </c>
    </row>
    <row r="766" spans="1:9" x14ac:dyDescent="0.25">
      <c r="A766">
        <v>840</v>
      </c>
      <c r="B766">
        <v>1842210</v>
      </c>
      <c r="C766">
        <v>0</v>
      </c>
      <c r="D766" s="1">
        <v>465396</v>
      </c>
      <c r="E766">
        <v>0</v>
      </c>
      <c r="F766">
        <v>352</v>
      </c>
      <c r="G766">
        <v>0</v>
      </c>
      <c r="H766">
        <v>0</v>
      </c>
      <c r="I766" s="79" t="s">
        <v>2</v>
      </c>
    </row>
    <row r="767" spans="1:9" x14ac:dyDescent="0.25">
      <c r="A767">
        <v>840</v>
      </c>
      <c r="B767">
        <v>1842220</v>
      </c>
      <c r="C767">
        <v>0</v>
      </c>
      <c r="D767" s="1">
        <v>120241</v>
      </c>
      <c r="E767">
        <v>0</v>
      </c>
      <c r="F767" s="1">
        <v>68599</v>
      </c>
      <c r="G767" s="1">
        <v>7568000</v>
      </c>
      <c r="H767" s="1">
        <v>7038394</v>
      </c>
      <c r="I767" s="79" t="s">
        <v>2</v>
      </c>
    </row>
    <row r="768" spans="1:9" x14ac:dyDescent="0.25">
      <c r="A768">
        <v>840</v>
      </c>
      <c r="B768">
        <v>1842240</v>
      </c>
      <c r="C768">
        <v>0</v>
      </c>
      <c r="D768" s="1">
        <v>85570</v>
      </c>
      <c r="E768" s="1">
        <v>49947</v>
      </c>
      <c r="F768">
        <v>0</v>
      </c>
      <c r="G768" s="1">
        <v>257000</v>
      </c>
      <c r="H768" s="1">
        <v>256731</v>
      </c>
      <c r="I768" s="79" t="s">
        <v>2</v>
      </c>
    </row>
    <row r="769" spans="1:9" x14ac:dyDescent="0.25">
      <c r="A769">
        <v>840</v>
      </c>
      <c r="B769">
        <v>1842290</v>
      </c>
      <c r="C769">
        <v>0</v>
      </c>
      <c r="D769" s="1">
        <v>10690</v>
      </c>
      <c r="E769" s="1">
        <v>1677</v>
      </c>
      <c r="F769">
        <v>0</v>
      </c>
      <c r="G769" s="1">
        <v>2000</v>
      </c>
      <c r="H769" s="1">
        <v>144429</v>
      </c>
      <c r="I769" s="79" t="s">
        <v>2</v>
      </c>
    </row>
    <row r="770" spans="1:9" x14ac:dyDescent="0.25">
      <c r="A770">
        <v>840</v>
      </c>
      <c r="B770">
        <v>1842291</v>
      </c>
      <c r="C770">
        <v>0</v>
      </c>
      <c r="D770" s="1">
        <v>11326.11</v>
      </c>
      <c r="E770" s="1">
        <v>35308</v>
      </c>
      <c r="F770">
        <v>0</v>
      </c>
      <c r="G770" s="1">
        <v>376000</v>
      </c>
      <c r="H770" s="1">
        <v>328853</v>
      </c>
      <c r="I770" s="79" t="s">
        <v>2</v>
      </c>
    </row>
    <row r="771" spans="1:9" x14ac:dyDescent="0.25">
      <c r="A771">
        <v>840</v>
      </c>
      <c r="B771">
        <v>1842410</v>
      </c>
      <c r="C771">
        <v>0</v>
      </c>
      <c r="D771" s="1">
        <v>40358.400000000001</v>
      </c>
      <c r="E771">
        <v>0</v>
      </c>
      <c r="F771" s="1">
        <v>2149</v>
      </c>
      <c r="G771" s="1">
        <v>50000</v>
      </c>
      <c r="H771" s="1">
        <v>30920</v>
      </c>
      <c r="I771" s="79" t="s">
        <v>2</v>
      </c>
    </row>
    <row r="772" spans="1:9" x14ac:dyDescent="0.25">
      <c r="A772">
        <v>840</v>
      </c>
      <c r="B772">
        <v>1842420</v>
      </c>
      <c r="C772">
        <v>0</v>
      </c>
      <c r="D772" s="1">
        <v>37201</v>
      </c>
      <c r="E772" s="1">
        <v>11000</v>
      </c>
      <c r="F772">
        <v>0</v>
      </c>
      <c r="G772" s="1">
        <v>11000</v>
      </c>
      <c r="H772" s="1">
        <v>11349</v>
      </c>
      <c r="I772" s="79" t="s">
        <v>2</v>
      </c>
    </row>
    <row r="773" spans="1:9" x14ac:dyDescent="0.25">
      <c r="A773">
        <v>840</v>
      </c>
      <c r="B773">
        <v>1842431</v>
      </c>
      <c r="C773">
        <v>0</v>
      </c>
      <c r="D773" s="1">
        <v>55274</v>
      </c>
      <c r="E773">
        <v>0</v>
      </c>
      <c r="F773" s="1">
        <v>5315</v>
      </c>
      <c r="G773" s="1">
        <v>6000</v>
      </c>
      <c r="H773" s="1">
        <v>6080</v>
      </c>
      <c r="I773" s="79" t="s">
        <v>2</v>
      </c>
    </row>
    <row r="774" spans="1:9" x14ac:dyDescent="0.25">
      <c r="A774">
        <v>840</v>
      </c>
      <c r="B774">
        <v>1842433</v>
      </c>
      <c r="C774">
        <v>0</v>
      </c>
      <c r="D774" s="1">
        <v>71589</v>
      </c>
      <c r="E774">
        <v>0</v>
      </c>
      <c r="F774" s="1">
        <v>98329</v>
      </c>
      <c r="G774" s="1">
        <v>978000</v>
      </c>
      <c r="H774" s="1">
        <v>990732</v>
      </c>
      <c r="I774" s="79" t="s">
        <v>2</v>
      </c>
    </row>
    <row r="775" spans="1:9" x14ac:dyDescent="0.25">
      <c r="A775">
        <v>840</v>
      </c>
      <c r="B775">
        <v>1842437</v>
      </c>
      <c r="C775">
        <v>0</v>
      </c>
      <c r="D775" s="1">
        <v>5211</v>
      </c>
      <c r="E775" s="1">
        <v>28942</v>
      </c>
      <c r="F775">
        <v>0</v>
      </c>
      <c r="G775" s="1">
        <v>390000</v>
      </c>
      <c r="H775" s="1">
        <v>390454</v>
      </c>
      <c r="I775" s="79" t="s">
        <v>2</v>
      </c>
    </row>
    <row r="776" spans="1:9" x14ac:dyDescent="0.25">
      <c r="A776">
        <v>840</v>
      </c>
      <c r="B776">
        <v>1842441</v>
      </c>
      <c r="C776">
        <v>0</v>
      </c>
      <c r="D776" s="1">
        <v>109565.38</v>
      </c>
      <c r="E776" s="1">
        <v>16325</v>
      </c>
      <c r="F776">
        <v>0</v>
      </c>
      <c r="G776" s="1">
        <v>30000</v>
      </c>
      <c r="H776" s="1">
        <v>29523</v>
      </c>
      <c r="I776" s="79" t="s">
        <v>2</v>
      </c>
    </row>
    <row r="777" spans="1:9" x14ac:dyDescent="0.25">
      <c r="A777">
        <v>840</v>
      </c>
      <c r="B777">
        <v>1843510</v>
      </c>
      <c r="C777">
        <v>0</v>
      </c>
      <c r="D777" s="1">
        <v>273186</v>
      </c>
      <c r="E777">
        <v>187</v>
      </c>
      <c r="F777">
        <v>0</v>
      </c>
      <c r="G777" s="1">
        <v>50000</v>
      </c>
      <c r="H777" s="1">
        <v>48792</v>
      </c>
      <c r="I777" s="79" t="s">
        <v>2</v>
      </c>
    </row>
    <row r="778" spans="1:9" x14ac:dyDescent="0.25">
      <c r="A778">
        <v>840</v>
      </c>
      <c r="B778">
        <v>1843520</v>
      </c>
      <c r="C778">
        <v>0</v>
      </c>
      <c r="D778" s="1">
        <v>4439</v>
      </c>
      <c r="E778" s="1">
        <v>23237</v>
      </c>
      <c r="F778">
        <v>0</v>
      </c>
      <c r="G778" s="1">
        <v>185000</v>
      </c>
      <c r="H778" s="1">
        <v>184747</v>
      </c>
      <c r="I778" s="79" t="s">
        <v>2</v>
      </c>
    </row>
    <row r="779" spans="1:9" x14ac:dyDescent="0.25">
      <c r="A779">
        <v>840</v>
      </c>
      <c r="B779">
        <v>1843530</v>
      </c>
      <c r="C779">
        <v>0</v>
      </c>
      <c r="D779" s="1">
        <v>542208</v>
      </c>
      <c r="E779">
        <v>0</v>
      </c>
      <c r="F779" s="1">
        <v>1318209</v>
      </c>
      <c r="G779" s="1">
        <v>5019000</v>
      </c>
      <c r="H779" s="1">
        <v>5018605</v>
      </c>
      <c r="I779" s="79" t="s">
        <v>2</v>
      </c>
    </row>
    <row r="780" spans="1:9" x14ac:dyDescent="0.25">
      <c r="A780">
        <v>840</v>
      </c>
      <c r="B780">
        <v>1843540</v>
      </c>
      <c r="C780">
        <v>0</v>
      </c>
      <c r="D780" s="1">
        <v>3158</v>
      </c>
      <c r="E780" s="1">
        <v>15018</v>
      </c>
      <c r="F780">
        <v>0</v>
      </c>
      <c r="G780" s="1">
        <v>213000</v>
      </c>
      <c r="H780" s="1">
        <v>213040</v>
      </c>
      <c r="I780" s="79" t="s">
        <v>2</v>
      </c>
    </row>
    <row r="781" spans="1:9" x14ac:dyDescent="0.25">
      <c r="A781">
        <v>840</v>
      </c>
      <c r="B781">
        <v>1843550</v>
      </c>
      <c r="C781">
        <v>0</v>
      </c>
      <c r="D781" s="1">
        <v>187244.7</v>
      </c>
      <c r="E781">
        <v>0</v>
      </c>
      <c r="F781" s="1">
        <v>71704</v>
      </c>
      <c r="G781" s="1">
        <v>341000</v>
      </c>
      <c r="H781" s="1">
        <v>340922</v>
      </c>
      <c r="I781" s="79" t="s">
        <v>2</v>
      </c>
    </row>
    <row r="782" spans="1:9" x14ac:dyDescent="0.25">
      <c r="A782">
        <v>840</v>
      </c>
      <c r="B782">
        <v>1843551</v>
      </c>
      <c r="C782">
        <v>0</v>
      </c>
      <c r="D782" s="1">
        <v>15178</v>
      </c>
      <c r="E782" s="1">
        <v>75759</v>
      </c>
      <c r="F782">
        <v>0</v>
      </c>
      <c r="G782" s="1">
        <v>553000</v>
      </c>
      <c r="H782" s="1">
        <v>552887</v>
      </c>
      <c r="I782" s="79" t="s">
        <v>2</v>
      </c>
    </row>
    <row r="783" spans="1:9" x14ac:dyDescent="0.25">
      <c r="A783">
        <v>840</v>
      </c>
      <c r="B783">
        <v>1843810</v>
      </c>
      <c r="C783">
        <v>0</v>
      </c>
      <c r="D783" s="1">
        <v>3452490</v>
      </c>
      <c r="E783">
        <v>0</v>
      </c>
      <c r="F783">
        <v>0</v>
      </c>
      <c r="G783">
        <v>0</v>
      </c>
      <c r="H783" s="1">
        <v>8717</v>
      </c>
      <c r="I783" s="79" t="s">
        <v>2</v>
      </c>
    </row>
    <row r="784" spans="1:9" x14ac:dyDescent="0.25">
      <c r="A784">
        <v>840</v>
      </c>
      <c r="B784">
        <v>1843820</v>
      </c>
      <c r="C784">
        <v>0</v>
      </c>
      <c r="D784" s="1">
        <v>225496.9</v>
      </c>
      <c r="E784" s="1">
        <v>462998</v>
      </c>
      <c r="F784">
        <v>0</v>
      </c>
      <c r="G784" s="1">
        <v>667000</v>
      </c>
      <c r="H784" s="1">
        <v>1258633</v>
      </c>
      <c r="I784" s="79" t="s">
        <v>2</v>
      </c>
    </row>
    <row r="785" spans="1:9" x14ac:dyDescent="0.25">
      <c r="A785">
        <v>840</v>
      </c>
      <c r="B785">
        <v>1843910</v>
      </c>
      <c r="C785">
        <v>0</v>
      </c>
      <c r="D785" s="1">
        <v>868216</v>
      </c>
      <c r="E785">
        <v>0</v>
      </c>
      <c r="F785" s="1">
        <v>18679</v>
      </c>
      <c r="G785">
        <v>0</v>
      </c>
      <c r="H785">
        <v>0</v>
      </c>
      <c r="I785" s="79" t="s">
        <v>2</v>
      </c>
    </row>
    <row r="786" spans="1:9" x14ac:dyDescent="0.25">
      <c r="A786">
        <v>840</v>
      </c>
      <c r="B786">
        <v>1844310</v>
      </c>
      <c r="C786">
        <v>0</v>
      </c>
      <c r="D786" s="1">
        <v>4670698</v>
      </c>
      <c r="E786">
        <v>0</v>
      </c>
      <c r="F786">
        <v>0</v>
      </c>
      <c r="G786">
        <v>0</v>
      </c>
      <c r="H786" s="1">
        <v>34360</v>
      </c>
      <c r="I786" s="79" t="s">
        <v>2</v>
      </c>
    </row>
    <row r="787" spans="1:9" x14ac:dyDescent="0.25">
      <c r="A787">
        <v>840</v>
      </c>
      <c r="B787">
        <v>1844414</v>
      </c>
      <c r="C787">
        <v>0</v>
      </c>
      <c r="D787" s="1">
        <v>5012.5</v>
      </c>
      <c r="E787">
        <v>991</v>
      </c>
      <c r="F787">
        <v>0</v>
      </c>
      <c r="G787" s="1">
        <v>178000</v>
      </c>
      <c r="H787" s="1">
        <v>177924</v>
      </c>
      <c r="I787" s="79" t="s">
        <v>2</v>
      </c>
    </row>
    <row r="788" spans="1:9" x14ac:dyDescent="0.25">
      <c r="A788">
        <v>840</v>
      </c>
      <c r="B788">
        <v>1844420</v>
      </c>
      <c r="C788">
        <v>0</v>
      </c>
      <c r="D788" s="1">
        <v>13997</v>
      </c>
      <c r="E788" s="1">
        <v>29660</v>
      </c>
      <c r="F788">
        <v>0</v>
      </c>
      <c r="G788" s="1">
        <v>210000</v>
      </c>
      <c r="H788" s="1">
        <v>185491</v>
      </c>
      <c r="I788" s="79" t="s">
        <v>2</v>
      </c>
    </row>
    <row r="789" spans="1:9" x14ac:dyDescent="0.25">
      <c r="A789">
        <v>840</v>
      </c>
      <c r="B789">
        <v>1844425</v>
      </c>
      <c r="C789">
        <v>0</v>
      </c>
      <c r="D789" s="1">
        <v>9884.0499999999993</v>
      </c>
      <c r="E789">
        <v>0</v>
      </c>
      <c r="F789" s="1">
        <v>37039</v>
      </c>
      <c r="G789" s="1">
        <v>116000</v>
      </c>
      <c r="H789" s="1">
        <v>66864</v>
      </c>
      <c r="I789" s="79" t="s">
        <v>2</v>
      </c>
    </row>
    <row r="790" spans="1:9" x14ac:dyDescent="0.25">
      <c r="A790">
        <v>840</v>
      </c>
      <c r="B790">
        <v>1844440</v>
      </c>
      <c r="C790">
        <v>0</v>
      </c>
      <c r="D790" s="1">
        <v>151935</v>
      </c>
      <c r="E790">
        <v>0</v>
      </c>
      <c r="F790" s="1">
        <v>11990</v>
      </c>
      <c r="G790">
        <v>0</v>
      </c>
      <c r="H790">
        <v>0</v>
      </c>
      <c r="I790" s="79" t="s">
        <v>2</v>
      </c>
    </row>
    <row r="791" spans="1:9" x14ac:dyDescent="0.25">
      <c r="A791">
        <v>840</v>
      </c>
      <c r="B791">
        <v>1844450</v>
      </c>
      <c r="C791">
        <v>0</v>
      </c>
      <c r="D791" s="1">
        <v>81697</v>
      </c>
      <c r="E791" s="1">
        <v>2000</v>
      </c>
      <c r="F791">
        <v>0</v>
      </c>
      <c r="G791" s="1">
        <v>2000</v>
      </c>
      <c r="H791" s="1">
        <v>1895</v>
      </c>
      <c r="I791" s="79" t="s">
        <v>2</v>
      </c>
    </row>
    <row r="792" spans="1:9" x14ac:dyDescent="0.25">
      <c r="A792">
        <v>840</v>
      </c>
      <c r="B792">
        <v>1844470</v>
      </c>
      <c r="C792">
        <v>0</v>
      </c>
      <c r="D792" s="1">
        <v>723346</v>
      </c>
      <c r="E792">
        <v>0</v>
      </c>
      <c r="F792" s="1">
        <v>54488</v>
      </c>
      <c r="G792" s="1">
        <v>372000</v>
      </c>
      <c r="H792" s="1">
        <v>352719</v>
      </c>
      <c r="I792" s="79" t="s">
        <v>2</v>
      </c>
    </row>
    <row r="793" spans="1:9" x14ac:dyDescent="0.25">
      <c r="A793">
        <v>840</v>
      </c>
      <c r="B793">
        <v>1844471</v>
      </c>
      <c r="C793">
        <v>0</v>
      </c>
      <c r="D793" s="1">
        <v>66269.2</v>
      </c>
      <c r="E793" s="1">
        <v>31856.5</v>
      </c>
      <c r="F793">
        <v>0</v>
      </c>
      <c r="G793" s="1">
        <v>51000</v>
      </c>
      <c r="H793" s="1">
        <v>97446</v>
      </c>
      <c r="I793" s="79" t="s">
        <v>2</v>
      </c>
    </row>
    <row r="794" spans="1:9" x14ac:dyDescent="0.25">
      <c r="A794">
        <v>840</v>
      </c>
      <c r="B794">
        <v>1844480</v>
      </c>
      <c r="C794">
        <v>0</v>
      </c>
      <c r="D794" s="1">
        <v>18804</v>
      </c>
      <c r="E794" s="1">
        <v>14768</v>
      </c>
      <c r="F794">
        <v>0</v>
      </c>
      <c r="G794" s="1">
        <v>240000</v>
      </c>
      <c r="H794" s="1">
        <v>232816</v>
      </c>
      <c r="I794" s="79" t="s">
        <v>2</v>
      </c>
    </row>
    <row r="795" spans="1:9" x14ac:dyDescent="0.25">
      <c r="A795">
        <v>840</v>
      </c>
      <c r="B795">
        <v>1844481</v>
      </c>
      <c r="C795">
        <v>0</v>
      </c>
      <c r="D795">
        <v>596</v>
      </c>
      <c r="E795" s="1">
        <v>13343</v>
      </c>
      <c r="F795">
        <v>0</v>
      </c>
      <c r="G795" s="1">
        <v>14000</v>
      </c>
      <c r="H795" s="1">
        <v>13600</v>
      </c>
      <c r="I795" s="79" t="s">
        <v>2</v>
      </c>
    </row>
    <row r="796" spans="1:9" x14ac:dyDescent="0.25">
      <c r="A796">
        <v>840</v>
      </c>
      <c r="B796">
        <v>1844490</v>
      </c>
      <c r="C796">
        <v>0</v>
      </c>
      <c r="D796" s="1">
        <v>-2700</v>
      </c>
      <c r="E796" s="1">
        <v>9432</v>
      </c>
      <c r="F796">
        <v>0</v>
      </c>
      <c r="G796" s="1">
        <v>80000</v>
      </c>
      <c r="H796" s="1">
        <v>-2022</v>
      </c>
      <c r="I796" s="79" t="s">
        <v>2</v>
      </c>
    </row>
    <row r="797" spans="1:9" x14ac:dyDescent="0.25">
      <c r="A797">
        <v>840</v>
      </c>
      <c r="B797">
        <v>1844492</v>
      </c>
      <c r="C797">
        <v>0</v>
      </c>
      <c r="D797" s="1">
        <v>54763.6</v>
      </c>
      <c r="E797" s="1">
        <v>4043.29</v>
      </c>
      <c r="F797">
        <v>0</v>
      </c>
      <c r="G797" s="1">
        <v>13000</v>
      </c>
      <c r="H797" s="1">
        <v>12927</v>
      </c>
      <c r="I797" s="79" t="s">
        <v>2</v>
      </c>
    </row>
    <row r="798" spans="1:9" x14ac:dyDescent="0.25">
      <c r="A798">
        <v>840</v>
      </c>
      <c r="B798">
        <v>1844493</v>
      </c>
      <c r="C798">
        <v>0</v>
      </c>
      <c r="D798" s="1">
        <v>20621.97</v>
      </c>
      <c r="E798">
        <v>0</v>
      </c>
      <c r="F798">
        <v>0</v>
      </c>
      <c r="G798">
        <v>0</v>
      </c>
      <c r="H798" s="1">
        <v>108185.36</v>
      </c>
      <c r="I798" s="79" t="s">
        <v>2</v>
      </c>
    </row>
    <row r="799" spans="1:9" x14ac:dyDescent="0.25">
      <c r="A799">
        <v>840</v>
      </c>
      <c r="B799">
        <v>1844510</v>
      </c>
      <c r="C799">
        <v>0</v>
      </c>
      <c r="D799" s="1">
        <v>642832</v>
      </c>
      <c r="E799">
        <v>0</v>
      </c>
      <c r="F799">
        <v>0</v>
      </c>
      <c r="G799">
        <v>0</v>
      </c>
      <c r="H799" s="1">
        <v>94570.12</v>
      </c>
      <c r="I799" s="79" t="s">
        <v>2</v>
      </c>
    </row>
    <row r="800" spans="1:9" x14ac:dyDescent="0.25">
      <c r="A800">
        <v>840</v>
      </c>
      <c r="B800">
        <v>1844511</v>
      </c>
      <c r="C800">
        <v>0</v>
      </c>
      <c r="D800" s="1">
        <v>532604</v>
      </c>
      <c r="E800" s="1">
        <v>5340</v>
      </c>
      <c r="F800">
        <v>0</v>
      </c>
      <c r="G800" s="1">
        <v>12000</v>
      </c>
      <c r="H800" s="1">
        <v>6017</v>
      </c>
      <c r="I800" s="79" t="s">
        <v>2</v>
      </c>
    </row>
    <row r="801" spans="1:9" x14ac:dyDescent="0.25">
      <c r="A801">
        <v>840</v>
      </c>
      <c r="B801">
        <v>1845100</v>
      </c>
      <c r="C801">
        <v>0</v>
      </c>
      <c r="D801" s="1">
        <v>3070</v>
      </c>
      <c r="E801">
        <v>0</v>
      </c>
      <c r="F801" s="1">
        <v>5298.24</v>
      </c>
      <c r="G801">
        <v>0</v>
      </c>
      <c r="H801" s="1">
        <v>1129.5899999999999</v>
      </c>
      <c r="I801" s="79" t="s">
        <v>2</v>
      </c>
    </row>
    <row r="802" spans="1:9" x14ac:dyDescent="0.25">
      <c r="A802">
        <v>840</v>
      </c>
      <c r="B802">
        <v>1845110</v>
      </c>
      <c r="C802">
        <v>0</v>
      </c>
      <c r="D802" s="1">
        <v>1650202</v>
      </c>
      <c r="E802" s="1">
        <v>344277</v>
      </c>
      <c r="F802">
        <v>0</v>
      </c>
      <c r="G802" s="1">
        <v>400000</v>
      </c>
      <c r="H802" s="1">
        <v>399751</v>
      </c>
      <c r="I802" s="79" t="s">
        <v>2</v>
      </c>
    </row>
    <row r="803" spans="1:9" x14ac:dyDescent="0.25">
      <c r="A803">
        <v>840</v>
      </c>
      <c r="B803">
        <v>1845111</v>
      </c>
      <c r="C803">
        <v>0</v>
      </c>
      <c r="D803" s="1">
        <v>152170</v>
      </c>
      <c r="E803" s="1">
        <v>11680</v>
      </c>
      <c r="F803">
        <v>0</v>
      </c>
      <c r="G803" s="1">
        <v>17000</v>
      </c>
      <c r="H803" s="1">
        <v>16586</v>
      </c>
      <c r="I803" s="79" t="s">
        <v>2</v>
      </c>
    </row>
    <row r="804" spans="1:9" x14ac:dyDescent="0.25">
      <c r="A804">
        <v>840</v>
      </c>
      <c r="B804">
        <v>1845112</v>
      </c>
      <c r="C804">
        <v>0</v>
      </c>
      <c r="D804" s="1">
        <v>133704</v>
      </c>
      <c r="E804" s="1">
        <v>25172.400000000001</v>
      </c>
      <c r="F804">
        <v>0</v>
      </c>
      <c r="G804" s="1">
        <v>100000</v>
      </c>
      <c r="H804" s="1">
        <v>74741.5</v>
      </c>
      <c r="I804" s="79" t="s">
        <v>2</v>
      </c>
    </row>
    <row r="805" spans="1:9" x14ac:dyDescent="0.25">
      <c r="A805">
        <v>840</v>
      </c>
      <c r="B805">
        <v>1845120</v>
      </c>
      <c r="C805">
        <v>0</v>
      </c>
      <c r="D805" s="1">
        <v>26332</v>
      </c>
      <c r="E805" s="1">
        <v>5082.5</v>
      </c>
      <c r="F805">
        <v>0</v>
      </c>
      <c r="G805" s="1">
        <v>56000</v>
      </c>
      <c r="H805" s="1">
        <v>573642.5</v>
      </c>
      <c r="I805" s="79" t="s">
        <v>2</v>
      </c>
    </row>
    <row r="806" spans="1:9" x14ac:dyDescent="0.25">
      <c r="A806">
        <v>840</v>
      </c>
      <c r="B806">
        <v>1845121</v>
      </c>
      <c r="C806">
        <v>0</v>
      </c>
      <c r="D806" s="1">
        <v>30947</v>
      </c>
      <c r="E806" s="1">
        <v>1006</v>
      </c>
      <c r="F806">
        <v>0</v>
      </c>
      <c r="G806" s="1">
        <v>6000</v>
      </c>
      <c r="H806" s="1">
        <v>6394</v>
      </c>
      <c r="I806" s="79" t="s">
        <v>2</v>
      </c>
    </row>
    <row r="807" spans="1:9" x14ac:dyDescent="0.25">
      <c r="A807">
        <v>840</v>
      </c>
      <c r="B807">
        <v>1845122</v>
      </c>
      <c r="C807">
        <v>0</v>
      </c>
      <c r="D807">
        <v>352</v>
      </c>
      <c r="E807" s="1">
        <v>3207.5</v>
      </c>
      <c r="F807">
        <v>0</v>
      </c>
      <c r="G807" s="1">
        <v>7000</v>
      </c>
      <c r="H807" s="1">
        <v>7471.5</v>
      </c>
      <c r="I807" s="79" t="s">
        <v>2</v>
      </c>
    </row>
    <row r="808" spans="1:9" x14ac:dyDescent="0.25">
      <c r="A808">
        <v>840</v>
      </c>
      <c r="B808">
        <v>1845130</v>
      </c>
      <c r="C808">
        <v>0</v>
      </c>
      <c r="D808" s="1">
        <v>7636599</v>
      </c>
      <c r="E808">
        <v>0</v>
      </c>
      <c r="F808" s="1">
        <v>2750</v>
      </c>
      <c r="G808" s="1">
        <v>14000</v>
      </c>
      <c r="H808" s="1">
        <v>3800</v>
      </c>
      <c r="I808" s="79" t="s">
        <v>2</v>
      </c>
    </row>
    <row r="809" spans="1:9" x14ac:dyDescent="0.25">
      <c r="A809">
        <v>840</v>
      </c>
      <c r="B809">
        <v>1845150</v>
      </c>
      <c r="C809">
        <v>0</v>
      </c>
      <c r="D809" s="1">
        <v>3870920</v>
      </c>
      <c r="E809">
        <v>0</v>
      </c>
      <c r="F809" s="1">
        <v>10466</v>
      </c>
      <c r="G809" s="1">
        <v>9000</v>
      </c>
      <c r="H809" s="1">
        <v>9173</v>
      </c>
      <c r="I809" s="79" t="s">
        <v>2</v>
      </c>
    </row>
    <row r="810" spans="1:9" x14ac:dyDescent="0.25">
      <c r="A810">
        <v>840</v>
      </c>
      <c r="B810">
        <v>1845160</v>
      </c>
      <c r="C810">
        <v>0</v>
      </c>
      <c r="D810" s="1">
        <v>207053</v>
      </c>
      <c r="E810">
        <v>0</v>
      </c>
      <c r="F810" s="1">
        <v>1152</v>
      </c>
      <c r="G810">
        <v>0</v>
      </c>
      <c r="H810">
        <v>0</v>
      </c>
      <c r="I810" s="79" t="s">
        <v>2</v>
      </c>
    </row>
    <row r="811" spans="1:9" x14ac:dyDescent="0.25">
      <c r="A811">
        <v>840</v>
      </c>
      <c r="B811">
        <v>1845170</v>
      </c>
      <c r="C811">
        <v>0</v>
      </c>
      <c r="D811">
        <v>323</v>
      </c>
      <c r="E811" s="1">
        <v>5100</v>
      </c>
      <c r="F811">
        <v>0</v>
      </c>
      <c r="G811" s="1">
        <v>7000</v>
      </c>
      <c r="H811" s="1">
        <v>7444</v>
      </c>
      <c r="I811" s="79" t="s">
        <v>2</v>
      </c>
    </row>
    <row r="812" spans="1:9" x14ac:dyDescent="0.25">
      <c r="A812">
        <v>840</v>
      </c>
      <c r="B812">
        <v>1845180</v>
      </c>
      <c r="C812">
        <v>0</v>
      </c>
      <c r="D812" s="1">
        <v>340692</v>
      </c>
      <c r="E812" s="1">
        <v>2332</v>
      </c>
      <c r="F812">
        <v>0</v>
      </c>
      <c r="G812" s="1">
        <v>4000</v>
      </c>
      <c r="H812">
        <v>0</v>
      </c>
      <c r="I812" s="79" t="s">
        <v>2</v>
      </c>
    </row>
    <row r="813" spans="1:9" x14ac:dyDescent="0.25">
      <c r="A813">
        <v>840</v>
      </c>
      <c r="B813">
        <v>1845190</v>
      </c>
      <c r="C813">
        <v>0</v>
      </c>
      <c r="D813" s="1">
        <v>52149</v>
      </c>
      <c r="E813" s="1">
        <v>9200</v>
      </c>
      <c r="F813">
        <v>0</v>
      </c>
      <c r="G813" s="1">
        <v>25000</v>
      </c>
      <c r="H813" s="1">
        <v>25000</v>
      </c>
      <c r="I813" s="79" t="s">
        <v>2</v>
      </c>
    </row>
    <row r="814" spans="1:9" x14ac:dyDescent="0.25">
      <c r="A814">
        <v>840</v>
      </c>
      <c r="B814">
        <v>1845200</v>
      </c>
      <c r="C814">
        <v>0</v>
      </c>
      <c r="D814" s="1">
        <v>1217118</v>
      </c>
      <c r="E814" s="1">
        <v>341000</v>
      </c>
      <c r="F814">
        <v>0</v>
      </c>
      <c r="G814" s="1">
        <v>2097000</v>
      </c>
      <c r="H814" s="1">
        <v>1756000</v>
      </c>
      <c r="I814" s="79" t="s">
        <v>2</v>
      </c>
    </row>
    <row r="815" spans="1:9" x14ac:dyDescent="0.25">
      <c r="A815">
        <v>840</v>
      </c>
      <c r="B815">
        <v>1845210</v>
      </c>
      <c r="C815">
        <v>0</v>
      </c>
      <c r="D815" s="1">
        <v>11315</v>
      </c>
      <c r="E815">
        <v>237.86</v>
      </c>
      <c r="F815">
        <v>0</v>
      </c>
      <c r="G815" s="1">
        <v>10000</v>
      </c>
      <c r="H815" s="1">
        <v>7632.4</v>
      </c>
      <c r="I815" s="79" t="s">
        <v>2</v>
      </c>
    </row>
    <row r="816" spans="1:9" x14ac:dyDescent="0.25">
      <c r="A816">
        <v>840</v>
      </c>
      <c r="B816">
        <v>1845220</v>
      </c>
      <c r="C816">
        <v>0</v>
      </c>
      <c r="D816" s="1">
        <v>1076329</v>
      </c>
      <c r="E816" s="1">
        <v>9000</v>
      </c>
      <c r="F816">
        <v>0</v>
      </c>
      <c r="G816" s="1">
        <v>9000</v>
      </c>
      <c r="H816" s="1">
        <v>9304</v>
      </c>
      <c r="I816" s="79" t="s">
        <v>2</v>
      </c>
    </row>
    <row r="817" spans="1:9" x14ac:dyDescent="0.25">
      <c r="A817">
        <v>840</v>
      </c>
      <c r="B817">
        <v>1845230</v>
      </c>
      <c r="C817">
        <v>0</v>
      </c>
      <c r="D817" s="1">
        <v>361058</v>
      </c>
      <c r="E817">
        <v>322.37</v>
      </c>
      <c r="F817">
        <v>0</v>
      </c>
      <c r="G817" s="1">
        <v>70000</v>
      </c>
      <c r="H817" s="1">
        <v>119938.7</v>
      </c>
      <c r="I817" s="79" t="s">
        <v>2</v>
      </c>
    </row>
    <row r="818" spans="1:9" x14ac:dyDescent="0.25">
      <c r="A818">
        <v>840</v>
      </c>
      <c r="B818">
        <v>1845310</v>
      </c>
      <c r="C818">
        <v>0</v>
      </c>
      <c r="D818" s="1">
        <v>13675</v>
      </c>
      <c r="E818" s="1">
        <v>3132</v>
      </c>
      <c r="F818">
        <v>0</v>
      </c>
      <c r="G818" s="1">
        <v>23000</v>
      </c>
      <c r="H818" s="1">
        <v>23752</v>
      </c>
      <c r="I818" s="79" t="s">
        <v>2</v>
      </c>
    </row>
    <row r="819" spans="1:9" x14ac:dyDescent="0.25">
      <c r="A819">
        <v>840</v>
      </c>
      <c r="B819">
        <v>1845320</v>
      </c>
      <c r="C819">
        <v>0</v>
      </c>
      <c r="D819" s="1">
        <v>324344</v>
      </c>
      <c r="E819">
        <v>0</v>
      </c>
      <c r="F819" s="1">
        <v>411647.82</v>
      </c>
      <c r="G819" s="1">
        <v>2106000</v>
      </c>
      <c r="H819" s="1">
        <v>1619182.16</v>
      </c>
      <c r="I819" s="79" t="s">
        <v>2</v>
      </c>
    </row>
    <row r="820" spans="1:9" x14ac:dyDescent="0.25">
      <c r="A820">
        <v>840</v>
      </c>
      <c r="B820">
        <v>1845340</v>
      </c>
      <c r="C820">
        <v>0</v>
      </c>
      <c r="D820" s="1">
        <v>49813</v>
      </c>
      <c r="E820">
        <v>0</v>
      </c>
      <c r="F820">
        <v>655</v>
      </c>
      <c r="G820">
        <v>0</v>
      </c>
      <c r="H820">
        <v>820</v>
      </c>
      <c r="I820" s="79" t="s">
        <v>2</v>
      </c>
    </row>
    <row r="821" spans="1:9" x14ac:dyDescent="0.25">
      <c r="A821">
        <v>840</v>
      </c>
      <c r="B821">
        <v>1846300</v>
      </c>
      <c r="C821">
        <v>0</v>
      </c>
      <c r="D821" s="1">
        <v>161763</v>
      </c>
      <c r="E821" s="1">
        <v>411783.08</v>
      </c>
      <c r="F821">
        <v>0</v>
      </c>
      <c r="G821" s="1">
        <v>654000</v>
      </c>
      <c r="H821">
        <v>0</v>
      </c>
      <c r="I821" s="79" t="s">
        <v>2</v>
      </c>
    </row>
    <row r="822" spans="1:9" x14ac:dyDescent="0.25">
      <c r="A822">
        <v>840</v>
      </c>
      <c r="B822">
        <v>1846500</v>
      </c>
      <c r="C822">
        <v>0</v>
      </c>
      <c r="D822" s="1">
        <v>6337209</v>
      </c>
      <c r="E822">
        <v>0</v>
      </c>
      <c r="F822">
        <v>411</v>
      </c>
      <c r="G822" s="1">
        <v>180000</v>
      </c>
      <c r="H822" s="1">
        <v>180411</v>
      </c>
      <c r="I822" s="79" t="s">
        <v>2</v>
      </c>
    </row>
    <row r="823" spans="1:9" x14ac:dyDescent="0.25">
      <c r="A823">
        <v>840</v>
      </c>
      <c r="B823">
        <v>1846510</v>
      </c>
      <c r="C823">
        <v>0</v>
      </c>
      <c r="D823" s="1">
        <v>197982</v>
      </c>
      <c r="E823">
        <v>0</v>
      </c>
      <c r="F823">
        <v>384.85</v>
      </c>
      <c r="G823" s="1">
        <v>2000</v>
      </c>
      <c r="H823">
        <v>0</v>
      </c>
      <c r="I823" s="79" t="s">
        <v>2</v>
      </c>
    </row>
    <row r="824" spans="1:9" x14ac:dyDescent="0.25">
      <c r="A824">
        <v>840</v>
      </c>
      <c r="B824">
        <v>1846610</v>
      </c>
      <c r="C824">
        <v>0</v>
      </c>
      <c r="D824" s="1">
        <v>412704</v>
      </c>
      <c r="E824" s="1">
        <v>4202.66</v>
      </c>
      <c r="F824">
        <v>0</v>
      </c>
      <c r="G824" s="1">
        <v>20000</v>
      </c>
      <c r="H824" s="1">
        <v>27157.18</v>
      </c>
      <c r="I824" s="79" t="s">
        <v>2</v>
      </c>
    </row>
    <row r="825" spans="1:9" x14ac:dyDescent="0.25">
      <c r="A825">
        <v>840</v>
      </c>
      <c r="B825">
        <v>1846620</v>
      </c>
      <c r="C825">
        <v>0</v>
      </c>
      <c r="D825" s="1">
        <v>477241</v>
      </c>
      <c r="E825">
        <v>0</v>
      </c>
      <c r="F825" s="1">
        <v>4414.8999999999996</v>
      </c>
      <c r="G825" s="1">
        <v>14000</v>
      </c>
      <c r="H825" s="1">
        <v>15057.86</v>
      </c>
      <c r="I825" s="79" t="s">
        <v>2</v>
      </c>
    </row>
    <row r="826" spans="1:9" x14ac:dyDescent="0.25">
      <c r="A826">
        <v>840</v>
      </c>
      <c r="B826">
        <v>1846710</v>
      </c>
      <c r="C826">
        <v>0</v>
      </c>
      <c r="D826" s="1">
        <v>204002</v>
      </c>
      <c r="E826">
        <v>0</v>
      </c>
      <c r="F826" s="1">
        <v>20280.689999999999</v>
      </c>
      <c r="G826" s="1">
        <v>29000</v>
      </c>
      <c r="H826" s="1">
        <v>88260.54</v>
      </c>
      <c r="I826" s="79" t="s">
        <v>2</v>
      </c>
    </row>
    <row r="827" spans="1:9" x14ac:dyDescent="0.25">
      <c r="A827">
        <v>840</v>
      </c>
      <c r="B827">
        <v>1846711</v>
      </c>
      <c r="C827">
        <v>0</v>
      </c>
      <c r="D827" s="1">
        <v>18679</v>
      </c>
      <c r="E827" s="1">
        <v>1516.5</v>
      </c>
      <c r="F827">
        <v>0</v>
      </c>
      <c r="G827" s="1">
        <v>4000</v>
      </c>
      <c r="H827" s="1">
        <v>4086.52</v>
      </c>
      <c r="I827" s="79" t="s">
        <v>2</v>
      </c>
    </row>
    <row r="828" spans="1:9" x14ac:dyDescent="0.25">
      <c r="A828">
        <v>840</v>
      </c>
      <c r="B828">
        <v>1846730</v>
      </c>
      <c r="C828">
        <v>0</v>
      </c>
      <c r="D828" s="1">
        <v>177009</v>
      </c>
      <c r="E828">
        <v>0</v>
      </c>
      <c r="F828" s="1">
        <v>6757.24</v>
      </c>
      <c r="G828" s="1">
        <v>1419000</v>
      </c>
      <c r="H828" s="1">
        <v>1510462.49</v>
      </c>
      <c r="I828" s="79" t="s">
        <v>2</v>
      </c>
    </row>
    <row r="829" spans="1:9" x14ac:dyDescent="0.25">
      <c r="A829">
        <v>840</v>
      </c>
      <c r="B829">
        <v>1846750</v>
      </c>
      <c r="C829">
        <v>0</v>
      </c>
      <c r="D829" s="1">
        <v>180340</v>
      </c>
      <c r="E829">
        <v>47.11</v>
      </c>
      <c r="F829">
        <v>0</v>
      </c>
      <c r="G829" s="1">
        <v>15000</v>
      </c>
      <c r="H829" s="1">
        <v>8855.06</v>
      </c>
      <c r="I829" s="79" t="s">
        <v>2</v>
      </c>
    </row>
    <row r="830" spans="1:9" x14ac:dyDescent="0.25">
      <c r="A830">
        <v>840</v>
      </c>
      <c r="B830">
        <v>1846760</v>
      </c>
      <c r="C830">
        <v>0</v>
      </c>
      <c r="D830" s="1">
        <v>153039</v>
      </c>
      <c r="E830">
        <v>0</v>
      </c>
      <c r="F830">
        <v>296</v>
      </c>
      <c r="G830">
        <v>0</v>
      </c>
      <c r="H830">
        <v>0</v>
      </c>
      <c r="I830" s="79" t="s">
        <v>2</v>
      </c>
    </row>
    <row r="831" spans="1:9" x14ac:dyDescent="0.25">
      <c r="A831">
        <v>840</v>
      </c>
      <c r="B831">
        <v>1846761</v>
      </c>
      <c r="C831">
        <v>0</v>
      </c>
      <c r="D831" s="1">
        <v>11990</v>
      </c>
      <c r="E831" s="1">
        <v>4895.51</v>
      </c>
      <c r="F831">
        <v>0</v>
      </c>
      <c r="G831" s="1">
        <v>55000</v>
      </c>
      <c r="H831" s="1">
        <v>244878.73</v>
      </c>
      <c r="I831" s="79" t="s">
        <v>2</v>
      </c>
    </row>
    <row r="832" spans="1:9" x14ac:dyDescent="0.25">
      <c r="A832">
        <v>840</v>
      </c>
      <c r="B832">
        <v>1846820</v>
      </c>
      <c r="C832">
        <v>0</v>
      </c>
      <c r="D832" s="1">
        <v>426488</v>
      </c>
      <c r="E832" s="1">
        <v>3118.04</v>
      </c>
      <c r="F832">
        <v>0</v>
      </c>
      <c r="G832" s="1">
        <v>35000</v>
      </c>
      <c r="H832">
        <v>0</v>
      </c>
      <c r="I832" s="79" t="s">
        <v>2</v>
      </c>
    </row>
    <row r="833" spans="1:9" x14ac:dyDescent="0.25">
      <c r="A833">
        <v>840</v>
      </c>
      <c r="B833">
        <v>1846830</v>
      </c>
      <c r="C833">
        <v>0</v>
      </c>
      <c r="D833" s="1">
        <v>19143.5</v>
      </c>
      <c r="E833">
        <v>172</v>
      </c>
      <c r="F833">
        <v>0</v>
      </c>
      <c r="G833" s="1">
        <v>10000</v>
      </c>
      <c r="H833">
        <v>0</v>
      </c>
      <c r="I833" s="79" t="s">
        <v>2</v>
      </c>
    </row>
    <row r="834" spans="1:9" x14ac:dyDescent="0.25">
      <c r="A834">
        <v>840</v>
      </c>
      <c r="B834">
        <v>1847100</v>
      </c>
      <c r="C834">
        <v>0</v>
      </c>
      <c r="D834" s="1">
        <v>225232</v>
      </c>
      <c r="E834" s="1">
        <v>2000</v>
      </c>
      <c r="F834">
        <v>0</v>
      </c>
      <c r="G834" s="1">
        <v>2000</v>
      </c>
      <c r="H834">
        <v>0</v>
      </c>
      <c r="I834" s="79" t="s">
        <v>2</v>
      </c>
    </row>
    <row r="835" spans="1:9" x14ac:dyDescent="0.25">
      <c r="A835">
        <v>840</v>
      </c>
      <c r="B835">
        <v>1847130</v>
      </c>
      <c r="C835">
        <v>0</v>
      </c>
      <c r="D835">
        <v>657</v>
      </c>
      <c r="E835">
        <v>0</v>
      </c>
      <c r="F835">
        <v>0</v>
      </c>
      <c r="G835" s="1">
        <v>40000</v>
      </c>
      <c r="H835" s="1">
        <v>40000</v>
      </c>
      <c r="I835" s="79" t="s">
        <v>2</v>
      </c>
    </row>
    <row r="836" spans="1:9" x14ac:dyDescent="0.25">
      <c r="A836">
        <v>840</v>
      </c>
      <c r="B836">
        <v>1847140</v>
      </c>
      <c r="C836">
        <v>0</v>
      </c>
      <c r="D836" s="1">
        <v>70568</v>
      </c>
      <c r="E836" s="1">
        <v>2167.9</v>
      </c>
      <c r="F836">
        <v>0</v>
      </c>
      <c r="G836" s="1">
        <v>1519000</v>
      </c>
      <c r="H836" s="1">
        <v>1481110.13</v>
      </c>
      <c r="I836" s="79" t="s">
        <v>2</v>
      </c>
    </row>
    <row r="837" spans="1:9" x14ac:dyDescent="0.25">
      <c r="A837">
        <v>840</v>
      </c>
      <c r="B837">
        <v>1847150</v>
      </c>
      <c r="C837">
        <v>0</v>
      </c>
      <c r="D837" s="1">
        <v>8956.7099999999991</v>
      </c>
      <c r="E837">
        <v>0</v>
      </c>
      <c r="F837">
        <v>0</v>
      </c>
      <c r="G837">
        <v>0</v>
      </c>
      <c r="H837" s="1">
        <v>1329</v>
      </c>
      <c r="I837" s="79" t="s">
        <v>2</v>
      </c>
    </row>
    <row r="838" spans="1:9" x14ac:dyDescent="0.25">
      <c r="A838">
        <v>840</v>
      </c>
      <c r="B838">
        <v>1847310</v>
      </c>
      <c r="C838">
        <v>0</v>
      </c>
      <c r="D838" s="1">
        <v>6660</v>
      </c>
      <c r="E838" s="1">
        <v>3886.83</v>
      </c>
      <c r="F838">
        <v>0</v>
      </c>
      <c r="G838" s="1">
        <v>95000</v>
      </c>
      <c r="H838" s="1">
        <v>85502.96</v>
      </c>
      <c r="I838" s="79" t="s">
        <v>2</v>
      </c>
    </row>
    <row r="839" spans="1:9" x14ac:dyDescent="0.25">
      <c r="A839">
        <v>840</v>
      </c>
      <c r="B839">
        <v>1847312</v>
      </c>
      <c r="C839">
        <v>0</v>
      </c>
      <c r="D839" s="1">
        <v>5298.24</v>
      </c>
      <c r="E839" s="1">
        <v>4200.2700000000004</v>
      </c>
      <c r="F839">
        <v>0</v>
      </c>
      <c r="G839" s="1">
        <v>10000</v>
      </c>
      <c r="H839" s="1">
        <v>10062.299999999999</v>
      </c>
      <c r="I839" s="79" t="s">
        <v>2</v>
      </c>
    </row>
    <row r="840" spans="1:9" x14ac:dyDescent="0.25">
      <c r="A840">
        <v>840</v>
      </c>
      <c r="B840">
        <v>1847340</v>
      </c>
      <c r="C840">
        <v>0</v>
      </c>
      <c r="D840" s="1">
        <v>55723</v>
      </c>
      <c r="E840" s="1">
        <v>1000</v>
      </c>
      <c r="F840">
        <v>0</v>
      </c>
      <c r="G840" s="1">
        <v>1000</v>
      </c>
      <c r="H840">
        <v>743</v>
      </c>
      <c r="I840" s="79" t="s">
        <v>2</v>
      </c>
    </row>
    <row r="841" spans="1:9" x14ac:dyDescent="0.25">
      <c r="A841">
        <v>840</v>
      </c>
      <c r="B841">
        <v>1848211</v>
      </c>
      <c r="C841">
        <v>0</v>
      </c>
      <c r="D841" s="1">
        <v>5320</v>
      </c>
      <c r="E841" s="1">
        <v>1876.8</v>
      </c>
      <c r="F841">
        <v>0</v>
      </c>
      <c r="G841" s="1">
        <v>2000</v>
      </c>
      <c r="H841" s="1">
        <v>3336.6</v>
      </c>
      <c r="I841" s="79" t="s">
        <v>2</v>
      </c>
    </row>
    <row r="842" spans="1:9" x14ac:dyDescent="0.25">
      <c r="A842">
        <v>840</v>
      </c>
      <c r="B842">
        <v>1848220</v>
      </c>
      <c r="C842">
        <v>0</v>
      </c>
      <c r="D842" s="1">
        <v>74827.600000000006</v>
      </c>
      <c r="E842" s="1">
        <v>33726.39</v>
      </c>
      <c r="F842">
        <v>0</v>
      </c>
      <c r="G842" s="1">
        <v>831000</v>
      </c>
      <c r="H842" s="1">
        <v>763219.26</v>
      </c>
      <c r="I842" s="79" t="s">
        <v>2</v>
      </c>
    </row>
    <row r="843" spans="1:9" x14ac:dyDescent="0.25">
      <c r="A843">
        <v>840</v>
      </c>
      <c r="B843">
        <v>1848310</v>
      </c>
      <c r="C843">
        <v>0</v>
      </c>
      <c r="D843" s="1">
        <v>50917.5</v>
      </c>
      <c r="E843" s="1">
        <v>1329.59</v>
      </c>
      <c r="F843">
        <v>0</v>
      </c>
      <c r="G843" s="1">
        <v>3000</v>
      </c>
      <c r="H843" s="1">
        <v>2591.5700000000002</v>
      </c>
      <c r="I843" s="79" t="s">
        <v>2</v>
      </c>
    </row>
    <row r="844" spans="1:9" x14ac:dyDescent="0.25">
      <c r="A844">
        <v>840</v>
      </c>
      <c r="B844">
        <v>1848311</v>
      </c>
      <c r="C844">
        <v>0</v>
      </c>
      <c r="D844" s="1">
        <v>4994</v>
      </c>
      <c r="E844">
        <v>129.46</v>
      </c>
      <c r="F844">
        <v>0</v>
      </c>
      <c r="G844" s="1">
        <v>3000</v>
      </c>
      <c r="H844" s="1">
        <v>2829.66</v>
      </c>
      <c r="I844" s="79" t="s">
        <v>2</v>
      </c>
    </row>
    <row r="845" spans="1:9" x14ac:dyDescent="0.25">
      <c r="A845">
        <v>840</v>
      </c>
      <c r="B845">
        <v>1848312</v>
      </c>
      <c r="C845">
        <v>0</v>
      </c>
      <c r="D845" s="1">
        <v>3792.5</v>
      </c>
      <c r="E845">
        <v>0</v>
      </c>
      <c r="F845" s="1">
        <v>2971</v>
      </c>
      <c r="G845" s="1">
        <v>2000</v>
      </c>
      <c r="H845">
        <v>0</v>
      </c>
      <c r="I845" s="79" t="s">
        <v>2</v>
      </c>
    </row>
    <row r="846" spans="1:9" x14ac:dyDescent="0.25">
      <c r="A846">
        <v>840</v>
      </c>
      <c r="B846">
        <v>1849030</v>
      </c>
      <c r="C846">
        <v>0</v>
      </c>
      <c r="D846" s="1">
        <v>16750</v>
      </c>
      <c r="E846" s="1">
        <v>7481</v>
      </c>
      <c r="F846">
        <v>0</v>
      </c>
      <c r="G846" s="1">
        <v>12000</v>
      </c>
      <c r="H846" s="1">
        <v>10842</v>
      </c>
      <c r="I846" s="79" t="s">
        <v>2</v>
      </c>
    </row>
    <row r="847" spans="1:9" x14ac:dyDescent="0.25">
      <c r="A847">
        <v>840</v>
      </c>
      <c r="B847">
        <v>1849050</v>
      </c>
      <c r="C847">
        <v>0</v>
      </c>
      <c r="D847" s="1">
        <v>19466</v>
      </c>
      <c r="E847">
        <v>0</v>
      </c>
      <c r="F847" s="1">
        <v>1129882.08</v>
      </c>
      <c r="G847" s="1">
        <v>500000</v>
      </c>
      <c r="H847" s="1">
        <v>1314474.76</v>
      </c>
      <c r="I847" s="79" t="s">
        <v>2</v>
      </c>
    </row>
    <row r="848" spans="1:9" x14ac:dyDescent="0.25">
      <c r="A848">
        <v>840</v>
      </c>
      <c r="B848">
        <v>1849051</v>
      </c>
      <c r="C848">
        <v>0</v>
      </c>
      <c r="D848" s="1">
        <v>1152</v>
      </c>
      <c r="E848">
        <v>226.5</v>
      </c>
      <c r="F848">
        <v>0</v>
      </c>
      <c r="G848" s="1">
        <v>6000</v>
      </c>
      <c r="H848">
        <v>0</v>
      </c>
      <c r="I848" s="79" t="s">
        <v>2</v>
      </c>
    </row>
    <row r="849" spans="1:9" x14ac:dyDescent="0.25">
      <c r="A849">
        <v>840</v>
      </c>
      <c r="B849">
        <v>1849080</v>
      </c>
      <c r="C849">
        <v>0</v>
      </c>
      <c r="D849" s="1">
        <v>1900</v>
      </c>
      <c r="E849" s="1">
        <v>1000</v>
      </c>
      <c r="F849">
        <v>0</v>
      </c>
      <c r="G849" s="1">
        <v>1000</v>
      </c>
      <c r="H849">
        <v>0</v>
      </c>
      <c r="I849" s="79" t="s">
        <v>2</v>
      </c>
    </row>
    <row r="850" spans="1:9" x14ac:dyDescent="0.25">
      <c r="A850">
        <v>840</v>
      </c>
      <c r="B850">
        <v>1849100</v>
      </c>
      <c r="C850">
        <v>0</v>
      </c>
      <c r="D850" s="1">
        <v>1668</v>
      </c>
      <c r="E850">
        <v>0</v>
      </c>
      <c r="F850" s="1">
        <v>362693.57</v>
      </c>
      <c r="G850" s="1">
        <v>498000</v>
      </c>
      <c r="H850" s="1">
        <v>728982.14</v>
      </c>
      <c r="I850" s="79" t="s">
        <v>2</v>
      </c>
    </row>
    <row r="851" spans="1:9" x14ac:dyDescent="0.25">
      <c r="A851">
        <v>840</v>
      </c>
      <c r="B851">
        <v>1849200</v>
      </c>
      <c r="C851">
        <v>0</v>
      </c>
      <c r="D851" s="1">
        <v>15800</v>
      </c>
      <c r="E851">
        <v>0</v>
      </c>
      <c r="F851" s="1">
        <v>134277.14000000001</v>
      </c>
      <c r="G851" s="1">
        <v>49025000</v>
      </c>
      <c r="H851" s="1">
        <v>31048157.390000001</v>
      </c>
      <c r="I851" s="79">
        <f>SUM(D763:D851)/1000</f>
        <v>40181.650860000009</v>
      </c>
    </row>
    <row r="852" spans="1:9" x14ac:dyDescent="0.25">
      <c r="A852">
        <v>860</v>
      </c>
      <c r="B852">
        <v>1995000</v>
      </c>
      <c r="C852">
        <v>0</v>
      </c>
      <c r="D852" s="1">
        <v>49159277.140000001</v>
      </c>
      <c r="E852">
        <v>0</v>
      </c>
      <c r="F852" s="1">
        <v>27037254.32</v>
      </c>
      <c r="G852">
        <v>0</v>
      </c>
      <c r="H852" s="1">
        <v>25102004.050000001</v>
      </c>
      <c r="I852" s="79">
        <f>D852/1000</f>
        <v>49159.277139999998</v>
      </c>
    </row>
    <row r="853" spans="1:9" x14ac:dyDescent="0.25">
      <c r="A853">
        <v>930</v>
      </c>
      <c r="B853">
        <v>1729999</v>
      </c>
      <c r="C853">
        <v>0</v>
      </c>
      <c r="D853" s="1">
        <v>36771</v>
      </c>
      <c r="E853" s="1">
        <v>27851892.09</v>
      </c>
      <c r="F853">
        <v>0</v>
      </c>
      <c r="G853" s="1">
        <v>28073000</v>
      </c>
      <c r="H853" s="1">
        <v>35148.5</v>
      </c>
      <c r="I853" s="79" t="s">
        <v>2</v>
      </c>
    </row>
    <row r="854" spans="1:9" x14ac:dyDescent="0.25">
      <c r="A854">
        <v>932</v>
      </c>
      <c r="B854">
        <v>1729999</v>
      </c>
      <c r="C854">
        <v>0</v>
      </c>
      <c r="D854" s="1">
        <v>558143.63</v>
      </c>
      <c r="E854">
        <v>0</v>
      </c>
      <c r="F854" s="1">
        <v>1310007.8</v>
      </c>
      <c r="G854">
        <v>0</v>
      </c>
      <c r="H854" s="1">
        <v>2381386.33</v>
      </c>
      <c r="I854" s="79" t="s">
        <v>2</v>
      </c>
    </row>
    <row r="855" spans="1:9" x14ac:dyDescent="0.25">
      <c r="A855">
        <v>933</v>
      </c>
      <c r="B855">
        <v>1729999</v>
      </c>
      <c r="C855">
        <v>0</v>
      </c>
      <c r="D855" s="1">
        <v>94200</v>
      </c>
      <c r="E855">
        <v>0</v>
      </c>
      <c r="F855" s="1">
        <v>150166.29999999999</v>
      </c>
      <c r="G855">
        <v>0</v>
      </c>
      <c r="H855" s="1">
        <v>117951.42</v>
      </c>
      <c r="I855" s="79" t="s">
        <v>2</v>
      </c>
    </row>
    <row r="856" spans="1:9" x14ac:dyDescent="0.25">
      <c r="A856">
        <v>934</v>
      </c>
      <c r="B856">
        <v>1729999</v>
      </c>
      <c r="C856">
        <v>0</v>
      </c>
      <c r="D856" s="1">
        <v>140000</v>
      </c>
      <c r="E856" s="1">
        <v>47000</v>
      </c>
      <c r="F856">
        <v>0</v>
      </c>
      <c r="G856" s="1">
        <v>47000</v>
      </c>
      <c r="H856">
        <v>0</v>
      </c>
      <c r="I856" s="79">
        <f>SUM(D853:D856)/1000</f>
        <v>829.11463000000003</v>
      </c>
    </row>
    <row r="857" spans="1:9" x14ac:dyDescent="0.25">
      <c r="A857">
        <v>980</v>
      </c>
      <c r="B857">
        <v>1994000</v>
      </c>
      <c r="C857">
        <v>0</v>
      </c>
      <c r="D857" s="1">
        <v>860693.57</v>
      </c>
      <c r="E857">
        <v>0</v>
      </c>
      <c r="F857" s="1">
        <v>23575.53</v>
      </c>
      <c r="G857">
        <v>0</v>
      </c>
      <c r="H857" s="1">
        <v>178435.65</v>
      </c>
      <c r="I857" s="79">
        <f>D857/1000</f>
        <v>860.69356999999991</v>
      </c>
    </row>
    <row r="858" spans="1:9" x14ac:dyDescent="0.25">
      <c r="D858" s="1">
        <f>SUM(D249:D857)</f>
        <v>360618575.94999987</v>
      </c>
      <c r="E858" s="1">
        <f t="shared" ref="E858:I858" si="0">SUM(E249:E857)</f>
        <v>46446808.540000007</v>
      </c>
      <c r="F858" s="1">
        <f t="shared" si="0"/>
        <v>58643701.130000003</v>
      </c>
      <c r="G858" s="1">
        <f t="shared" si="0"/>
        <v>311170000</v>
      </c>
      <c r="H858" s="1">
        <f t="shared" si="0"/>
        <v>311123079.30000013</v>
      </c>
      <c r="I858" s="79">
        <f t="shared" si="0"/>
        <v>360618.26180000004</v>
      </c>
    </row>
    <row r="860" spans="1:9" x14ac:dyDescent="0.25">
      <c r="D860" s="1">
        <f>D247-D858</f>
        <v>842281.96000003815</v>
      </c>
    </row>
  </sheetData>
  <sheetProtection password="CC6B" sheet="1" objects="1" scenarios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244"/>
  <sheetViews>
    <sheetView rightToLeft="1" topLeftCell="A366" workbookViewId="0">
      <selection activeCell="C383" sqref="C383"/>
    </sheetView>
  </sheetViews>
  <sheetFormatPr defaultColWidth="8.3984375" defaultRowHeight="15" outlineLevelRow="2" x14ac:dyDescent="0.25"/>
  <cols>
    <col min="1" max="1" width="15.09765625" style="62" bestFit="1" customWidth="1"/>
    <col min="2" max="2" width="9" style="62" bestFit="1" customWidth="1"/>
    <col min="3" max="3" width="17.59765625" style="64" customWidth="1"/>
    <col min="4" max="4" width="13.8984375" style="64" customWidth="1"/>
    <col min="5" max="5" width="8.3984375" style="62"/>
    <col min="6" max="6" width="17.3984375" style="93" bestFit="1" customWidth="1"/>
    <col min="7" max="7" width="8.3984375" style="62"/>
    <col min="8" max="8" width="6.09765625" style="62" customWidth="1"/>
    <col min="9" max="16384" width="8.3984375" style="62"/>
  </cols>
  <sheetData>
    <row r="1" spans="1:8" x14ac:dyDescent="0.25">
      <c r="A1" s="60" t="s">
        <v>754</v>
      </c>
      <c r="B1" s="60" t="s">
        <v>755</v>
      </c>
      <c r="C1" s="61" t="s">
        <v>757</v>
      </c>
      <c r="D1" s="61" t="s">
        <v>756</v>
      </c>
      <c r="F1" s="92" t="s">
        <v>877</v>
      </c>
      <c r="H1" s="60" t="s">
        <v>758</v>
      </c>
    </row>
    <row r="2" spans="1:8" x14ac:dyDescent="0.25">
      <c r="A2" s="63">
        <v>611000</v>
      </c>
      <c r="B2" s="63">
        <v>202101</v>
      </c>
      <c r="C2" s="64">
        <v>175239.93</v>
      </c>
      <c r="D2" s="64">
        <v>3</v>
      </c>
      <c r="H2" s="65">
        <v>3</v>
      </c>
    </row>
    <row r="3" spans="1:8" x14ac:dyDescent="0.25">
      <c r="A3" s="63">
        <v>611000</v>
      </c>
      <c r="B3" s="63">
        <v>202102</v>
      </c>
      <c r="C3" s="64">
        <v>175239.92</v>
      </c>
      <c r="D3" s="64">
        <v>3</v>
      </c>
      <c r="H3" s="65">
        <v>3</v>
      </c>
    </row>
    <row r="4" spans="1:8" x14ac:dyDescent="0.25">
      <c r="A4" s="63">
        <v>611000</v>
      </c>
      <c r="B4" s="63">
        <v>202103</v>
      </c>
      <c r="C4" s="64">
        <v>186144.43</v>
      </c>
      <c r="D4" s="64">
        <v>3</v>
      </c>
      <c r="H4" s="65">
        <v>3</v>
      </c>
    </row>
    <row r="5" spans="1:8" x14ac:dyDescent="0.25">
      <c r="A5" s="63">
        <v>611000</v>
      </c>
      <c r="B5" s="63">
        <v>202104</v>
      </c>
      <c r="C5" s="64">
        <v>175319.16</v>
      </c>
      <c r="D5" s="64">
        <v>3</v>
      </c>
      <c r="H5" s="65">
        <v>3</v>
      </c>
    </row>
    <row r="6" spans="1:8" x14ac:dyDescent="0.25">
      <c r="A6" s="63">
        <v>611000</v>
      </c>
      <c r="B6" s="63">
        <v>202105</v>
      </c>
      <c r="C6" s="64">
        <v>184970.43</v>
      </c>
      <c r="D6" s="64">
        <v>3</v>
      </c>
      <c r="H6" s="65">
        <v>3</v>
      </c>
    </row>
    <row r="7" spans="1:8" x14ac:dyDescent="0.25">
      <c r="A7" s="63">
        <v>611000</v>
      </c>
      <c r="B7" s="63">
        <v>202106</v>
      </c>
      <c r="C7" s="64">
        <v>250792.63</v>
      </c>
      <c r="D7" s="64">
        <v>2.5</v>
      </c>
      <c r="H7" s="65">
        <v>3</v>
      </c>
    </row>
    <row r="8" spans="1:8" x14ac:dyDescent="0.25">
      <c r="A8" s="63">
        <v>611000</v>
      </c>
      <c r="B8" s="63">
        <v>202107</v>
      </c>
      <c r="C8" s="64">
        <v>133537.54</v>
      </c>
      <c r="D8" s="64">
        <v>2</v>
      </c>
      <c r="H8" s="65">
        <v>2</v>
      </c>
    </row>
    <row r="9" spans="1:8" x14ac:dyDescent="0.25">
      <c r="A9" s="63">
        <v>611000</v>
      </c>
      <c r="B9" s="63">
        <v>202108</v>
      </c>
      <c r="C9" s="64">
        <v>123613</v>
      </c>
      <c r="D9" s="64">
        <v>2</v>
      </c>
      <c r="H9" s="65">
        <v>2</v>
      </c>
    </row>
    <row r="10" spans="1:8" x14ac:dyDescent="0.25">
      <c r="A10" s="63">
        <v>611000</v>
      </c>
      <c r="B10" s="63">
        <v>202109</v>
      </c>
      <c r="C10" s="64">
        <v>123613</v>
      </c>
      <c r="D10" s="64">
        <v>2</v>
      </c>
      <c r="H10" s="65">
        <v>2</v>
      </c>
    </row>
    <row r="11" spans="1:8" x14ac:dyDescent="0.25">
      <c r="A11" s="63">
        <v>611000</v>
      </c>
      <c r="B11" s="63">
        <v>202110</v>
      </c>
      <c r="C11" s="64">
        <v>123613</v>
      </c>
      <c r="D11" s="64">
        <v>2</v>
      </c>
      <c r="H11" s="65">
        <v>2</v>
      </c>
    </row>
    <row r="12" spans="1:8" x14ac:dyDescent="0.25">
      <c r="A12" s="63">
        <v>611000</v>
      </c>
      <c r="B12" s="63">
        <v>202111</v>
      </c>
      <c r="C12" s="64">
        <v>123613</v>
      </c>
      <c r="D12" s="64">
        <v>2</v>
      </c>
      <c r="H12" s="65">
        <v>2</v>
      </c>
    </row>
    <row r="13" spans="1:8" x14ac:dyDescent="0.25">
      <c r="A13" s="63">
        <v>611000</v>
      </c>
      <c r="B13" s="63">
        <v>202112</v>
      </c>
      <c r="C13" s="64">
        <v>123613</v>
      </c>
      <c r="D13" s="64">
        <v>2</v>
      </c>
      <c r="F13" s="93" cm="1">
        <f t="array" ref="F13">SUM(D2:D13/12)</f>
        <v>2.458333333333333</v>
      </c>
      <c r="H13" s="65">
        <v>2</v>
      </c>
    </row>
    <row r="14" spans="1:8" x14ac:dyDescent="0.25">
      <c r="A14" s="66" t="s">
        <v>759</v>
      </c>
      <c r="B14" s="63"/>
      <c r="C14" s="67">
        <f>SUM(C2:C13)</f>
        <v>1899309.04</v>
      </c>
      <c r="H14" s="65"/>
    </row>
    <row r="15" spans="1:8" x14ac:dyDescent="0.25">
      <c r="A15" s="63">
        <v>611200</v>
      </c>
      <c r="B15" s="63">
        <v>202101</v>
      </c>
      <c r="C15" s="64">
        <v>138618.56</v>
      </c>
      <c r="D15" s="64">
        <v>8.5</v>
      </c>
      <c r="H15" s="65">
        <v>10</v>
      </c>
    </row>
    <row r="16" spans="1:8" x14ac:dyDescent="0.25">
      <c r="A16" s="63">
        <v>611200</v>
      </c>
      <c r="B16" s="63">
        <v>202102</v>
      </c>
      <c r="C16" s="64">
        <v>136387.16</v>
      </c>
      <c r="D16" s="64">
        <v>8.5</v>
      </c>
      <c r="H16" s="65">
        <v>9</v>
      </c>
    </row>
    <row r="17" spans="1:8" x14ac:dyDescent="0.25">
      <c r="A17" s="63">
        <v>611200</v>
      </c>
      <c r="B17" s="63">
        <v>202103</v>
      </c>
      <c r="C17" s="64">
        <v>155759.65</v>
      </c>
      <c r="D17" s="64">
        <v>8.5</v>
      </c>
      <c r="H17" s="65">
        <v>9</v>
      </c>
    </row>
    <row r="18" spans="1:8" x14ac:dyDescent="0.25">
      <c r="A18" s="63">
        <v>611200</v>
      </c>
      <c r="B18" s="63">
        <v>202104</v>
      </c>
      <c r="C18" s="64">
        <v>136532.03</v>
      </c>
      <c r="D18" s="64">
        <v>8.5</v>
      </c>
      <c r="H18" s="65">
        <v>10</v>
      </c>
    </row>
    <row r="19" spans="1:8" x14ac:dyDescent="0.25">
      <c r="A19" s="63">
        <v>611200</v>
      </c>
      <c r="B19" s="63">
        <v>202105</v>
      </c>
      <c r="C19" s="64">
        <v>156426.79</v>
      </c>
      <c r="D19" s="64">
        <v>8.5</v>
      </c>
      <c r="H19" s="65">
        <v>10</v>
      </c>
    </row>
    <row r="20" spans="1:8" x14ac:dyDescent="0.25">
      <c r="A20" s="63">
        <v>611200</v>
      </c>
      <c r="B20" s="63">
        <v>202106</v>
      </c>
      <c r="C20" s="64">
        <v>199666.86</v>
      </c>
      <c r="D20" s="64">
        <v>7.4660000000000002</v>
      </c>
      <c r="H20" s="65">
        <v>9</v>
      </c>
    </row>
    <row r="21" spans="1:8" x14ac:dyDescent="0.25">
      <c r="A21" s="63">
        <v>611200</v>
      </c>
      <c r="B21" s="63">
        <v>202107</v>
      </c>
      <c r="C21" s="64">
        <v>134031.48000000001</v>
      </c>
      <c r="D21" s="64">
        <v>6.5</v>
      </c>
      <c r="H21" s="65">
        <v>8</v>
      </c>
    </row>
    <row r="22" spans="1:8" x14ac:dyDescent="0.25">
      <c r="A22" s="63">
        <v>611200</v>
      </c>
      <c r="B22" s="63">
        <v>202108</v>
      </c>
      <c r="C22" s="64">
        <f>134031.48+9250</f>
        <v>143281.48000000001</v>
      </c>
      <c r="D22" s="64">
        <v>6.5</v>
      </c>
      <c r="H22" s="65">
        <v>7</v>
      </c>
    </row>
    <row r="23" spans="1:8" x14ac:dyDescent="0.25">
      <c r="A23" s="63">
        <v>611200</v>
      </c>
      <c r="B23" s="63">
        <v>202109</v>
      </c>
      <c r="C23" s="64">
        <f>134031.48+2350</f>
        <v>136381.48000000001</v>
      </c>
      <c r="D23" s="64">
        <v>6.5</v>
      </c>
      <c r="H23" s="65">
        <v>7</v>
      </c>
    </row>
    <row r="24" spans="1:8" x14ac:dyDescent="0.25">
      <c r="A24" s="63">
        <v>611200</v>
      </c>
      <c r="B24" s="63">
        <v>202110</v>
      </c>
      <c r="C24" s="64">
        <f>C23+18130+2350</f>
        <v>156861.48000000001</v>
      </c>
      <c r="D24" s="64">
        <v>7.5</v>
      </c>
      <c r="E24" s="68" t="s">
        <v>760</v>
      </c>
      <c r="H24" s="65">
        <v>8</v>
      </c>
    </row>
    <row r="25" spans="1:8" x14ac:dyDescent="0.25">
      <c r="A25" s="63">
        <v>611200</v>
      </c>
      <c r="B25" s="63">
        <v>202111</v>
      </c>
      <c r="C25" s="64">
        <f t="shared" ref="C25:C26" si="0">C24+18130+2350</f>
        <v>177341.48</v>
      </c>
      <c r="D25" s="64">
        <v>7.5</v>
      </c>
      <c r="H25" s="65">
        <v>8</v>
      </c>
    </row>
    <row r="26" spans="1:8" x14ac:dyDescent="0.25">
      <c r="A26" s="63">
        <v>611200</v>
      </c>
      <c r="B26" s="63">
        <v>202112</v>
      </c>
      <c r="C26" s="64">
        <f t="shared" si="0"/>
        <v>197821.48</v>
      </c>
      <c r="D26" s="64">
        <v>7.5</v>
      </c>
      <c r="F26" s="93" cm="1">
        <f t="array" ref="F26">SUM(D15:D26/12)</f>
        <v>7.6638333333333346</v>
      </c>
      <c r="H26" s="65">
        <v>8</v>
      </c>
    </row>
    <row r="27" spans="1:8" x14ac:dyDescent="0.25">
      <c r="A27" s="66" t="s">
        <v>761</v>
      </c>
      <c r="B27" s="63"/>
      <c r="C27" s="67">
        <f>SUM(C15:C26)</f>
        <v>1869109.93</v>
      </c>
      <c r="H27" s="65"/>
    </row>
    <row r="28" spans="1:8" x14ac:dyDescent="0.25">
      <c r="A28" s="63">
        <v>612000</v>
      </c>
      <c r="B28" s="63">
        <v>202101</v>
      </c>
      <c r="C28" s="64">
        <v>52190.41</v>
      </c>
      <c r="D28" s="64">
        <v>1</v>
      </c>
      <c r="H28" s="65">
        <v>1</v>
      </c>
    </row>
    <row r="29" spans="1:8" x14ac:dyDescent="0.25">
      <c r="A29" s="63">
        <v>612000</v>
      </c>
      <c r="B29" s="63">
        <v>202102</v>
      </c>
      <c r="C29" s="64">
        <v>52190.41</v>
      </c>
      <c r="D29" s="64">
        <v>1</v>
      </c>
      <c r="H29" s="65">
        <v>1</v>
      </c>
    </row>
    <row r="30" spans="1:8" x14ac:dyDescent="0.25">
      <c r="A30" s="63">
        <v>612000</v>
      </c>
      <c r="B30" s="63">
        <v>202103</v>
      </c>
      <c r="C30" s="64">
        <v>52157.19</v>
      </c>
      <c r="D30" s="64">
        <v>1</v>
      </c>
      <c r="H30" s="65">
        <v>1</v>
      </c>
    </row>
    <row r="31" spans="1:8" x14ac:dyDescent="0.25">
      <c r="A31" s="63">
        <v>612000</v>
      </c>
      <c r="B31" s="63">
        <v>202104</v>
      </c>
      <c r="C31" s="64">
        <v>52157.17</v>
      </c>
      <c r="D31" s="64">
        <v>1</v>
      </c>
      <c r="H31" s="65">
        <v>1</v>
      </c>
    </row>
    <row r="32" spans="1:8" x14ac:dyDescent="0.25">
      <c r="A32" s="63">
        <v>612000</v>
      </c>
      <c r="B32" s="63">
        <v>202105</v>
      </c>
      <c r="C32" s="64">
        <v>52155.66</v>
      </c>
      <c r="D32" s="64">
        <v>1</v>
      </c>
      <c r="H32" s="65">
        <v>1</v>
      </c>
    </row>
    <row r="33" spans="1:8" x14ac:dyDescent="0.25">
      <c r="A33" s="63">
        <v>612000</v>
      </c>
      <c r="B33" s="63">
        <v>202106</v>
      </c>
      <c r="C33" s="64">
        <v>56058.05</v>
      </c>
      <c r="D33" s="64">
        <v>1</v>
      </c>
      <c r="H33" s="65">
        <v>1</v>
      </c>
    </row>
    <row r="34" spans="1:8" x14ac:dyDescent="0.25">
      <c r="A34" s="63">
        <v>612000</v>
      </c>
      <c r="B34" s="63">
        <v>202107</v>
      </c>
      <c r="C34" s="64">
        <v>53386.82</v>
      </c>
      <c r="D34" s="64">
        <v>1</v>
      </c>
      <c r="H34" s="65">
        <v>1</v>
      </c>
    </row>
    <row r="35" spans="1:8" x14ac:dyDescent="0.25">
      <c r="A35" s="63">
        <v>612000</v>
      </c>
      <c r="B35" s="63">
        <v>202108</v>
      </c>
      <c r="C35" s="64">
        <v>52157</v>
      </c>
      <c r="D35" s="64">
        <v>1</v>
      </c>
      <c r="H35" s="65">
        <v>1</v>
      </c>
    </row>
    <row r="36" spans="1:8" x14ac:dyDescent="0.25">
      <c r="A36" s="63">
        <v>612000</v>
      </c>
      <c r="B36" s="63">
        <v>202109</v>
      </c>
      <c r="C36" s="64">
        <v>52157</v>
      </c>
      <c r="D36" s="64">
        <v>1</v>
      </c>
      <c r="H36" s="65">
        <v>1</v>
      </c>
    </row>
    <row r="37" spans="1:8" x14ac:dyDescent="0.25">
      <c r="A37" s="63">
        <v>612000</v>
      </c>
      <c r="B37" s="63">
        <v>202110</v>
      </c>
      <c r="C37" s="64">
        <v>52157</v>
      </c>
      <c r="D37" s="64">
        <v>1</v>
      </c>
      <c r="H37" s="65">
        <v>1</v>
      </c>
    </row>
    <row r="38" spans="1:8" x14ac:dyDescent="0.25">
      <c r="A38" s="63">
        <v>612000</v>
      </c>
      <c r="B38" s="63">
        <v>202111</v>
      </c>
      <c r="C38" s="64">
        <v>52157</v>
      </c>
      <c r="D38" s="64">
        <v>1</v>
      </c>
      <c r="H38" s="65">
        <v>1</v>
      </c>
    </row>
    <row r="39" spans="1:8" x14ac:dyDescent="0.25">
      <c r="A39" s="63">
        <v>612000</v>
      </c>
      <c r="B39" s="63">
        <v>202112</v>
      </c>
      <c r="C39" s="64">
        <v>52157</v>
      </c>
      <c r="D39" s="64">
        <v>1</v>
      </c>
      <c r="F39" s="93" cm="1">
        <f t="array" ref="F39">SUM(D28:D39/12)</f>
        <v>1</v>
      </c>
      <c r="H39" s="65">
        <v>1</v>
      </c>
    </row>
    <row r="40" spans="1:8" x14ac:dyDescent="0.25">
      <c r="A40" s="66" t="s">
        <v>762</v>
      </c>
      <c r="B40" s="63"/>
      <c r="C40" s="67">
        <f>SUM(C28:C39)</f>
        <v>631080.71</v>
      </c>
      <c r="H40" s="65"/>
    </row>
    <row r="41" spans="1:8" x14ac:dyDescent="0.25">
      <c r="A41" s="63">
        <v>613000</v>
      </c>
      <c r="B41" s="63">
        <v>202101</v>
      </c>
      <c r="C41" s="64">
        <v>224029.33</v>
      </c>
      <c r="D41" s="64">
        <v>12.45</v>
      </c>
      <c r="H41" s="65">
        <v>18</v>
      </c>
    </row>
    <row r="42" spans="1:8" x14ac:dyDescent="0.25">
      <c r="A42" s="63">
        <v>613000</v>
      </c>
      <c r="B42" s="63">
        <v>202102</v>
      </c>
      <c r="C42" s="64">
        <v>218883.71</v>
      </c>
      <c r="D42" s="64">
        <v>12.45</v>
      </c>
      <c r="H42" s="65">
        <v>17</v>
      </c>
    </row>
    <row r="43" spans="1:8" x14ac:dyDescent="0.25">
      <c r="A43" s="63">
        <v>613000</v>
      </c>
      <c r="B43" s="63">
        <v>202103</v>
      </c>
      <c r="C43" s="64">
        <v>235605.31</v>
      </c>
      <c r="D43" s="64">
        <v>13.433</v>
      </c>
      <c r="H43" s="65">
        <v>18</v>
      </c>
    </row>
    <row r="44" spans="1:8" x14ac:dyDescent="0.25">
      <c r="A44" s="63">
        <v>613000</v>
      </c>
      <c r="B44" s="63">
        <v>202104</v>
      </c>
      <c r="C44" s="64">
        <v>231497.43</v>
      </c>
      <c r="D44" s="64">
        <v>13.95</v>
      </c>
      <c r="H44" s="65">
        <v>17</v>
      </c>
    </row>
    <row r="45" spans="1:8" x14ac:dyDescent="0.25">
      <c r="A45" s="63">
        <v>613000</v>
      </c>
      <c r="B45" s="63">
        <v>202105</v>
      </c>
      <c r="C45" s="64">
        <v>230498.77</v>
      </c>
      <c r="D45" s="64">
        <v>13.95</v>
      </c>
      <c r="H45" s="65">
        <v>17</v>
      </c>
    </row>
    <row r="46" spans="1:8" x14ac:dyDescent="0.25">
      <c r="A46" s="63">
        <v>613000</v>
      </c>
      <c r="B46" s="63">
        <v>202106</v>
      </c>
      <c r="C46" s="64">
        <v>316192.34999999998</v>
      </c>
      <c r="D46" s="64">
        <v>13.95</v>
      </c>
      <c r="H46" s="65">
        <v>18</v>
      </c>
    </row>
    <row r="47" spans="1:8" x14ac:dyDescent="0.25">
      <c r="A47" s="63">
        <v>613000</v>
      </c>
      <c r="B47" s="63">
        <v>202107</v>
      </c>
      <c r="C47" s="64">
        <v>275095.5</v>
      </c>
      <c r="D47" s="64">
        <v>12.95</v>
      </c>
      <c r="H47" s="65">
        <v>15</v>
      </c>
    </row>
    <row r="48" spans="1:8" x14ac:dyDescent="0.25">
      <c r="A48" s="63">
        <v>613000</v>
      </c>
      <c r="B48" s="63">
        <v>202108</v>
      </c>
      <c r="C48" s="64">
        <v>285000.5</v>
      </c>
      <c r="D48" s="64">
        <v>12.95</v>
      </c>
      <c r="H48" s="65">
        <v>15</v>
      </c>
    </row>
    <row r="49" spans="1:8" x14ac:dyDescent="0.25">
      <c r="A49" s="63">
        <v>613000</v>
      </c>
      <c r="B49" s="63">
        <v>202109</v>
      </c>
      <c r="C49" s="64">
        <f>285000.5+12000</f>
        <v>297000.5</v>
      </c>
      <c r="D49" s="64">
        <v>12.95</v>
      </c>
      <c r="H49" s="65">
        <v>15</v>
      </c>
    </row>
    <row r="50" spans="1:8" x14ac:dyDescent="0.25">
      <c r="A50" s="63">
        <v>613000</v>
      </c>
      <c r="B50" s="63">
        <v>202110</v>
      </c>
      <c r="C50" s="64">
        <v>285000.5</v>
      </c>
      <c r="D50" s="64">
        <v>12.95</v>
      </c>
      <c r="H50" s="65">
        <v>15</v>
      </c>
    </row>
    <row r="51" spans="1:8" x14ac:dyDescent="0.25">
      <c r="A51" s="63">
        <v>613000</v>
      </c>
      <c r="B51" s="63">
        <v>202111</v>
      </c>
      <c r="C51" s="64">
        <v>285000.5</v>
      </c>
      <c r="D51" s="64">
        <v>12.95</v>
      </c>
      <c r="H51" s="65">
        <v>15</v>
      </c>
    </row>
    <row r="52" spans="1:8" x14ac:dyDescent="0.25">
      <c r="A52" s="63">
        <v>613000</v>
      </c>
      <c r="B52" s="63">
        <v>202112</v>
      </c>
      <c r="C52" s="64">
        <v>285000.5</v>
      </c>
      <c r="D52" s="64">
        <v>12.95</v>
      </c>
      <c r="F52" s="93" cm="1">
        <f t="array" ref="F52">SUM(D41:D52/12)</f>
        <v>13.15691666666666</v>
      </c>
      <c r="H52" s="65">
        <v>15</v>
      </c>
    </row>
    <row r="53" spans="1:8" x14ac:dyDescent="0.25">
      <c r="A53" s="66" t="s">
        <v>763</v>
      </c>
      <c r="B53" s="63"/>
      <c r="C53" s="67">
        <f>SUM(C41:C52)</f>
        <v>3168804.9</v>
      </c>
      <c r="H53" s="65"/>
    </row>
    <row r="54" spans="1:8" x14ac:dyDescent="0.25">
      <c r="A54" s="63">
        <v>613300</v>
      </c>
      <c r="B54" s="63">
        <v>202101</v>
      </c>
      <c r="C54" s="64">
        <v>44255.8</v>
      </c>
      <c r="D54" s="64">
        <v>4.8</v>
      </c>
      <c r="H54" s="65">
        <v>5</v>
      </c>
    </row>
    <row r="55" spans="1:8" x14ac:dyDescent="0.25">
      <c r="A55" s="63">
        <v>613300</v>
      </c>
      <c r="B55" s="63">
        <v>202102</v>
      </c>
      <c r="C55" s="64">
        <v>49717.52</v>
      </c>
      <c r="D55" s="64">
        <v>4.8</v>
      </c>
      <c r="H55" s="65">
        <v>5</v>
      </c>
    </row>
    <row r="56" spans="1:8" x14ac:dyDescent="0.25">
      <c r="A56" s="63">
        <v>613300</v>
      </c>
      <c r="B56" s="63">
        <v>202103</v>
      </c>
      <c r="C56" s="64">
        <v>37646.300000000003</v>
      </c>
      <c r="D56" s="64">
        <v>4</v>
      </c>
      <c r="H56" s="65">
        <v>4</v>
      </c>
    </row>
    <row r="57" spans="1:8" x14ac:dyDescent="0.25">
      <c r="A57" s="63">
        <v>613300</v>
      </c>
      <c r="B57" s="63">
        <v>202104</v>
      </c>
      <c r="C57" s="64">
        <v>37400.29</v>
      </c>
      <c r="D57" s="64">
        <v>4</v>
      </c>
      <c r="H57" s="65">
        <v>4</v>
      </c>
    </row>
    <row r="58" spans="1:8" x14ac:dyDescent="0.25">
      <c r="A58" s="63">
        <v>613300</v>
      </c>
      <c r="B58" s="63">
        <v>202105</v>
      </c>
      <c r="C58" s="64">
        <v>39185.64</v>
      </c>
      <c r="D58" s="64">
        <v>4</v>
      </c>
      <c r="H58" s="65">
        <v>4</v>
      </c>
    </row>
    <row r="59" spans="1:8" x14ac:dyDescent="0.25">
      <c r="A59" s="63">
        <v>613300</v>
      </c>
      <c r="B59" s="63">
        <v>202106</v>
      </c>
      <c r="C59" s="64">
        <v>59591.56</v>
      </c>
      <c r="D59" s="64">
        <v>4</v>
      </c>
      <c r="H59" s="65">
        <v>4</v>
      </c>
    </row>
    <row r="60" spans="1:8" x14ac:dyDescent="0.25">
      <c r="A60" s="63">
        <v>613300</v>
      </c>
      <c r="B60" s="63">
        <v>202107</v>
      </c>
      <c r="C60" s="64">
        <v>42545.919999999998</v>
      </c>
      <c r="D60" s="64">
        <v>4</v>
      </c>
      <c r="H60" s="65">
        <v>4</v>
      </c>
    </row>
    <row r="61" spans="1:8" x14ac:dyDescent="0.25">
      <c r="A61" s="63">
        <v>613300</v>
      </c>
      <c r="B61" s="63">
        <v>202108</v>
      </c>
      <c r="C61" s="64">
        <v>42545.919999999998</v>
      </c>
      <c r="D61" s="64">
        <v>4</v>
      </c>
      <c r="H61" s="65">
        <v>4</v>
      </c>
    </row>
    <row r="62" spans="1:8" x14ac:dyDescent="0.25">
      <c r="A62" s="63">
        <v>613300</v>
      </c>
      <c r="B62" s="63">
        <v>202109</v>
      </c>
      <c r="C62" s="64">
        <v>42545.919999999998</v>
      </c>
      <c r="D62" s="64">
        <v>4</v>
      </c>
      <c r="H62" s="65">
        <v>4</v>
      </c>
    </row>
    <row r="63" spans="1:8" x14ac:dyDescent="0.25">
      <c r="A63" s="63">
        <v>613300</v>
      </c>
      <c r="B63" s="63">
        <v>202110</v>
      </c>
      <c r="C63" s="64">
        <v>42545.919999999998</v>
      </c>
      <c r="D63" s="64">
        <v>4</v>
      </c>
      <c r="H63" s="65">
        <v>4</v>
      </c>
    </row>
    <row r="64" spans="1:8" x14ac:dyDescent="0.25">
      <c r="A64" s="63">
        <v>613300</v>
      </c>
      <c r="B64" s="63">
        <v>202111</v>
      </c>
      <c r="C64" s="64">
        <v>42545.919999999998</v>
      </c>
      <c r="D64" s="64">
        <v>4</v>
      </c>
      <c r="H64" s="65">
        <v>4</v>
      </c>
    </row>
    <row r="65" spans="1:8" x14ac:dyDescent="0.25">
      <c r="A65" s="63">
        <v>613300</v>
      </c>
      <c r="B65" s="63">
        <v>202112</v>
      </c>
      <c r="C65" s="64">
        <v>42545.919999999998</v>
      </c>
      <c r="D65" s="64">
        <v>4</v>
      </c>
      <c r="F65" s="93" cm="1">
        <f t="array" ref="F65">SUM(D54:D65/12)</f>
        <v>4.1333333333333337</v>
      </c>
      <c r="H65" s="65">
        <v>4</v>
      </c>
    </row>
    <row r="66" spans="1:8" x14ac:dyDescent="0.25">
      <c r="A66" s="66" t="s">
        <v>764</v>
      </c>
      <c r="B66" s="63"/>
      <c r="C66" s="67">
        <f>SUM(C54:C65)</f>
        <v>523072.62999999989</v>
      </c>
      <c r="H66" s="65"/>
    </row>
    <row r="67" spans="1:8" x14ac:dyDescent="0.25">
      <c r="A67" s="63">
        <v>614000</v>
      </c>
      <c r="B67" s="63">
        <v>202101</v>
      </c>
      <c r="C67" s="64">
        <v>47442.36</v>
      </c>
      <c r="D67" s="64">
        <v>2</v>
      </c>
      <c r="H67" s="65">
        <v>2</v>
      </c>
    </row>
    <row r="68" spans="1:8" x14ac:dyDescent="0.25">
      <c r="A68" s="63">
        <v>614000</v>
      </c>
      <c r="B68" s="63">
        <v>202102</v>
      </c>
      <c r="C68" s="64">
        <v>50013.9</v>
      </c>
      <c r="D68" s="64">
        <v>2</v>
      </c>
      <c r="H68" s="65">
        <v>2</v>
      </c>
    </row>
    <row r="69" spans="1:8" x14ac:dyDescent="0.25">
      <c r="A69" s="63">
        <v>614000</v>
      </c>
      <c r="B69" s="63">
        <v>202103</v>
      </c>
      <c r="C69" s="64">
        <v>54855.03</v>
      </c>
      <c r="D69" s="64">
        <v>2</v>
      </c>
      <c r="H69" s="65">
        <v>2</v>
      </c>
    </row>
    <row r="70" spans="1:8" x14ac:dyDescent="0.25">
      <c r="A70" s="63">
        <v>614000</v>
      </c>
      <c r="B70" s="63">
        <v>202104</v>
      </c>
      <c r="C70" s="64">
        <v>50861.37</v>
      </c>
      <c r="D70" s="64">
        <v>2</v>
      </c>
      <c r="H70" s="65">
        <v>2</v>
      </c>
    </row>
    <row r="71" spans="1:8" x14ac:dyDescent="0.25">
      <c r="A71" s="63">
        <v>614000</v>
      </c>
      <c r="B71" s="63">
        <v>202105</v>
      </c>
      <c r="C71" s="64">
        <v>52386.79</v>
      </c>
      <c r="D71" s="64">
        <v>2</v>
      </c>
      <c r="H71" s="65">
        <v>2</v>
      </c>
    </row>
    <row r="72" spans="1:8" x14ac:dyDescent="0.25">
      <c r="A72" s="63">
        <v>614000</v>
      </c>
      <c r="B72" s="63">
        <v>202106</v>
      </c>
      <c r="C72" s="64">
        <v>65650.789999999994</v>
      </c>
      <c r="D72" s="64">
        <v>2</v>
      </c>
      <c r="H72" s="65">
        <v>2</v>
      </c>
    </row>
    <row r="73" spans="1:8" x14ac:dyDescent="0.25">
      <c r="A73" s="63">
        <v>614000</v>
      </c>
      <c r="B73" s="63">
        <v>202107</v>
      </c>
      <c r="C73" s="64">
        <v>58927.199999999997</v>
      </c>
      <c r="D73" s="64">
        <v>2</v>
      </c>
      <c r="H73" s="65">
        <v>2</v>
      </c>
    </row>
    <row r="74" spans="1:8" x14ac:dyDescent="0.25">
      <c r="A74" s="63">
        <v>614000</v>
      </c>
      <c r="B74" s="63">
        <v>202108</v>
      </c>
      <c r="C74" s="64">
        <v>52500</v>
      </c>
      <c r="D74" s="64">
        <v>2</v>
      </c>
      <c r="H74" s="65">
        <v>2</v>
      </c>
    </row>
    <row r="75" spans="1:8" x14ac:dyDescent="0.25">
      <c r="A75" s="63">
        <v>614000</v>
      </c>
      <c r="B75" s="63">
        <v>202109</v>
      </c>
      <c r="C75" s="64">
        <v>52500</v>
      </c>
      <c r="D75" s="64">
        <v>2</v>
      </c>
      <c r="H75" s="65">
        <v>2</v>
      </c>
    </row>
    <row r="76" spans="1:8" x14ac:dyDescent="0.25">
      <c r="A76" s="63">
        <v>614000</v>
      </c>
      <c r="B76" s="63">
        <v>202110</v>
      </c>
      <c r="C76" s="64">
        <v>52500</v>
      </c>
      <c r="D76" s="64">
        <v>2</v>
      </c>
      <c r="H76" s="65">
        <v>2</v>
      </c>
    </row>
    <row r="77" spans="1:8" x14ac:dyDescent="0.25">
      <c r="A77" s="63">
        <v>614000</v>
      </c>
      <c r="B77" s="63">
        <v>202111</v>
      </c>
      <c r="C77" s="64">
        <v>52500</v>
      </c>
      <c r="D77" s="64">
        <v>2</v>
      </c>
      <c r="H77" s="65">
        <v>2</v>
      </c>
    </row>
    <row r="78" spans="1:8" x14ac:dyDescent="0.25">
      <c r="A78" s="63">
        <v>614000</v>
      </c>
      <c r="B78" s="63">
        <v>202112</v>
      </c>
      <c r="C78" s="64">
        <v>52500</v>
      </c>
      <c r="D78" s="64">
        <v>2</v>
      </c>
      <c r="F78" s="93" cm="1">
        <f t="array" ref="F78">SUM(D67:D78/12)</f>
        <v>2</v>
      </c>
      <c r="H78" s="65">
        <v>2</v>
      </c>
    </row>
    <row r="79" spans="1:8" x14ac:dyDescent="0.25">
      <c r="A79" s="66" t="s">
        <v>765</v>
      </c>
      <c r="B79" s="63"/>
      <c r="C79" s="67">
        <f>SUM(C67:C78)</f>
        <v>642637.43999999994</v>
      </c>
      <c r="H79" s="65"/>
    </row>
    <row r="80" spans="1:8" x14ac:dyDescent="0.25">
      <c r="A80" s="63">
        <v>615000</v>
      </c>
      <c r="B80" s="63">
        <v>202101</v>
      </c>
      <c r="C80" s="64">
        <v>79633.59</v>
      </c>
      <c r="D80" s="64">
        <v>4.5999999999999996</v>
      </c>
      <c r="H80" s="65">
        <v>6</v>
      </c>
    </row>
    <row r="81" spans="1:8" x14ac:dyDescent="0.25">
      <c r="A81" s="63">
        <v>615000</v>
      </c>
      <c r="B81" s="63">
        <v>202102</v>
      </c>
      <c r="C81" s="64">
        <v>78332.23</v>
      </c>
      <c r="D81" s="64">
        <v>4.5999999999999996</v>
      </c>
      <c r="H81" s="65">
        <v>6</v>
      </c>
    </row>
    <row r="82" spans="1:8" x14ac:dyDescent="0.25">
      <c r="A82" s="63">
        <v>615000</v>
      </c>
      <c r="B82" s="63">
        <v>202103</v>
      </c>
      <c r="C82" s="64">
        <v>82088.850000000006</v>
      </c>
      <c r="D82" s="64">
        <v>4.5999999999999996</v>
      </c>
      <c r="H82" s="65">
        <v>6</v>
      </c>
    </row>
    <row r="83" spans="1:8" x14ac:dyDescent="0.25">
      <c r="A83" s="63">
        <v>615000</v>
      </c>
      <c r="B83" s="63">
        <v>202104</v>
      </c>
      <c r="C83" s="64">
        <v>87460.37</v>
      </c>
      <c r="D83" s="64">
        <v>4.5999999999999996</v>
      </c>
      <c r="H83" s="65">
        <v>6</v>
      </c>
    </row>
    <row r="84" spans="1:8" x14ac:dyDescent="0.25">
      <c r="A84" s="63">
        <v>615000</v>
      </c>
      <c r="B84" s="63">
        <v>202105</v>
      </c>
      <c r="C84" s="64">
        <v>85846.82</v>
      </c>
      <c r="D84" s="64">
        <v>4.5999999999999996</v>
      </c>
      <c r="H84" s="65">
        <v>6</v>
      </c>
    </row>
    <row r="85" spans="1:8" x14ac:dyDescent="0.25">
      <c r="A85" s="63">
        <v>615000</v>
      </c>
      <c r="B85" s="63">
        <v>202106</v>
      </c>
      <c r="C85" s="64">
        <v>118267.72</v>
      </c>
      <c r="D85" s="64">
        <v>4.5999999999999996</v>
      </c>
      <c r="H85" s="65">
        <v>6</v>
      </c>
    </row>
    <row r="86" spans="1:8" x14ac:dyDescent="0.25">
      <c r="A86" s="63">
        <v>615000</v>
      </c>
      <c r="B86" s="63">
        <v>202107</v>
      </c>
      <c r="C86" s="64">
        <v>85500</v>
      </c>
      <c r="D86" s="64">
        <v>4.5999999999999996</v>
      </c>
      <c r="H86" s="65">
        <v>5</v>
      </c>
    </row>
    <row r="87" spans="1:8" x14ac:dyDescent="0.25">
      <c r="A87" s="63">
        <v>615000</v>
      </c>
      <c r="B87" s="63">
        <v>202108</v>
      </c>
      <c r="C87" s="64">
        <v>85500</v>
      </c>
      <c r="D87" s="64">
        <v>4.5999999999999996</v>
      </c>
      <c r="H87" s="65">
        <v>5</v>
      </c>
    </row>
    <row r="88" spans="1:8" x14ac:dyDescent="0.25">
      <c r="A88" s="63">
        <v>615000</v>
      </c>
      <c r="B88" s="63">
        <v>202109</v>
      </c>
      <c r="C88" s="64">
        <f>85500+6000</f>
        <v>91500</v>
      </c>
      <c r="D88" s="64">
        <v>4.5999999999999996</v>
      </c>
      <c r="H88" s="65">
        <v>5</v>
      </c>
    </row>
    <row r="89" spans="1:8" x14ac:dyDescent="0.25">
      <c r="A89" s="63">
        <v>615000</v>
      </c>
      <c r="B89" s="63">
        <v>202110</v>
      </c>
      <c r="C89" s="64">
        <v>85500</v>
      </c>
      <c r="D89" s="64">
        <v>4.5999999999999996</v>
      </c>
      <c r="H89" s="65">
        <v>5</v>
      </c>
    </row>
    <row r="90" spans="1:8" x14ac:dyDescent="0.25">
      <c r="A90" s="63">
        <v>615000</v>
      </c>
      <c r="B90" s="63">
        <v>202111</v>
      </c>
      <c r="C90" s="64">
        <v>85500</v>
      </c>
      <c r="D90" s="64">
        <v>4.5999999999999996</v>
      </c>
      <c r="H90" s="65">
        <v>5</v>
      </c>
    </row>
    <row r="91" spans="1:8" x14ac:dyDescent="0.25">
      <c r="A91" s="63">
        <v>615000</v>
      </c>
      <c r="B91" s="63">
        <v>202112</v>
      </c>
      <c r="C91" s="64">
        <v>85500</v>
      </c>
      <c r="D91" s="64">
        <v>4.5999999999999996</v>
      </c>
      <c r="F91" s="93" cm="1">
        <f t="array" ref="F91">SUM(D80:D91/12)</f>
        <v>4.5999999999999996</v>
      </c>
      <c r="H91" s="65">
        <v>5</v>
      </c>
    </row>
    <row r="92" spans="1:8" x14ac:dyDescent="0.25">
      <c r="A92" s="66" t="s">
        <v>766</v>
      </c>
      <c r="B92" s="63"/>
      <c r="C92" s="67">
        <f>SUM(C80:C91)</f>
        <v>1050629.58</v>
      </c>
      <c r="H92" s="65"/>
    </row>
    <row r="93" spans="1:8" x14ac:dyDescent="0.25">
      <c r="A93" s="63">
        <v>617000</v>
      </c>
      <c r="B93" s="63">
        <v>202101</v>
      </c>
      <c r="C93" s="64">
        <v>95906.11</v>
      </c>
      <c r="D93" s="64">
        <v>3</v>
      </c>
      <c r="H93" s="65">
        <v>3</v>
      </c>
    </row>
    <row r="94" spans="1:8" x14ac:dyDescent="0.25">
      <c r="A94" s="63">
        <v>617000</v>
      </c>
      <c r="B94" s="63">
        <v>202102</v>
      </c>
      <c r="C94" s="64">
        <v>95935.3</v>
      </c>
      <c r="D94" s="64">
        <v>3</v>
      </c>
      <c r="H94" s="65">
        <v>3</v>
      </c>
    </row>
    <row r="95" spans="1:8" x14ac:dyDescent="0.25">
      <c r="A95" s="63">
        <v>617000</v>
      </c>
      <c r="B95" s="63">
        <v>202103</v>
      </c>
      <c r="C95" s="64">
        <v>95120.82</v>
      </c>
      <c r="D95" s="64">
        <v>3</v>
      </c>
      <c r="H95" s="65">
        <v>3</v>
      </c>
    </row>
    <row r="96" spans="1:8" x14ac:dyDescent="0.25">
      <c r="A96" s="63">
        <v>617000</v>
      </c>
      <c r="B96" s="63">
        <v>202104</v>
      </c>
      <c r="C96" s="64">
        <v>102613.99</v>
      </c>
      <c r="D96" s="64">
        <v>2.6659999999999999</v>
      </c>
      <c r="H96" s="65">
        <v>3</v>
      </c>
    </row>
    <row r="97" spans="1:8" x14ac:dyDescent="0.25">
      <c r="A97" s="63">
        <v>617000</v>
      </c>
      <c r="B97" s="63">
        <v>202105</v>
      </c>
      <c r="C97" s="64">
        <v>97259.1</v>
      </c>
      <c r="D97" s="64">
        <v>3</v>
      </c>
      <c r="H97" s="65">
        <v>3</v>
      </c>
    </row>
    <row r="98" spans="1:8" x14ac:dyDescent="0.25">
      <c r="A98" s="63">
        <v>617000</v>
      </c>
      <c r="B98" s="63">
        <v>202106</v>
      </c>
      <c r="C98" s="64">
        <v>118628.06</v>
      </c>
      <c r="D98" s="64">
        <v>3</v>
      </c>
      <c r="H98" s="65">
        <v>3</v>
      </c>
    </row>
    <row r="99" spans="1:8" x14ac:dyDescent="0.25">
      <c r="A99" s="63">
        <v>617000</v>
      </c>
      <c r="B99" s="63">
        <v>202107</v>
      </c>
      <c r="C99" s="64">
        <v>105344.56</v>
      </c>
      <c r="D99" s="64">
        <v>3</v>
      </c>
      <c r="H99" s="65">
        <v>3</v>
      </c>
    </row>
    <row r="100" spans="1:8" x14ac:dyDescent="0.25">
      <c r="A100" s="63">
        <v>617000</v>
      </c>
      <c r="B100" s="63">
        <v>202108</v>
      </c>
      <c r="C100" s="64">
        <v>97300</v>
      </c>
      <c r="D100" s="64">
        <v>3</v>
      </c>
      <c r="H100" s="65">
        <v>3</v>
      </c>
    </row>
    <row r="101" spans="1:8" x14ac:dyDescent="0.25">
      <c r="A101" s="63">
        <v>617000</v>
      </c>
      <c r="B101" s="63">
        <v>202109</v>
      </c>
      <c r="C101" s="64">
        <v>97300</v>
      </c>
      <c r="D101" s="64">
        <v>3</v>
      </c>
      <c r="H101" s="65">
        <v>3</v>
      </c>
    </row>
    <row r="102" spans="1:8" x14ac:dyDescent="0.25">
      <c r="A102" s="63">
        <v>617000</v>
      </c>
      <c r="B102" s="63">
        <v>202110</v>
      </c>
      <c r="C102" s="64">
        <v>97300</v>
      </c>
      <c r="D102" s="64">
        <v>3</v>
      </c>
      <c r="H102" s="65">
        <v>3</v>
      </c>
    </row>
    <row r="103" spans="1:8" x14ac:dyDescent="0.25">
      <c r="A103" s="63">
        <v>617000</v>
      </c>
      <c r="B103" s="63">
        <v>202111</v>
      </c>
      <c r="C103" s="64">
        <v>97300</v>
      </c>
      <c r="D103" s="64">
        <v>3</v>
      </c>
      <c r="H103" s="65">
        <v>3</v>
      </c>
    </row>
    <row r="104" spans="1:8" x14ac:dyDescent="0.25">
      <c r="A104" s="63">
        <v>617000</v>
      </c>
      <c r="B104" s="63">
        <v>202112</v>
      </c>
      <c r="C104" s="64">
        <v>97300</v>
      </c>
      <c r="D104" s="64">
        <v>3</v>
      </c>
      <c r="F104" s="93" cm="1">
        <f t="array" ref="F104">SUM(D93:D104/12)</f>
        <v>2.9721666666666664</v>
      </c>
      <c r="H104" s="65">
        <v>3</v>
      </c>
    </row>
    <row r="105" spans="1:8" x14ac:dyDescent="0.25">
      <c r="A105" s="63"/>
      <c r="B105" s="63"/>
      <c r="C105" s="67">
        <f>SUM(C93:C104)</f>
        <v>1197307.94</v>
      </c>
      <c r="H105" s="65"/>
    </row>
    <row r="106" spans="1:8" x14ac:dyDescent="0.25">
      <c r="A106" s="66" t="s">
        <v>767</v>
      </c>
      <c r="B106" s="63"/>
      <c r="C106" s="64">
        <f>SUBTOTAL(9,C93:C100)</f>
        <v>808107.94</v>
      </c>
      <c r="H106" s="65"/>
    </row>
    <row r="107" spans="1:8" x14ac:dyDescent="0.25">
      <c r="A107" s="63">
        <v>621100</v>
      </c>
      <c r="B107" s="63">
        <v>202101</v>
      </c>
      <c r="C107" s="64">
        <v>143609.39000000001</v>
      </c>
      <c r="D107" s="64">
        <v>6.81</v>
      </c>
      <c r="H107" s="65">
        <v>7</v>
      </c>
    </row>
    <row r="108" spans="1:8" x14ac:dyDescent="0.25">
      <c r="A108" s="63">
        <v>621100</v>
      </c>
      <c r="B108" s="63">
        <v>202102</v>
      </c>
      <c r="C108" s="64">
        <v>173561.81</v>
      </c>
      <c r="D108" s="64">
        <v>7.81</v>
      </c>
      <c r="H108" s="65">
        <v>8</v>
      </c>
    </row>
    <row r="109" spans="1:8" x14ac:dyDescent="0.25">
      <c r="A109" s="63">
        <v>621100</v>
      </c>
      <c r="B109" s="63">
        <v>202103</v>
      </c>
      <c r="C109" s="64">
        <v>160710.29999999999</v>
      </c>
      <c r="D109" s="64">
        <v>7.81</v>
      </c>
      <c r="H109" s="65">
        <v>8</v>
      </c>
    </row>
    <row r="110" spans="1:8" x14ac:dyDescent="0.25">
      <c r="A110" s="63">
        <v>621100</v>
      </c>
      <c r="B110" s="63">
        <v>202104</v>
      </c>
      <c r="C110" s="64">
        <v>157547.09</v>
      </c>
      <c r="D110" s="64">
        <v>7.81</v>
      </c>
      <c r="H110" s="65">
        <v>8</v>
      </c>
    </row>
    <row r="111" spans="1:8" x14ac:dyDescent="0.25">
      <c r="A111" s="63">
        <v>621100</v>
      </c>
      <c r="B111" s="63">
        <v>202105</v>
      </c>
      <c r="C111" s="64">
        <v>164781.99</v>
      </c>
      <c r="D111" s="64">
        <v>7.81</v>
      </c>
      <c r="H111" s="65">
        <v>8</v>
      </c>
    </row>
    <row r="112" spans="1:8" x14ac:dyDescent="0.25">
      <c r="A112" s="63">
        <v>621100</v>
      </c>
      <c r="B112" s="63">
        <v>202106</v>
      </c>
      <c r="C112" s="64">
        <v>208699.39</v>
      </c>
      <c r="D112" s="64">
        <v>7.81</v>
      </c>
      <c r="H112" s="65">
        <v>8</v>
      </c>
    </row>
    <row r="113" spans="1:8" x14ac:dyDescent="0.25">
      <c r="A113" s="63">
        <v>621100</v>
      </c>
      <c r="B113" s="63">
        <v>202107</v>
      </c>
      <c r="C113" s="64">
        <v>193878.36</v>
      </c>
      <c r="D113" s="64">
        <v>7.81</v>
      </c>
      <c r="H113" s="65">
        <v>8</v>
      </c>
    </row>
    <row r="114" spans="1:8" x14ac:dyDescent="0.25">
      <c r="A114" s="63">
        <v>621100</v>
      </c>
      <c r="B114" s="63">
        <v>202108</v>
      </c>
      <c r="C114" s="64">
        <v>164000</v>
      </c>
      <c r="D114" s="64">
        <v>7.81</v>
      </c>
      <c r="H114" s="65">
        <v>8</v>
      </c>
    </row>
    <row r="115" spans="1:8" x14ac:dyDescent="0.25">
      <c r="A115" s="63">
        <v>621100</v>
      </c>
      <c r="B115" s="63">
        <v>202109</v>
      </c>
      <c r="C115" s="64">
        <f>164000+12000</f>
        <v>176000</v>
      </c>
      <c r="D115" s="64">
        <v>7.81</v>
      </c>
      <c r="H115" s="65">
        <v>8</v>
      </c>
    </row>
    <row r="116" spans="1:8" x14ac:dyDescent="0.25">
      <c r="A116" s="63">
        <v>621100</v>
      </c>
      <c r="B116" s="63">
        <v>202110</v>
      </c>
      <c r="C116" s="64">
        <v>164000</v>
      </c>
      <c r="D116" s="64">
        <v>7.81</v>
      </c>
      <c r="H116" s="65">
        <v>8</v>
      </c>
    </row>
    <row r="117" spans="1:8" x14ac:dyDescent="0.25">
      <c r="A117" s="63">
        <v>621100</v>
      </c>
      <c r="B117" s="63">
        <v>202111</v>
      </c>
      <c r="C117" s="64">
        <v>164000</v>
      </c>
      <c r="D117" s="64">
        <v>7.81</v>
      </c>
      <c r="H117" s="65">
        <v>8</v>
      </c>
    </row>
    <row r="118" spans="1:8" x14ac:dyDescent="0.25">
      <c r="A118" s="63">
        <v>621100</v>
      </c>
      <c r="B118" s="63">
        <v>202112</v>
      </c>
      <c r="C118" s="64">
        <v>164000</v>
      </c>
      <c r="D118" s="64">
        <v>7.81</v>
      </c>
      <c r="F118" s="93" cm="1">
        <f t="array" ref="F118">SUM(D107:D118/12)</f>
        <v>7.7266666666666648</v>
      </c>
      <c r="H118" s="65">
        <v>8</v>
      </c>
    </row>
    <row r="119" spans="1:8" x14ac:dyDescent="0.25">
      <c r="A119" s="66" t="s">
        <v>768</v>
      </c>
      <c r="B119" s="63"/>
      <c r="C119" s="67">
        <f>SUM(C107:C118)</f>
        <v>2034788.33</v>
      </c>
      <c r="H119" s="65"/>
    </row>
    <row r="120" spans="1:8" x14ac:dyDescent="0.25">
      <c r="A120" s="63">
        <v>621300</v>
      </c>
      <c r="B120" s="63">
        <v>202101</v>
      </c>
      <c r="C120" s="64">
        <v>88167.72</v>
      </c>
      <c r="D120" s="64">
        <v>8</v>
      </c>
      <c r="H120" s="65">
        <v>8</v>
      </c>
    </row>
    <row r="121" spans="1:8" x14ac:dyDescent="0.25">
      <c r="A121" s="63">
        <v>621300</v>
      </c>
      <c r="B121" s="63">
        <v>202102</v>
      </c>
      <c r="C121" s="64">
        <v>94389.92</v>
      </c>
      <c r="D121" s="64">
        <v>8.3390000000000004</v>
      </c>
      <c r="H121" s="65">
        <v>9</v>
      </c>
    </row>
    <row r="122" spans="1:8" x14ac:dyDescent="0.25">
      <c r="A122" s="63">
        <v>621300</v>
      </c>
      <c r="B122" s="63">
        <v>202103</v>
      </c>
      <c r="C122" s="64">
        <v>88117.78</v>
      </c>
      <c r="D122" s="64">
        <v>7.5</v>
      </c>
      <c r="H122" s="65">
        <v>8</v>
      </c>
    </row>
    <row r="123" spans="1:8" x14ac:dyDescent="0.25">
      <c r="A123" s="63">
        <v>621300</v>
      </c>
      <c r="B123" s="63">
        <v>202104</v>
      </c>
      <c r="C123" s="64">
        <v>141320.97</v>
      </c>
      <c r="D123" s="64">
        <v>8.1660000000000004</v>
      </c>
      <c r="H123" s="65">
        <v>10</v>
      </c>
    </row>
    <row r="124" spans="1:8" x14ac:dyDescent="0.25">
      <c r="A124" s="63">
        <v>621300</v>
      </c>
      <c r="B124" s="63">
        <v>202105</v>
      </c>
      <c r="C124" s="64">
        <v>104641.61</v>
      </c>
      <c r="D124" s="64">
        <v>8.4670000000000005</v>
      </c>
      <c r="H124" s="65">
        <v>9</v>
      </c>
    </row>
    <row r="125" spans="1:8" x14ac:dyDescent="0.25">
      <c r="A125" s="63">
        <v>621300</v>
      </c>
      <c r="B125" s="63">
        <v>202106</v>
      </c>
      <c r="C125" s="64">
        <v>119552.66</v>
      </c>
      <c r="D125" s="64">
        <v>7</v>
      </c>
      <c r="H125" s="65">
        <v>7</v>
      </c>
    </row>
    <row r="126" spans="1:8" x14ac:dyDescent="0.25">
      <c r="A126" s="63">
        <v>621300</v>
      </c>
      <c r="B126" s="63">
        <v>202107</v>
      </c>
      <c r="C126" s="64">
        <v>85314.8</v>
      </c>
      <c r="D126" s="64">
        <v>6</v>
      </c>
      <c r="H126" s="65">
        <v>7</v>
      </c>
    </row>
    <row r="127" spans="1:8" x14ac:dyDescent="0.25">
      <c r="A127" s="63">
        <v>621300</v>
      </c>
      <c r="B127" s="63">
        <v>202108</v>
      </c>
      <c r="C127" s="64">
        <v>76200</v>
      </c>
      <c r="D127" s="64">
        <v>5</v>
      </c>
      <c r="E127" s="62" t="s">
        <v>769</v>
      </c>
      <c r="H127" s="65">
        <v>5</v>
      </c>
    </row>
    <row r="128" spans="1:8" x14ac:dyDescent="0.25">
      <c r="A128" s="63">
        <v>621300</v>
      </c>
      <c r="B128" s="63">
        <v>202109</v>
      </c>
      <c r="C128" s="64">
        <v>76200</v>
      </c>
      <c r="D128" s="64">
        <v>5</v>
      </c>
      <c r="H128" s="65">
        <v>5</v>
      </c>
    </row>
    <row r="129" spans="1:8" x14ac:dyDescent="0.25">
      <c r="A129" s="63">
        <v>621300</v>
      </c>
      <c r="B129" s="63">
        <v>202109</v>
      </c>
      <c r="C129" s="64">
        <v>76200</v>
      </c>
      <c r="D129" s="64">
        <v>5</v>
      </c>
      <c r="H129" s="65">
        <v>5</v>
      </c>
    </row>
    <row r="130" spans="1:8" x14ac:dyDescent="0.25">
      <c r="A130" s="63">
        <v>621300</v>
      </c>
      <c r="B130" s="63">
        <v>202110</v>
      </c>
      <c r="C130" s="64">
        <v>76200</v>
      </c>
      <c r="D130" s="64">
        <v>5</v>
      </c>
      <c r="H130" s="65">
        <v>5</v>
      </c>
    </row>
    <row r="131" spans="1:8" x14ac:dyDescent="0.25">
      <c r="A131" s="63">
        <v>621300</v>
      </c>
      <c r="B131" s="63">
        <v>202111</v>
      </c>
      <c r="C131" s="64">
        <v>76200</v>
      </c>
      <c r="D131" s="64">
        <v>5</v>
      </c>
      <c r="H131" s="65">
        <v>5</v>
      </c>
    </row>
    <row r="132" spans="1:8" x14ac:dyDescent="0.25">
      <c r="A132" s="63">
        <v>621300</v>
      </c>
      <c r="B132" s="63">
        <v>202112</v>
      </c>
      <c r="C132" s="64">
        <v>76200</v>
      </c>
      <c r="D132" s="64">
        <v>5</v>
      </c>
      <c r="F132" s="93">
        <f>SUM(D120:D132)/12</f>
        <v>6.9559999999999995</v>
      </c>
      <c r="H132" s="65">
        <v>5</v>
      </c>
    </row>
    <row r="133" spans="1:8" x14ac:dyDescent="0.25">
      <c r="A133" s="66" t="s">
        <v>770</v>
      </c>
      <c r="B133" s="63"/>
      <c r="C133" s="67">
        <f>SUM(C120:C132)</f>
        <v>1178705.46</v>
      </c>
      <c r="H133" s="65"/>
    </row>
    <row r="134" spans="1:8" x14ac:dyDescent="0.25">
      <c r="A134" s="63">
        <v>621500</v>
      </c>
      <c r="B134" s="63">
        <v>202101</v>
      </c>
      <c r="C134" s="64">
        <v>44642.14</v>
      </c>
      <c r="D134" s="64">
        <v>2</v>
      </c>
      <c r="H134" s="65">
        <v>2</v>
      </c>
    </row>
    <row r="135" spans="1:8" x14ac:dyDescent="0.25">
      <c r="A135" s="63">
        <v>621500</v>
      </c>
      <c r="B135" s="63">
        <v>202102</v>
      </c>
      <c r="C135" s="64">
        <v>48632.83</v>
      </c>
      <c r="D135" s="64">
        <v>2</v>
      </c>
      <c r="H135" s="65">
        <v>2</v>
      </c>
    </row>
    <row r="136" spans="1:8" x14ac:dyDescent="0.25">
      <c r="A136" s="63">
        <v>621500</v>
      </c>
      <c r="B136" s="63">
        <v>202103</v>
      </c>
      <c r="C136" s="64">
        <v>44724.23</v>
      </c>
      <c r="D136" s="64">
        <v>2</v>
      </c>
      <c r="H136" s="65">
        <v>2</v>
      </c>
    </row>
    <row r="137" spans="1:8" x14ac:dyDescent="0.25">
      <c r="A137" s="63">
        <v>621500</v>
      </c>
      <c r="B137" s="63">
        <v>202104</v>
      </c>
      <c r="C137" s="64">
        <v>45120.28</v>
      </c>
      <c r="D137" s="64">
        <v>2</v>
      </c>
      <c r="H137" s="65">
        <v>2</v>
      </c>
    </row>
    <row r="138" spans="1:8" x14ac:dyDescent="0.25">
      <c r="A138" s="63">
        <v>621500</v>
      </c>
      <c r="B138" s="63">
        <v>202105</v>
      </c>
      <c r="C138" s="64">
        <v>54009.17</v>
      </c>
      <c r="D138" s="64">
        <v>2</v>
      </c>
      <c r="H138" s="65">
        <v>2</v>
      </c>
    </row>
    <row r="139" spans="1:8" x14ac:dyDescent="0.25">
      <c r="A139" s="63">
        <v>621500</v>
      </c>
      <c r="B139" s="63">
        <v>202106</v>
      </c>
      <c r="C139" s="64">
        <v>80620.77</v>
      </c>
      <c r="D139" s="64">
        <v>3</v>
      </c>
      <c r="H139" s="65">
        <v>3</v>
      </c>
    </row>
    <row r="140" spans="1:8" x14ac:dyDescent="0.25">
      <c r="A140" s="63">
        <v>621500</v>
      </c>
      <c r="B140" s="63">
        <v>202107</v>
      </c>
      <c r="C140" s="64">
        <v>68036.88</v>
      </c>
      <c r="D140" s="64">
        <v>3</v>
      </c>
      <c r="H140" s="65">
        <v>3</v>
      </c>
    </row>
    <row r="141" spans="1:8" x14ac:dyDescent="0.25">
      <c r="A141" s="63">
        <v>621500</v>
      </c>
      <c r="B141" s="63">
        <v>202108</v>
      </c>
      <c r="C141" s="64">
        <v>65000</v>
      </c>
      <c r="D141" s="64">
        <v>3</v>
      </c>
      <c r="H141" s="65">
        <v>3</v>
      </c>
    </row>
    <row r="142" spans="1:8" x14ac:dyDescent="0.25">
      <c r="A142" s="63">
        <v>621500</v>
      </c>
      <c r="B142" s="63">
        <v>202109</v>
      </c>
      <c r="C142" s="64">
        <v>65000</v>
      </c>
      <c r="D142" s="64">
        <v>3</v>
      </c>
      <c r="H142" s="65">
        <v>3</v>
      </c>
    </row>
    <row r="143" spans="1:8" x14ac:dyDescent="0.25">
      <c r="A143" s="63">
        <v>621500</v>
      </c>
      <c r="B143" s="63">
        <v>202110</v>
      </c>
      <c r="C143" s="64">
        <v>65000</v>
      </c>
      <c r="D143" s="64">
        <v>3</v>
      </c>
      <c r="H143" s="65">
        <v>3</v>
      </c>
    </row>
    <row r="144" spans="1:8" x14ac:dyDescent="0.25">
      <c r="A144" s="63">
        <v>621500</v>
      </c>
      <c r="B144" s="63">
        <v>202111</v>
      </c>
      <c r="C144" s="64">
        <v>65000</v>
      </c>
      <c r="D144" s="64">
        <v>3</v>
      </c>
      <c r="H144" s="65">
        <v>3</v>
      </c>
    </row>
    <row r="145" spans="1:8" x14ac:dyDescent="0.25">
      <c r="A145" s="63">
        <v>621500</v>
      </c>
      <c r="B145" s="63">
        <v>202112</v>
      </c>
      <c r="C145" s="64">
        <v>65000</v>
      </c>
      <c r="D145" s="64">
        <v>3</v>
      </c>
      <c r="F145" s="93" cm="1">
        <f t="array" ref="F145">SUM(D134:D145/12)</f>
        <v>2.583333333333333</v>
      </c>
      <c r="H145" s="65">
        <v>3</v>
      </c>
    </row>
    <row r="146" spans="1:8" x14ac:dyDescent="0.25">
      <c r="A146" s="66" t="s">
        <v>771</v>
      </c>
      <c r="B146" s="63"/>
      <c r="C146" s="67">
        <f>SUM(C134:C145)</f>
        <v>710786.3</v>
      </c>
      <c r="H146" s="65"/>
    </row>
    <row r="147" spans="1:8" x14ac:dyDescent="0.25">
      <c r="A147" s="63">
        <v>623100</v>
      </c>
      <c r="B147" s="63">
        <v>202101</v>
      </c>
      <c r="C147" s="64">
        <v>145213.03</v>
      </c>
      <c r="D147" s="64">
        <v>11</v>
      </c>
      <c r="H147" s="65">
        <v>11</v>
      </c>
    </row>
    <row r="148" spans="1:8" x14ac:dyDescent="0.25">
      <c r="A148" s="63">
        <v>623100</v>
      </c>
      <c r="B148" s="63">
        <v>202102</v>
      </c>
      <c r="C148" s="64">
        <v>142203.78</v>
      </c>
      <c r="D148" s="64">
        <v>11</v>
      </c>
      <c r="H148" s="65">
        <v>11</v>
      </c>
    </row>
    <row r="149" spans="1:8" x14ac:dyDescent="0.25">
      <c r="A149" s="63">
        <v>623100</v>
      </c>
      <c r="B149" s="63">
        <v>202103</v>
      </c>
      <c r="C149" s="64">
        <v>148980.45000000001</v>
      </c>
      <c r="D149" s="64">
        <v>11</v>
      </c>
      <c r="H149" s="65">
        <v>11</v>
      </c>
    </row>
    <row r="150" spans="1:8" x14ac:dyDescent="0.25">
      <c r="A150" s="63">
        <v>623100</v>
      </c>
      <c r="B150" s="63">
        <v>202104</v>
      </c>
      <c r="C150" s="64">
        <v>139664.19</v>
      </c>
      <c r="D150" s="64">
        <v>11</v>
      </c>
      <c r="H150" s="65">
        <v>11</v>
      </c>
    </row>
    <row r="151" spans="1:8" x14ac:dyDescent="0.25">
      <c r="A151" s="63">
        <v>623100</v>
      </c>
      <c r="B151" s="63">
        <v>202105</v>
      </c>
      <c r="C151" s="64">
        <v>150325.01999999999</v>
      </c>
      <c r="D151" s="64">
        <v>11</v>
      </c>
      <c r="H151" s="65">
        <v>11</v>
      </c>
    </row>
    <row r="152" spans="1:8" x14ac:dyDescent="0.25">
      <c r="A152" s="63">
        <v>623100</v>
      </c>
      <c r="B152" s="63">
        <v>202106</v>
      </c>
      <c r="C152" s="64">
        <v>210468.22</v>
      </c>
      <c r="D152" s="64">
        <v>11</v>
      </c>
      <c r="H152" s="65">
        <v>11</v>
      </c>
    </row>
    <row r="153" spans="1:8" x14ac:dyDescent="0.25">
      <c r="A153" s="63">
        <v>623100</v>
      </c>
      <c r="B153" s="63">
        <v>202107</v>
      </c>
      <c r="C153" s="64">
        <v>175308.87</v>
      </c>
      <c r="D153" s="64">
        <v>11</v>
      </c>
      <c r="H153" s="65">
        <v>11</v>
      </c>
    </row>
    <row r="154" spans="1:8" x14ac:dyDescent="0.25">
      <c r="A154" s="63">
        <v>623100</v>
      </c>
      <c r="B154" s="63">
        <v>202108</v>
      </c>
      <c r="C154" s="64">
        <v>149000</v>
      </c>
      <c r="D154" s="64">
        <v>11</v>
      </c>
      <c r="H154" s="65">
        <v>11</v>
      </c>
    </row>
    <row r="155" spans="1:8" x14ac:dyDescent="0.25">
      <c r="A155" s="63">
        <v>623100</v>
      </c>
      <c r="B155" s="63">
        <v>202109</v>
      </c>
      <c r="C155" s="64">
        <f>149000+13500</f>
        <v>162500</v>
      </c>
      <c r="D155" s="64">
        <v>11</v>
      </c>
      <c r="H155" s="65">
        <v>11</v>
      </c>
    </row>
    <row r="156" spans="1:8" x14ac:dyDescent="0.25">
      <c r="A156" s="63">
        <v>623100</v>
      </c>
      <c r="B156" s="63">
        <v>202110</v>
      </c>
      <c r="C156" s="64">
        <v>149000</v>
      </c>
      <c r="D156" s="64">
        <v>11</v>
      </c>
      <c r="H156" s="65">
        <v>11</v>
      </c>
    </row>
    <row r="157" spans="1:8" x14ac:dyDescent="0.25">
      <c r="A157" s="63">
        <v>623100</v>
      </c>
      <c r="B157" s="63">
        <v>202111</v>
      </c>
      <c r="C157" s="64">
        <v>149000</v>
      </c>
      <c r="D157" s="64">
        <v>11</v>
      </c>
      <c r="H157" s="65">
        <v>11</v>
      </c>
    </row>
    <row r="158" spans="1:8" x14ac:dyDescent="0.25">
      <c r="A158" s="63">
        <v>623100</v>
      </c>
      <c r="B158" s="63">
        <v>202112</v>
      </c>
      <c r="C158" s="64">
        <v>149000</v>
      </c>
      <c r="D158" s="64">
        <v>11</v>
      </c>
      <c r="F158" s="93" cm="1">
        <f t="array" ref="F158">SUM(D147:D158/12)</f>
        <v>10.999999999999998</v>
      </c>
      <c r="H158" s="65">
        <v>11</v>
      </c>
    </row>
    <row r="159" spans="1:8" x14ac:dyDescent="0.25">
      <c r="A159" s="66" t="s">
        <v>772</v>
      </c>
      <c r="B159" s="63"/>
      <c r="C159" s="67">
        <f>SUM(C147:C158)</f>
        <v>1870663.56</v>
      </c>
      <c r="H159" s="65"/>
    </row>
    <row r="160" spans="1:8" x14ac:dyDescent="0.25">
      <c r="A160" s="63">
        <v>623200</v>
      </c>
      <c r="B160" s="63">
        <v>202101</v>
      </c>
      <c r="C160" s="64">
        <v>91838.11</v>
      </c>
      <c r="D160" s="64">
        <v>7</v>
      </c>
      <c r="H160" s="65">
        <v>7</v>
      </c>
    </row>
    <row r="161" spans="1:8" x14ac:dyDescent="0.25">
      <c r="A161" s="63">
        <v>623200</v>
      </c>
      <c r="B161" s="63">
        <v>202102</v>
      </c>
      <c r="C161" s="64">
        <v>88986.8</v>
      </c>
      <c r="D161" s="64">
        <v>7</v>
      </c>
      <c r="H161" s="65">
        <v>7</v>
      </c>
    </row>
    <row r="162" spans="1:8" x14ac:dyDescent="0.25">
      <c r="A162" s="63">
        <v>623200</v>
      </c>
      <c r="B162" s="63">
        <v>202103</v>
      </c>
      <c r="C162" s="64">
        <v>93576.52</v>
      </c>
      <c r="D162" s="64">
        <v>7</v>
      </c>
      <c r="H162" s="65">
        <v>7</v>
      </c>
    </row>
    <row r="163" spans="1:8" x14ac:dyDescent="0.25">
      <c r="A163" s="63">
        <v>623200</v>
      </c>
      <c r="B163" s="63">
        <v>202104</v>
      </c>
      <c r="C163" s="64">
        <v>95153.05</v>
      </c>
      <c r="D163" s="64">
        <v>7</v>
      </c>
      <c r="H163" s="65">
        <v>7</v>
      </c>
    </row>
    <row r="164" spans="1:8" x14ac:dyDescent="0.25">
      <c r="A164" s="63">
        <v>623200</v>
      </c>
      <c r="B164" s="63">
        <v>202105</v>
      </c>
      <c r="C164" s="64">
        <v>99879.59</v>
      </c>
      <c r="D164" s="64">
        <v>7</v>
      </c>
      <c r="H164" s="65">
        <v>7</v>
      </c>
    </row>
    <row r="165" spans="1:8" x14ac:dyDescent="0.25">
      <c r="A165" s="63">
        <v>623200</v>
      </c>
      <c r="B165" s="63">
        <v>202106</v>
      </c>
      <c r="C165" s="64">
        <v>128588.28</v>
      </c>
      <c r="D165" s="64">
        <v>6</v>
      </c>
      <c r="H165" s="65">
        <v>7</v>
      </c>
    </row>
    <row r="166" spans="1:8" x14ac:dyDescent="0.25">
      <c r="A166" s="63">
        <v>623200</v>
      </c>
      <c r="B166" s="63">
        <v>202107</v>
      </c>
      <c r="C166" s="64">
        <v>122885.98</v>
      </c>
      <c r="D166" s="64">
        <v>7</v>
      </c>
      <c r="H166" s="65">
        <v>8</v>
      </c>
    </row>
    <row r="167" spans="1:8" x14ac:dyDescent="0.25">
      <c r="A167" s="63">
        <v>623200</v>
      </c>
      <c r="B167" s="63">
        <v>202108</v>
      </c>
      <c r="C167" s="64">
        <v>96100</v>
      </c>
      <c r="D167" s="64">
        <v>7</v>
      </c>
      <c r="H167" s="65">
        <v>7</v>
      </c>
    </row>
    <row r="168" spans="1:8" x14ac:dyDescent="0.25">
      <c r="A168" s="63">
        <v>623200</v>
      </c>
      <c r="B168" s="63">
        <v>202109</v>
      </c>
      <c r="C168" s="64">
        <f>105000+7000</f>
        <v>112000</v>
      </c>
      <c r="D168" s="64">
        <v>7</v>
      </c>
      <c r="H168" s="65">
        <v>7</v>
      </c>
    </row>
    <row r="169" spans="1:8" x14ac:dyDescent="0.25">
      <c r="A169" s="63">
        <v>623200</v>
      </c>
      <c r="B169" s="63">
        <v>202110</v>
      </c>
      <c r="C169" s="64">
        <v>96100</v>
      </c>
      <c r="D169" s="64">
        <v>7</v>
      </c>
      <c r="H169" s="65">
        <v>7</v>
      </c>
    </row>
    <row r="170" spans="1:8" x14ac:dyDescent="0.25">
      <c r="A170" s="63">
        <v>623200</v>
      </c>
      <c r="B170" s="63">
        <v>202111</v>
      </c>
      <c r="C170" s="64">
        <v>96100</v>
      </c>
      <c r="D170" s="64">
        <v>7</v>
      </c>
      <c r="H170" s="65">
        <v>7</v>
      </c>
    </row>
    <row r="171" spans="1:8" x14ac:dyDescent="0.25">
      <c r="A171" s="63">
        <v>623200</v>
      </c>
      <c r="B171" s="63">
        <v>202112</v>
      </c>
      <c r="C171" s="64">
        <v>96100</v>
      </c>
      <c r="D171" s="64">
        <v>7</v>
      </c>
      <c r="F171" s="93" cm="1">
        <f t="array" ref="F171">SUM(D160:D171/12)</f>
        <v>6.9166666666666652</v>
      </c>
      <c r="H171" s="65">
        <v>7</v>
      </c>
    </row>
    <row r="172" spans="1:8" x14ac:dyDescent="0.25">
      <c r="A172" s="66" t="s">
        <v>773</v>
      </c>
      <c r="B172" s="63"/>
      <c r="C172" s="67">
        <f>SUM(C160:C171)</f>
        <v>1217308.33</v>
      </c>
      <c r="H172" s="65"/>
    </row>
    <row r="173" spans="1:8" x14ac:dyDescent="0.25">
      <c r="A173" s="69">
        <v>711000</v>
      </c>
      <c r="B173" s="63">
        <v>202101</v>
      </c>
      <c r="C173" s="64">
        <v>115047.89</v>
      </c>
      <c r="D173" s="64">
        <v>6.9770000000000003</v>
      </c>
      <c r="H173" s="65">
        <v>10</v>
      </c>
    </row>
    <row r="174" spans="1:8" x14ac:dyDescent="0.25">
      <c r="A174" s="63">
        <v>711000</v>
      </c>
      <c r="B174" s="63">
        <v>202102</v>
      </c>
      <c r="C174" s="64">
        <v>111466.48</v>
      </c>
      <c r="D174" s="64">
        <v>6.3</v>
      </c>
      <c r="H174" s="65">
        <v>8</v>
      </c>
    </row>
    <row r="175" spans="1:8" x14ac:dyDescent="0.25">
      <c r="A175" s="63">
        <v>711000</v>
      </c>
      <c r="B175" s="63">
        <v>202103</v>
      </c>
      <c r="C175" s="64">
        <v>87458.17</v>
      </c>
      <c r="D175" s="64">
        <v>5.3</v>
      </c>
      <c r="H175" s="65">
        <v>6</v>
      </c>
    </row>
    <row r="176" spans="1:8" x14ac:dyDescent="0.25">
      <c r="A176" s="63">
        <v>711000</v>
      </c>
      <c r="B176" s="63">
        <v>202104</v>
      </c>
      <c r="C176" s="64">
        <v>89397.97</v>
      </c>
      <c r="D176" s="64">
        <v>5.3</v>
      </c>
      <c r="H176" s="65">
        <v>6</v>
      </c>
    </row>
    <row r="177" spans="1:8" x14ac:dyDescent="0.25">
      <c r="A177" s="63">
        <v>711000</v>
      </c>
      <c r="B177" s="63">
        <v>202105</v>
      </c>
      <c r="C177" s="64">
        <v>112388.47</v>
      </c>
      <c r="D177" s="64">
        <v>7.1</v>
      </c>
      <c r="H177" s="65">
        <v>8</v>
      </c>
    </row>
    <row r="178" spans="1:8" x14ac:dyDescent="0.25">
      <c r="A178" s="63">
        <v>711000</v>
      </c>
      <c r="B178" s="63">
        <v>202106</v>
      </c>
      <c r="C178" s="64">
        <v>186498.88</v>
      </c>
      <c r="D178" s="64">
        <v>9.1</v>
      </c>
      <c r="H178" s="65">
        <v>10</v>
      </c>
    </row>
    <row r="179" spans="1:8" x14ac:dyDescent="0.25">
      <c r="A179" s="63">
        <v>711000</v>
      </c>
      <c r="B179" s="63">
        <v>202107</v>
      </c>
      <c r="C179" s="64">
        <v>167952.71</v>
      </c>
      <c r="D179" s="64">
        <v>10.1</v>
      </c>
      <c r="H179" s="65">
        <v>11</v>
      </c>
    </row>
    <row r="180" spans="1:8" x14ac:dyDescent="0.25">
      <c r="A180" s="63">
        <v>711000</v>
      </c>
      <c r="B180" s="63">
        <v>202108</v>
      </c>
      <c r="C180" s="64">
        <f>167952.71+15850+24500</f>
        <v>208302.71</v>
      </c>
      <c r="D180" s="64">
        <v>10.1</v>
      </c>
      <c r="H180" s="65">
        <v>11</v>
      </c>
    </row>
    <row r="181" spans="1:8" x14ac:dyDescent="0.25">
      <c r="A181" s="63">
        <v>711000</v>
      </c>
      <c r="B181" s="63">
        <v>202109</v>
      </c>
      <c r="C181" s="64">
        <f>167952.71+30000+4000</f>
        <v>201952.71</v>
      </c>
      <c r="D181" s="64">
        <v>10.1</v>
      </c>
      <c r="H181" s="65">
        <v>11</v>
      </c>
    </row>
    <row r="182" spans="1:8" x14ac:dyDescent="0.25">
      <c r="A182" s="63">
        <v>711000</v>
      </c>
      <c r="B182" s="63">
        <v>202110</v>
      </c>
      <c r="C182" s="64">
        <f>167952.71+2350+4000</f>
        <v>174302.71</v>
      </c>
      <c r="D182" s="64">
        <v>10.1</v>
      </c>
      <c r="H182" s="65">
        <v>11</v>
      </c>
    </row>
    <row r="183" spans="1:8" x14ac:dyDescent="0.25">
      <c r="A183" s="63">
        <v>711000</v>
      </c>
      <c r="B183" s="63">
        <v>202111</v>
      </c>
      <c r="C183" s="64">
        <f t="shared" ref="C183:C184" si="1">167952.71+2350+4000</f>
        <v>174302.71</v>
      </c>
      <c r="D183" s="64">
        <v>10.1</v>
      </c>
      <c r="H183" s="65">
        <v>11</v>
      </c>
    </row>
    <row r="184" spans="1:8" x14ac:dyDescent="0.25">
      <c r="A184" s="63">
        <v>711000</v>
      </c>
      <c r="B184" s="63">
        <v>202112</v>
      </c>
      <c r="C184" s="64">
        <f t="shared" si="1"/>
        <v>174302.71</v>
      </c>
      <c r="D184" s="64">
        <v>10.1</v>
      </c>
      <c r="F184" s="93" cm="1">
        <f t="array" ref="F184">SUM(D173:D184/12)</f>
        <v>8.3897499999999994</v>
      </c>
      <c r="H184" s="65">
        <v>11</v>
      </c>
    </row>
    <row r="185" spans="1:8" x14ac:dyDescent="0.25">
      <c r="A185" s="66" t="s">
        <v>774</v>
      </c>
      <c r="B185" s="63"/>
      <c r="C185" s="67">
        <f>SUM(C173:C184)</f>
        <v>1803374.1199999999</v>
      </c>
      <c r="H185" s="65"/>
    </row>
    <row r="186" spans="1:8" x14ac:dyDescent="0.25">
      <c r="A186" s="63">
        <v>712100</v>
      </c>
      <c r="B186" s="63">
        <v>202101</v>
      </c>
      <c r="C186" s="64">
        <v>36075.42</v>
      </c>
      <c r="D186" s="64">
        <v>2</v>
      </c>
      <c r="H186" s="65">
        <v>2</v>
      </c>
    </row>
    <row r="187" spans="1:8" x14ac:dyDescent="0.25">
      <c r="A187" s="63">
        <v>712100</v>
      </c>
      <c r="B187" s="63">
        <v>202102</v>
      </c>
      <c r="C187" s="64">
        <v>35070.21</v>
      </c>
      <c r="D187" s="64">
        <v>2</v>
      </c>
      <c r="H187" s="65">
        <v>2</v>
      </c>
    </row>
    <row r="188" spans="1:8" x14ac:dyDescent="0.25">
      <c r="A188" s="63">
        <v>712100</v>
      </c>
      <c r="B188" s="63">
        <v>202103</v>
      </c>
      <c r="C188" s="64">
        <v>35892.42</v>
      </c>
      <c r="D188" s="64">
        <v>2</v>
      </c>
      <c r="H188" s="65">
        <v>2</v>
      </c>
    </row>
    <row r="189" spans="1:8" x14ac:dyDescent="0.25">
      <c r="A189" s="63">
        <v>712100</v>
      </c>
      <c r="B189" s="63">
        <v>202104</v>
      </c>
      <c r="C189" s="64">
        <v>50110.55</v>
      </c>
      <c r="D189" s="64">
        <v>2</v>
      </c>
      <c r="H189" s="65">
        <v>2</v>
      </c>
    </row>
    <row r="190" spans="1:8" x14ac:dyDescent="0.25">
      <c r="A190" s="63">
        <v>712100</v>
      </c>
      <c r="B190" s="63">
        <v>202105</v>
      </c>
      <c r="C190" s="64">
        <v>39086.36</v>
      </c>
      <c r="D190" s="64">
        <v>2</v>
      </c>
      <c r="H190" s="65">
        <v>2</v>
      </c>
    </row>
    <row r="191" spans="1:8" x14ac:dyDescent="0.25">
      <c r="A191" s="63">
        <v>712100</v>
      </c>
      <c r="B191" s="63">
        <v>202106</v>
      </c>
      <c r="C191" s="64">
        <v>52997.08</v>
      </c>
      <c r="D191" s="64">
        <v>2</v>
      </c>
      <c r="H191" s="65">
        <v>2</v>
      </c>
    </row>
    <row r="192" spans="1:8" x14ac:dyDescent="0.25">
      <c r="A192" s="63">
        <v>712100</v>
      </c>
      <c r="B192" s="63">
        <v>202107</v>
      </c>
      <c r="C192" s="64">
        <v>43411.74</v>
      </c>
      <c r="D192" s="64">
        <v>2</v>
      </c>
      <c r="H192" s="65">
        <v>2</v>
      </c>
    </row>
    <row r="193" spans="1:8" x14ac:dyDescent="0.25">
      <c r="A193" s="63">
        <v>712100</v>
      </c>
      <c r="B193" s="63">
        <v>202108</v>
      </c>
      <c r="C193" s="64">
        <v>41500</v>
      </c>
      <c r="D193" s="64">
        <v>2</v>
      </c>
      <c r="H193" s="65">
        <v>2</v>
      </c>
    </row>
    <row r="194" spans="1:8" x14ac:dyDescent="0.25">
      <c r="A194" s="63">
        <v>712100</v>
      </c>
      <c r="B194" s="63">
        <v>202109</v>
      </c>
      <c r="C194" s="64">
        <v>38500</v>
      </c>
      <c r="D194" s="64">
        <v>2</v>
      </c>
      <c r="H194" s="65">
        <v>2</v>
      </c>
    </row>
    <row r="195" spans="1:8" x14ac:dyDescent="0.25">
      <c r="A195" s="63">
        <v>712100</v>
      </c>
      <c r="B195" s="63">
        <v>202110</v>
      </c>
      <c r="C195" s="64">
        <v>38500</v>
      </c>
      <c r="D195" s="64">
        <v>2</v>
      </c>
      <c r="H195" s="65">
        <v>2</v>
      </c>
    </row>
    <row r="196" spans="1:8" x14ac:dyDescent="0.25">
      <c r="A196" s="63">
        <v>712100</v>
      </c>
      <c r="B196" s="63">
        <v>202111</v>
      </c>
      <c r="C196" s="64">
        <v>38500</v>
      </c>
      <c r="D196" s="64">
        <v>2</v>
      </c>
      <c r="H196" s="65">
        <v>2</v>
      </c>
    </row>
    <row r="197" spans="1:8" x14ac:dyDescent="0.25">
      <c r="A197" s="63">
        <v>712100</v>
      </c>
      <c r="B197" s="63">
        <v>202112</v>
      </c>
      <c r="C197" s="64">
        <v>38500</v>
      </c>
      <c r="D197" s="64">
        <v>2</v>
      </c>
      <c r="F197" s="93" cm="1">
        <f t="array" ref="F197">SUM(D186:D197/12)</f>
        <v>2</v>
      </c>
      <c r="H197" s="65">
        <v>2</v>
      </c>
    </row>
    <row r="198" spans="1:8" x14ac:dyDescent="0.25">
      <c r="A198" s="66" t="s">
        <v>775</v>
      </c>
      <c r="B198" s="63"/>
      <c r="C198" s="67">
        <f>SUM(C186:C197)</f>
        <v>488143.78</v>
      </c>
      <c r="H198" s="65"/>
    </row>
    <row r="199" spans="1:8" x14ac:dyDescent="0.25">
      <c r="A199" s="63">
        <v>712200</v>
      </c>
      <c r="B199" s="63">
        <v>202101</v>
      </c>
      <c r="C199" s="64">
        <v>477798.66</v>
      </c>
      <c r="D199" s="64">
        <v>36.200000000000003</v>
      </c>
      <c r="H199" s="65">
        <v>38</v>
      </c>
    </row>
    <row r="200" spans="1:8" x14ac:dyDescent="0.25">
      <c r="A200" s="63">
        <v>712200</v>
      </c>
      <c r="B200" s="63">
        <v>202102</v>
      </c>
      <c r="C200" s="64">
        <v>415597.19</v>
      </c>
      <c r="D200" s="64">
        <v>36.200000000000003</v>
      </c>
      <c r="H200" s="65">
        <v>37</v>
      </c>
    </row>
    <row r="201" spans="1:8" x14ac:dyDescent="0.25">
      <c r="A201" s="63">
        <v>712200</v>
      </c>
      <c r="B201" s="63">
        <v>202103</v>
      </c>
      <c r="C201" s="64">
        <v>424352.33</v>
      </c>
      <c r="D201" s="64">
        <v>36.200000000000003</v>
      </c>
      <c r="H201" s="65">
        <v>37</v>
      </c>
    </row>
    <row r="202" spans="1:8" x14ac:dyDescent="0.25">
      <c r="A202" s="63">
        <v>712200</v>
      </c>
      <c r="B202" s="63">
        <v>202104</v>
      </c>
      <c r="C202" s="64">
        <v>433997.3</v>
      </c>
      <c r="D202" s="64">
        <v>36.200000000000003</v>
      </c>
      <c r="H202" s="65">
        <v>37</v>
      </c>
    </row>
    <row r="203" spans="1:8" x14ac:dyDescent="0.25">
      <c r="A203" s="63">
        <v>712200</v>
      </c>
      <c r="B203" s="63">
        <v>202105</v>
      </c>
      <c r="C203" s="64">
        <v>452045.41</v>
      </c>
      <c r="D203" s="64">
        <v>36.200000000000003</v>
      </c>
      <c r="H203" s="65">
        <v>37</v>
      </c>
    </row>
    <row r="204" spans="1:8" x14ac:dyDescent="0.25">
      <c r="A204" s="63">
        <v>712200</v>
      </c>
      <c r="B204" s="63">
        <v>202106</v>
      </c>
      <c r="C204" s="64">
        <v>670202.09</v>
      </c>
      <c r="D204" s="64">
        <v>36.200000000000003</v>
      </c>
      <c r="H204" s="65">
        <v>38</v>
      </c>
    </row>
    <row r="205" spans="1:8" x14ac:dyDescent="0.25">
      <c r="A205" s="63">
        <v>712200</v>
      </c>
      <c r="B205" s="63">
        <v>202107</v>
      </c>
      <c r="C205" s="64">
        <v>493474.21</v>
      </c>
      <c r="D205" s="64">
        <v>36.1</v>
      </c>
      <c r="H205" s="65">
        <v>37</v>
      </c>
    </row>
    <row r="206" spans="1:8" x14ac:dyDescent="0.25">
      <c r="A206" s="63">
        <v>712200</v>
      </c>
      <c r="B206" s="63">
        <v>202108</v>
      </c>
      <c r="C206" s="64">
        <v>452100</v>
      </c>
      <c r="D206" s="64">
        <v>36.1</v>
      </c>
      <c r="H206" s="65">
        <v>37</v>
      </c>
    </row>
    <row r="207" spans="1:8" x14ac:dyDescent="0.25">
      <c r="A207" s="63">
        <v>712200</v>
      </c>
      <c r="B207" s="63">
        <v>202109</v>
      </c>
      <c r="C207" s="64">
        <f>452100+55000</f>
        <v>507100</v>
      </c>
      <c r="D207" s="64">
        <v>36.1</v>
      </c>
      <c r="H207" s="65">
        <v>37</v>
      </c>
    </row>
    <row r="208" spans="1:8" x14ac:dyDescent="0.25">
      <c r="A208" s="63">
        <v>712200</v>
      </c>
      <c r="B208" s="63">
        <v>202110</v>
      </c>
      <c r="C208" s="64">
        <v>452100</v>
      </c>
      <c r="D208" s="64">
        <v>36.1</v>
      </c>
      <c r="H208" s="65">
        <v>37</v>
      </c>
    </row>
    <row r="209" spans="1:8" x14ac:dyDescent="0.25">
      <c r="A209" s="63">
        <v>712200</v>
      </c>
      <c r="B209" s="63">
        <v>202111</v>
      </c>
      <c r="C209" s="64">
        <v>452100</v>
      </c>
      <c r="D209" s="64">
        <v>36.1</v>
      </c>
      <c r="H209" s="65">
        <v>37</v>
      </c>
    </row>
    <row r="210" spans="1:8" x14ac:dyDescent="0.25">
      <c r="A210" s="63">
        <v>712200</v>
      </c>
      <c r="B210" s="63">
        <v>202112</v>
      </c>
      <c r="C210" s="64">
        <v>452100</v>
      </c>
      <c r="D210" s="64">
        <v>36.1</v>
      </c>
      <c r="F210" s="93" cm="1">
        <f t="array" ref="F210">SUM(D199:D210/12)</f>
        <v>36.15</v>
      </c>
      <c r="H210" s="65">
        <v>37</v>
      </c>
    </row>
    <row r="211" spans="1:8" x14ac:dyDescent="0.25">
      <c r="A211" s="66" t="s">
        <v>776</v>
      </c>
      <c r="B211" s="63"/>
      <c r="C211" s="67">
        <f>SUM(C199:C210)</f>
        <v>5682967.1899999995</v>
      </c>
      <c r="H211" s="65"/>
    </row>
    <row r="212" spans="1:8" x14ac:dyDescent="0.25">
      <c r="A212" s="63">
        <v>712300</v>
      </c>
      <c r="B212" s="63">
        <v>202101</v>
      </c>
      <c r="C212" s="64">
        <v>203321.03</v>
      </c>
      <c r="D212" s="64">
        <v>14</v>
      </c>
      <c r="H212" s="65">
        <v>15</v>
      </c>
    </row>
    <row r="213" spans="1:8" x14ac:dyDescent="0.25">
      <c r="A213" s="63">
        <v>712300</v>
      </c>
      <c r="B213" s="63">
        <v>202102</v>
      </c>
      <c r="C213" s="64">
        <v>193638.85</v>
      </c>
      <c r="D213" s="64">
        <v>14</v>
      </c>
      <c r="H213" s="65">
        <v>15</v>
      </c>
    </row>
    <row r="214" spans="1:8" x14ac:dyDescent="0.25">
      <c r="A214" s="63">
        <v>712300</v>
      </c>
      <c r="B214" s="63">
        <v>202103</v>
      </c>
      <c r="C214" s="64">
        <v>189905.36</v>
      </c>
      <c r="D214" s="64">
        <v>14</v>
      </c>
      <c r="H214" s="65">
        <v>15</v>
      </c>
    </row>
    <row r="215" spans="1:8" x14ac:dyDescent="0.25">
      <c r="A215" s="63">
        <v>712300</v>
      </c>
      <c r="B215" s="63">
        <v>202104</v>
      </c>
      <c r="C215" s="64">
        <v>210534.57</v>
      </c>
      <c r="D215" s="64">
        <v>14</v>
      </c>
      <c r="H215" s="65">
        <v>16</v>
      </c>
    </row>
    <row r="216" spans="1:8" x14ac:dyDescent="0.25">
      <c r="A216" s="63">
        <v>712300</v>
      </c>
      <c r="B216" s="63">
        <v>202105</v>
      </c>
      <c r="C216" s="64">
        <v>202881.32</v>
      </c>
      <c r="D216" s="64">
        <v>13</v>
      </c>
      <c r="H216" s="65">
        <v>15</v>
      </c>
    </row>
    <row r="217" spans="1:8" x14ac:dyDescent="0.25">
      <c r="A217" s="63">
        <v>712300</v>
      </c>
      <c r="B217" s="63">
        <v>202106</v>
      </c>
      <c r="C217" s="64">
        <v>286987.33</v>
      </c>
      <c r="D217" s="64">
        <v>13</v>
      </c>
      <c r="H217" s="65">
        <v>16</v>
      </c>
    </row>
    <row r="218" spans="1:8" x14ac:dyDescent="0.25">
      <c r="A218" s="63">
        <v>712300</v>
      </c>
      <c r="B218" s="63">
        <v>202107</v>
      </c>
      <c r="C218" s="64">
        <v>229318.54</v>
      </c>
      <c r="D218" s="64">
        <v>13</v>
      </c>
      <c r="H218" s="65">
        <v>15</v>
      </c>
    </row>
    <row r="219" spans="1:8" x14ac:dyDescent="0.25">
      <c r="A219" s="63">
        <v>712300</v>
      </c>
      <c r="B219" s="63">
        <v>202108</v>
      </c>
      <c r="C219" s="64">
        <v>204000</v>
      </c>
      <c r="D219" s="64">
        <v>13</v>
      </c>
      <c r="H219" s="65">
        <v>15</v>
      </c>
    </row>
    <row r="220" spans="1:8" x14ac:dyDescent="0.25">
      <c r="A220" s="63">
        <v>712300</v>
      </c>
      <c r="B220" s="63">
        <v>202109</v>
      </c>
      <c r="C220" s="64">
        <f>204000+55000</f>
        <v>259000</v>
      </c>
      <c r="D220" s="64">
        <v>13</v>
      </c>
      <c r="H220" s="65">
        <v>15</v>
      </c>
    </row>
    <row r="221" spans="1:8" x14ac:dyDescent="0.25">
      <c r="A221" s="63">
        <v>712300</v>
      </c>
      <c r="B221" s="63">
        <v>202110</v>
      </c>
      <c r="C221" s="64">
        <v>206000</v>
      </c>
      <c r="D221" s="64">
        <v>13</v>
      </c>
      <c r="H221" s="65">
        <v>15</v>
      </c>
    </row>
    <row r="222" spans="1:8" x14ac:dyDescent="0.25">
      <c r="A222" s="63">
        <v>712300</v>
      </c>
      <c r="B222" s="63">
        <v>202111</v>
      </c>
      <c r="C222" s="64">
        <v>206800</v>
      </c>
      <c r="D222" s="64">
        <v>13</v>
      </c>
      <c r="H222" s="65">
        <v>15</v>
      </c>
    </row>
    <row r="223" spans="1:8" x14ac:dyDescent="0.25">
      <c r="A223" s="63">
        <v>712300</v>
      </c>
      <c r="B223" s="63">
        <v>202112</v>
      </c>
      <c r="C223" s="64">
        <v>207000</v>
      </c>
      <c r="D223" s="64">
        <v>13</v>
      </c>
      <c r="F223" s="93" cm="1">
        <f t="array" ref="F223">SUM(D212:D223/12)</f>
        <v>13.333333333333336</v>
      </c>
      <c r="H223" s="65">
        <v>15</v>
      </c>
    </row>
    <row r="224" spans="1:8" x14ac:dyDescent="0.25">
      <c r="A224" s="66" t="s">
        <v>777</v>
      </c>
      <c r="B224" s="63"/>
      <c r="C224" s="67">
        <f>SUM(C212:C223)</f>
        <v>2599387</v>
      </c>
      <c r="H224" s="65"/>
    </row>
    <row r="225" spans="1:8" x14ac:dyDescent="0.25">
      <c r="A225" s="63">
        <v>712400</v>
      </c>
      <c r="B225" s="63">
        <v>202101</v>
      </c>
      <c r="C225" s="64">
        <v>117972.19</v>
      </c>
      <c r="D225" s="64">
        <v>8</v>
      </c>
      <c r="H225" s="65">
        <v>9</v>
      </c>
    </row>
    <row r="226" spans="1:8" x14ac:dyDescent="0.25">
      <c r="A226" s="63">
        <v>712400</v>
      </c>
      <c r="B226" s="63">
        <v>202102</v>
      </c>
      <c r="C226" s="64">
        <v>123068.66</v>
      </c>
      <c r="D226" s="64">
        <v>8</v>
      </c>
      <c r="H226" s="65">
        <v>9</v>
      </c>
    </row>
    <row r="227" spans="1:8" x14ac:dyDescent="0.25">
      <c r="A227" s="63">
        <v>712400</v>
      </c>
      <c r="B227" s="63">
        <v>202103</v>
      </c>
      <c r="C227" s="64">
        <v>120541.96</v>
      </c>
      <c r="D227" s="64">
        <v>8</v>
      </c>
      <c r="H227" s="65">
        <v>9</v>
      </c>
    </row>
    <row r="228" spans="1:8" x14ac:dyDescent="0.25">
      <c r="A228" s="63">
        <v>712400</v>
      </c>
      <c r="B228" s="63">
        <v>202104</v>
      </c>
      <c r="C228" s="64">
        <v>121933.44</v>
      </c>
      <c r="D228" s="64">
        <v>8</v>
      </c>
      <c r="H228" s="65">
        <v>9</v>
      </c>
    </row>
    <row r="229" spans="1:8" x14ac:dyDescent="0.25">
      <c r="A229" s="63">
        <v>712400</v>
      </c>
      <c r="B229" s="63">
        <v>202105</v>
      </c>
      <c r="C229" s="64">
        <v>139549.87</v>
      </c>
      <c r="D229" s="64">
        <v>8</v>
      </c>
      <c r="H229" s="65">
        <v>10</v>
      </c>
    </row>
    <row r="230" spans="1:8" x14ac:dyDescent="0.25">
      <c r="A230" s="63">
        <v>712400</v>
      </c>
      <c r="B230" s="63">
        <v>202106</v>
      </c>
      <c r="C230" s="64">
        <v>178908.13</v>
      </c>
      <c r="D230" s="64">
        <v>8</v>
      </c>
      <c r="H230" s="65">
        <v>11</v>
      </c>
    </row>
    <row r="231" spans="1:8" x14ac:dyDescent="0.25">
      <c r="A231" s="62">
        <v>712400</v>
      </c>
      <c r="B231" s="63">
        <v>202107</v>
      </c>
      <c r="C231" s="64">
        <v>169769.99</v>
      </c>
      <c r="D231" s="64">
        <v>10</v>
      </c>
      <c r="H231" s="65">
        <v>11</v>
      </c>
    </row>
    <row r="232" spans="1:8" x14ac:dyDescent="0.25">
      <c r="A232" s="63">
        <v>712400</v>
      </c>
      <c r="B232" s="63">
        <v>202108</v>
      </c>
      <c r="C232" s="64">
        <v>140600</v>
      </c>
      <c r="D232" s="64">
        <v>10</v>
      </c>
      <c r="H232" s="65">
        <v>11</v>
      </c>
    </row>
    <row r="233" spans="1:8" x14ac:dyDescent="0.25">
      <c r="A233" s="63">
        <v>712400</v>
      </c>
      <c r="B233" s="63">
        <v>202109</v>
      </c>
      <c r="C233" s="64">
        <f>140600+38000</f>
        <v>178600</v>
      </c>
      <c r="D233" s="64">
        <v>10</v>
      </c>
      <c r="H233" s="65">
        <v>11</v>
      </c>
    </row>
    <row r="234" spans="1:8" x14ac:dyDescent="0.25">
      <c r="A234" s="63">
        <v>712400</v>
      </c>
      <c r="B234" s="63">
        <v>202110</v>
      </c>
      <c r="C234" s="64">
        <v>152000</v>
      </c>
      <c r="D234" s="64">
        <v>10</v>
      </c>
      <c r="H234" s="65">
        <v>11</v>
      </c>
    </row>
    <row r="235" spans="1:8" x14ac:dyDescent="0.25">
      <c r="A235" s="63">
        <v>712400</v>
      </c>
      <c r="B235" s="63">
        <v>202111</v>
      </c>
      <c r="C235" s="64">
        <v>165000</v>
      </c>
      <c r="D235" s="64">
        <v>10</v>
      </c>
      <c r="H235" s="65">
        <v>11</v>
      </c>
    </row>
    <row r="236" spans="1:8" x14ac:dyDescent="0.25">
      <c r="A236" s="63">
        <v>712400</v>
      </c>
      <c r="B236" s="63">
        <v>202112</v>
      </c>
      <c r="C236" s="64">
        <v>145000</v>
      </c>
      <c r="D236" s="64">
        <v>10</v>
      </c>
      <c r="F236" s="93" cm="1">
        <f t="array" ref="F236">SUM(D225:D236/12)</f>
        <v>9</v>
      </c>
      <c r="H236" s="65">
        <v>11</v>
      </c>
    </row>
    <row r="237" spans="1:8" x14ac:dyDescent="0.25">
      <c r="A237" s="66" t="s">
        <v>778</v>
      </c>
      <c r="B237" s="63"/>
      <c r="C237" s="67">
        <f>SUM(C225:C236)</f>
        <v>1752944.24</v>
      </c>
      <c r="H237" s="65"/>
    </row>
    <row r="238" spans="1:8" x14ac:dyDescent="0.25">
      <c r="A238" s="63">
        <v>714000</v>
      </c>
      <c r="B238" s="63">
        <v>202101</v>
      </c>
      <c r="C238" s="64">
        <v>57592.61</v>
      </c>
      <c r="D238" s="64">
        <v>2</v>
      </c>
      <c r="H238" s="65">
        <v>2</v>
      </c>
    </row>
    <row r="239" spans="1:8" x14ac:dyDescent="0.25">
      <c r="A239" s="63">
        <v>714000</v>
      </c>
      <c r="B239" s="63">
        <v>202102</v>
      </c>
      <c r="C239" s="64">
        <v>57208.35</v>
      </c>
      <c r="D239" s="64">
        <v>2</v>
      </c>
      <c r="H239" s="65">
        <v>2</v>
      </c>
    </row>
    <row r="240" spans="1:8" x14ac:dyDescent="0.25">
      <c r="A240" s="63">
        <v>714000</v>
      </c>
      <c r="B240" s="63">
        <v>202103</v>
      </c>
      <c r="C240" s="64">
        <v>320049.73</v>
      </c>
      <c r="D240" s="64">
        <v>2.6230000000000002</v>
      </c>
      <c r="H240" s="65">
        <v>3</v>
      </c>
    </row>
    <row r="241" spans="1:8" x14ac:dyDescent="0.25">
      <c r="A241" s="63">
        <v>714000</v>
      </c>
      <c r="B241" s="63">
        <v>202104</v>
      </c>
      <c r="C241" s="64">
        <v>185215.19</v>
      </c>
      <c r="D241" s="64">
        <v>2</v>
      </c>
      <c r="H241" s="65">
        <v>3</v>
      </c>
    </row>
    <row r="242" spans="1:8" x14ac:dyDescent="0.25">
      <c r="A242" s="63">
        <v>714000</v>
      </c>
      <c r="B242" s="63">
        <v>202105</v>
      </c>
      <c r="C242" s="64">
        <v>60963.44</v>
      </c>
      <c r="D242" s="64">
        <v>2</v>
      </c>
      <c r="H242" s="65">
        <v>2</v>
      </c>
    </row>
    <row r="243" spans="1:8" x14ac:dyDescent="0.25">
      <c r="A243" s="63">
        <v>714000</v>
      </c>
      <c r="B243" s="63">
        <v>202106</v>
      </c>
      <c r="C243" s="64">
        <v>65885.039999999994</v>
      </c>
      <c r="D243" s="64">
        <v>2.42</v>
      </c>
      <c r="H243" s="65">
        <v>3</v>
      </c>
    </row>
    <row r="244" spans="1:8" x14ac:dyDescent="0.25">
      <c r="A244" s="63">
        <v>714000</v>
      </c>
      <c r="B244" s="63">
        <v>202107</v>
      </c>
      <c r="C244" s="64">
        <v>47991.92</v>
      </c>
      <c r="D244" s="64">
        <v>2</v>
      </c>
      <c r="H244" s="65">
        <v>2</v>
      </c>
    </row>
    <row r="245" spans="1:8" x14ac:dyDescent="0.25">
      <c r="A245" s="63">
        <v>714000</v>
      </c>
      <c r="B245" s="63">
        <v>202108</v>
      </c>
      <c r="C245" s="64">
        <v>50000</v>
      </c>
      <c r="D245" s="64">
        <v>2</v>
      </c>
      <c r="H245" s="65">
        <v>2</v>
      </c>
    </row>
    <row r="246" spans="1:8" x14ac:dyDescent="0.25">
      <c r="A246" s="63">
        <v>714000</v>
      </c>
      <c r="B246" s="63">
        <v>202109</v>
      </c>
      <c r="C246" s="64">
        <v>50000</v>
      </c>
      <c r="D246" s="64">
        <v>2</v>
      </c>
      <c r="H246" s="65">
        <v>2</v>
      </c>
    </row>
    <row r="247" spans="1:8" x14ac:dyDescent="0.25">
      <c r="A247" s="63">
        <v>714000</v>
      </c>
      <c r="B247" s="63">
        <v>202110</v>
      </c>
      <c r="C247" s="64">
        <v>50000</v>
      </c>
      <c r="D247" s="64">
        <v>2</v>
      </c>
      <c r="H247" s="65">
        <v>2</v>
      </c>
    </row>
    <row r="248" spans="1:8" x14ac:dyDescent="0.25">
      <c r="A248" s="63">
        <v>714000</v>
      </c>
      <c r="B248" s="63">
        <v>202111</v>
      </c>
      <c r="C248" s="64">
        <v>50000</v>
      </c>
      <c r="D248" s="64">
        <v>2</v>
      </c>
      <c r="H248" s="65">
        <v>2</v>
      </c>
    </row>
    <row r="249" spans="1:8" x14ac:dyDescent="0.25">
      <c r="A249" s="63">
        <v>714000</v>
      </c>
      <c r="B249" s="63">
        <v>202112</v>
      </c>
      <c r="C249" s="64">
        <v>50000</v>
      </c>
      <c r="D249" s="64">
        <v>2</v>
      </c>
      <c r="F249" s="93" cm="1">
        <f t="array" ref="F249">SUM(D238:D249/12)</f>
        <v>2.0869166666666668</v>
      </c>
      <c r="H249" s="65">
        <v>2</v>
      </c>
    </row>
    <row r="250" spans="1:8" x14ac:dyDescent="0.25">
      <c r="A250" s="66" t="s">
        <v>779</v>
      </c>
      <c r="B250" s="63"/>
      <c r="C250" s="67">
        <f>SUM(C238:C249)</f>
        <v>1044906.2799999999</v>
      </c>
      <c r="H250" s="65"/>
    </row>
    <row r="251" spans="1:8" x14ac:dyDescent="0.25">
      <c r="A251" s="63">
        <v>715000</v>
      </c>
      <c r="B251" s="63">
        <v>202101</v>
      </c>
      <c r="C251" s="64">
        <v>110496.21</v>
      </c>
      <c r="D251" s="64">
        <v>6</v>
      </c>
      <c r="H251" s="65">
        <v>6</v>
      </c>
    </row>
    <row r="252" spans="1:8" x14ac:dyDescent="0.25">
      <c r="A252" s="63">
        <v>715000</v>
      </c>
      <c r="B252" s="63">
        <v>202102</v>
      </c>
      <c r="C252" s="64">
        <v>102456.02</v>
      </c>
      <c r="D252" s="64">
        <v>6</v>
      </c>
      <c r="H252" s="65">
        <v>6</v>
      </c>
    </row>
    <row r="253" spans="1:8" x14ac:dyDescent="0.25">
      <c r="A253" s="63">
        <v>715000</v>
      </c>
      <c r="B253" s="63">
        <v>202103</v>
      </c>
      <c r="C253" s="64">
        <v>99502.3</v>
      </c>
      <c r="D253" s="64">
        <v>6</v>
      </c>
      <c r="H253" s="65">
        <v>6</v>
      </c>
    </row>
    <row r="254" spans="1:8" x14ac:dyDescent="0.25">
      <c r="A254" s="63">
        <v>715000</v>
      </c>
      <c r="B254" s="63">
        <v>202104</v>
      </c>
      <c r="C254" s="64">
        <v>101721.3</v>
      </c>
      <c r="D254" s="64">
        <v>6</v>
      </c>
      <c r="H254" s="65">
        <v>6</v>
      </c>
    </row>
    <row r="255" spans="1:8" x14ac:dyDescent="0.25">
      <c r="A255" s="63">
        <v>715000</v>
      </c>
      <c r="B255" s="63">
        <v>202105</v>
      </c>
      <c r="C255" s="64">
        <v>105014.39</v>
      </c>
      <c r="D255" s="64">
        <v>6</v>
      </c>
      <c r="H255" s="65">
        <v>6</v>
      </c>
    </row>
    <row r="256" spans="1:8" x14ac:dyDescent="0.25">
      <c r="A256" s="63">
        <v>715000</v>
      </c>
      <c r="B256" s="63">
        <v>202106</v>
      </c>
      <c r="C256" s="64">
        <v>144354.26</v>
      </c>
      <c r="D256" s="64">
        <v>6</v>
      </c>
      <c r="H256" s="65">
        <v>6</v>
      </c>
    </row>
    <row r="257" spans="1:8" x14ac:dyDescent="0.25">
      <c r="A257" s="63">
        <v>715000</v>
      </c>
      <c r="B257" s="63">
        <v>202107</v>
      </c>
      <c r="C257" s="64">
        <v>126502.6</v>
      </c>
      <c r="D257" s="64">
        <v>6</v>
      </c>
      <c r="H257" s="65">
        <v>6</v>
      </c>
    </row>
    <row r="258" spans="1:8" x14ac:dyDescent="0.25">
      <c r="A258" s="63">
        <v>715000</v>
      </c>
      <c r="B258" s="63">
        <v>202108</v>
      </c>
      <c r="C258" s="64">
        <v>105100</v>
      </c>
      <c r="D258" s="64">
        <v>6</v>
      </c>
      <c r="H258" s="65">
        <v>6</v>
      </c>
    </row>
    <row r="259" spans="1:8" x14ac:dyDescent="0.25">
      <c r="A259" s="63">
        <v>715000</v>
      </c>
      <c r="B259" s="63">
        <v>202109</v>
      </c>
      <c r="C259" s="64">
        <f>110000+30000</f>
        <v>140000</v>
      </c>
      <c r="D259" s="64">
        <v>6</v>
      </c>
      <c r="H259" s="65">
        <v>6</v>
      </c>
    </row>
    <row r="260" spans="1:8" x14ac:dyDescent="0.25">
      <c r="A260" s="63">
        <v>715000</v>
      </c>
      <c r="B260" s="63">
        <v>202110</v>
      </c>
      <c r="C260" s="64">
        <v>110000</v>
      </c>
      <c r="D260" s="64">
        <v>6</v>
      </c>
      <c r="H260" s="65">
        <v>6</v>
      </c>
    </row>
    <row r="261" spans="1:8" x14ac:dyDescent="0.25">
      <c r="A261" s="63">
        <v>715000</v>
      </c>
      <c r="B261" s="63">
        <v>202111</v>
      </c>
      <c r="C261" s="64">
        <v>110000</v>
      </c>
      <c r="D261" s="64">
        <v>6</v>
      </c>
      <c r="H261" s="65">
        <v>6</v>
      </c>
    </row>
    <row r="262" spans="1:8" x14ac:dyDescent="0.25">
      <c r="A262" s="63">
        <v>715000</v>
      </c>
      <c r="B262" s="63">
        <v>202112</v>
      </c>
      <c r="C262" s="64">
        <v>110000</v>
      </c>
      <c r="D262" s="64">
        <v>6</v>
      </c>
      <c r="F262" s="93" cm="1">
        <f t="array" ref="F262">SUM(D251:D262/12)</f>
        <v>6</v>
      </c>
      <c r="H262" s="65">
        <v>6</v>
      </c>
    </row>
    <row r="263" spans="1:8" x14ac:dyDescent="0.25">
      <c r="A263" s="66" t="s">
        <v>780</v>
      </c>
      <c r="B263" s="63"/>
      <c r="C263" s="67">
        <f>SUM(C251:C262)</f>
        <v>1365147.08</v>
      </c>
      <c r="H263" s="65"/>
    </row>
    <row r="264" spans="1:8" x14ac:dyDescent="0.25">
      <c r="A264" s="63">
        <v>721000</v>
      </c>
      <c r="B264" s="63">
        <v>202101</v>
      </c>
      <c r="C264" s="64">
        <v>84737.12</v>
      </c>
      <c r="D264" s="64">
        <v>5.4</v>
      </c>
      <c r="H264" s="65">
        <v>7</v>
      </c>
    </row>
    <row r="265" spans="1:8" x14ac:dyDescent="0.25">
      <c r="A265" s="63">
        <v>721000</v>
      </c>
      <c r="B265" s="63">
        <v>202102</v>
      </c>
      <c r="C265" s="64">
        <v>115763.42</v>
      </c>
      <c r="D265" s="64">
        <v>7.4</v>
      </c>
      <c r="H265" s="65">
        <v>8</v>
      </c>
    </row>
    <row r="266" spans="1:8" x14ac:dyDescent="0.25">
      <c r="A266" s="63">
        <v>721000</v>
      </c>
      <c r="B266" s="63">
        <v>202103</v>
      </c>
      <c r="C266" s="64">
        <v>108469.74</v>
      </c>
      <c r="D266" s="64">
        <v>7.4</v>
      </c>
      <c r="H266" s="65">
        <v>9</v>
      </c>
    </row>
    <row r="267" spans="1:8" x14ac:dyDescent="0.25">
      <c r="A267" s="63">
        <v>721000</v>
      </c>
      <c r="B267" s="63">
        <v>202104</v>
      </c>
      <c r="C267" s="64">
        <v>109038.21</v>
      </c>
      <c r="D267" s="64">
        <v>7.4</v>
      </c>
      <c r="H267" s="65">
        <v>9</v>
      </c>
    </row>
    <row r="268" spans="1:8" x14ac:dyDescent="0.25">
      <c r="A268" s="63">
        <v>721000</v>
      </c>
      <c r="B268" s="63">
        <v>202105</v>
      </c>
      <c r="C268" s="64">
        <v>112341.37</v>
      </c>
      <c r="D268" s="64">
        <v>7.4</v>
      </c>
      <c r="H268" s="65">
        <v>9</v>
      </c>
    </row>
    <row r="269" spans="1:8" x14ac:dyDescent="0.25">
      <c r="A269" s="63">
        <v>721000</v>
      </c>
      <c r="B269" s="63">
        <v>202106</v>
      </c>
      <c r="C269" s="64">
        <v>168621.93</v>
      </c>
      <c r="D269" s="64">
        <v>7.4020000000000001</v>
      </c>
      <c r="H269" s="65">
        <v>11</v>
      </c>
    </row>
    <row r="270" spans="1:8" x14ac:dyDescent="0.25">
      <c r="A270" s="63">
        <v>721000</v>
      </c>
      <c r="B270" s="63">
        <v>202107</v>
      </c>
      <c r="C270" s="64">
        <v>118938</v>
      </c>
      <c r="D270" s="64">
        <v>7.0309999999999997</v>
      </c>
      <c r="H270" s="65">
        <v>11</v>
      </c>
    </row>
    <row r="271" spans="1:8" x14ac:dyDescent="0.25">
      <c r="A271" s="63">
        <v>721000</v>
      </c>
      <c r="B271" s="63">
        <v>202108</v>
      </c>
      <c r="C271" s="64">
        <v>113000</v>
      </c>
      <c r="D271" s="64">
        <v>7.0309999999999997</v>
      </c>
      <c r="H271" s="65">
        <v>11</v>
      </c>
    </row>
    <row r="272" spans="1:8" x14ac:dyDescent="0.25">
      <c r="A272" s="63">
        <v>721000</v>
      </c>
      <c r="B272" s="63">
        <v>202109</v>
      </c>
      <c r="C272" s="64">
        <f>113000</f>
        <v>113000</v>
      </c>
      <c r="D272" s="64">
        <v>7.0309999999999997</v>
      </c>
      <c r="H272" s="65">
        <v>11</v>
      </c>
    </row>
    <row r="273" spans="1:8" x14ac:dyDescent="0.25">
      <c r="A273" s="63">
        <v>721000</v>
      </c>
      <c r="B273" s="63">
        <v>202110</v>
      </c>
      <c r="C273" s="64">
        <v>113600</v>
      </c>
      <c r="D273" s="64">
        <v>7.0309999999999997</v>
      </c>
      <c r="H273" s="65">
        <v>11</v>
      </c>
    </row>
    <row r="274" spans="1:8" x14ac:dyDescent="0.25">
      <c r="A274" s="63">
        <v>721000</v>
      </c>
      <c r="B274" s="63">
        <v>202111</v>
      </c>
      <c r="C274" s="64">
        <v>113600</v>
      </c>
      <c r="D274" s="64">
        <v>7.0309999999999997</v>
      </c>
      <c r="H274" s="65">
        <v>11</v>
      </c>
    </row>
    <row r="275" spans="1:8" x14ac:dyDescent="0.25">
      <c r="A275" s="63">
        <v>721000</v>
      </c>
      <c r="B275" s="63">
        <v>202112</v>
      </c>
      <c r="C275" s="64">
        <v>113600</v>
      </c>
      <c r="D275" s="64">
        <v>7.0309999999999997</v>
      </c>
      <c r="F275" s="93" cm="1">
        <f t="array" ref="F275">SUM(D264:D275/12)</f>
        <v>7.0490000000000013</v>
      </c>
      <c r="H275" s="65">
        <v>11</v>
      </c>
    </row>
    <row r="276" spans="1:8" x14ac:dyDescent="0.25">
      <c r="A276" s="66" t="s">
        <v>781</v>
      </c>
      <c r="B276" s="63"/>
      <c r="C276" s="67">
        <f>SUM(C264:C275)</f>
        <v>1384709.79</v>
      </c>
      <c r="H276" s="65"/>
    </row>
    <row r="277" spans="1:8" x14ac:dyDescent="0.25">
      <c r="A277" s="69">
        <v>721100</v>
      </c>
      <c r="B277" s="63">
        <v>202101</v>
      </c>
      <c r="C277" s="64">
        <v>283995.28000000003</v>
      </c>
      <c r="D277" s="64">
        <v>18</v>
      </c>
      <c r="H277" s="65">
        <v>18</v>
      </c>
    </row>
    <row r="278" spans="1:8" x14ac:dyDescent="0.25">
      <c r="A278" s="63">
        <v>721100</v>
      </c>
      <c r="B278" s="63">
        <v>202102</v>
      </c>
      <c r="C278" s="64">
        <v>299820.94</v>
      </c>
      <c r="D278" s="64">
        <v>18</v>
      </c>
      <c r="H278" s="65">
        <v>18</v>
      </c>
    </row>
    <row r="279" spans="1:8" x14ac:dyDescent="0.25">
      <c r="A279" s="63">
        <v>721100</v>
      </c>
      <c r="B279" s="63">
        <v>202103</v>
      </c>
      <c r="C279" s="64">
        <v>284342.87</v>
      </c>
      <c r="D279" s="64">
        <v>18</v>
      </c>
      <c r="H279" s="65">
        <v>18</v>
      </c>
    </row>
    <row r="280" spans="1:8" x14ac:dyDescent="0.25">
      <c r="A280" s="63">
        <v>721100</v>
      </c>
      <c r="B280" s="63">
        <v>202104</v>
      </c>
      <c r="C280" s="64">
        <v>290390.15000000002</v>
      </c>
      <c r="D280" s="64">
        <v>17</v>
      </c>
      <c r="H280" s="65">
        <v>18</v>
      </c>
    </row>
    <row r="281" spans="1:8" x14ac:dyDescent="0.25">
      <c r="A281" s="63">
        <v>721100</v>
      </c>
      <c r="B281" s="63">
        <v>202105</v>
      </c>
      <c r="C281" s="64">
        <v>300160.25</v>
      </c>
      <c r="D281" s="64">
        <v>17</v>
      </c>
      <c r="H281" s="65">
        <v>17</v>
      </c>
    </row>
    <row r="282" spans="1:8" x14ac:dyDescent="0.25">
      <c r="A282" s="63">
        <v>721100</v>
      </c>
      <c r="B282" s="63">
        <v>202106</v>
      </c>
      <c r="C282" s="64">
        <v>396595.52</v>
      </c>
      <c r="D282" s="64">
        <v>17</v>
      </c>
      <c r="H282" s="65">
        <v>17</v>
      </c>
    </row>
    <row r="283" spans="1:8" x14ac:dyDescent="0.25">
      <c r="A283" s="63">
        <v>721100</v>
      </c>
      <c r="B283" s="63">
        <v>202107</v>
      </c>
      <c r="C283" s="64">
        <v>315429.09000000003</v>
      </c>
      <c r="D283" s="64">
        <v>17</v>
      </c>
      <c r="H283" s="65">
        <v>17</v>
      </c>
    </row>
    <row r="284" spans="1:8" x14ac:dyDescent="0.25">
      <c r="A284" s="63">
        <v>721000</v>
      </c>
      <c r="B284" s="63">
        <v>202108</v>
      </c>
      <c r="C284" s="64">
        <v>300100</v>
      </c>
      <c r="D284" s="64">
        <v>17</v>
      </c>
      <c r="H284" s="65">
        <v>17</v>
      </c>
    </row>
    <row r="285" spans="1:8" x14ac:dyDescent="0.25">
      <c r="A285" s="63">
        <v>721000</v>
      </c>
      <c r="B285" s="63">
        <v>202109</v>
      </c>
      <c r="C285" s="64">
        <v>300100</v>
      </c>
      <c r="D285" s="64">
        <v>17</v>
      </c>
      <c r="H285" s="65">
        <v>17</v>
      </c>
    </row>
    <row r="286" spans="1:8" x14ac:dyDescent="0.25">
      <c r="A286" s="63">
        <v>721000</v>
      </c>
      <c r="B286" s="63">
        <v>202110</v>
      </c>
      <c r="C286" s="64">
        <v>300100</v>
      </c>
      <c r="D286" s="64">
        <v>17</v>
      </c>
      <c r="H286" s="65">
        <v>17</v>
      </c>
    </row>
    <row r="287" spans="1:8" x14ac:dyDescent="0.25">
      <c r="A287" s="63">
        <v>721000</v>
      </c>
      <c r="B287" s="63">
        <v>212111</v>
      </c>
      <c r="C287" s="64">
        <v>300100</v>
      </c>
      <c r="D287" s="64">
        <v>17</v>
      </c>
      <c r="H287" s="65">
        <v>17</v>
      </c>
    </row>
    <row r="288" spans="1:8" x14ac:dyDescent="0.25">
      <c r="A288" s="63">
        <v>721000</v>
      </c>
      <c r="B288" s="63">
        <v>202112</v>
      </c>
      <c r="C288" s="64">
        <v>300100</v>
      </c>
      <c r="D288" s="64">
        <v>17</v>
      </c>
      <c r="F288" s="93" cm="1">
        <f t="array" ref="F288">SUM(D277:D288/12)</f>
        <v>17.249999999999996</v>
      </c>
      <c r="H288" s="65">
        <v>17</v>
      </c>
    </row>
    <row r="289" spans="1:8" x14ac:dyDescent="0.25">
      <c r="A289" s="66" t="s">
        <v>782</v>
      </c>
      <c r="B289" s="63"/>
      <c r="C289" s="67">
        <f>SUM(C277:C288)</f>
        <v>3671234.1</v>
      </c>
      <c r="H289" s="65"/>
    </row>
    <row r="290" spans="1:8" x14ac:dyDescent="0.25">
      <c r="A290" s="63">
        <v>721200</v>
      </c>
      <c r="B290" s="63">
        <v>202101</v>
      </c>
      <c r="C290" s="64">
        <f>80817.26+2113</f>
        <v>82930.259999999995</v>
      </c>
      <c r="D290" s="64">
        <v>6.5</v>
      </c>
      <c r="H290" s="65">
        <v>7</v>
      </c>
    </row>
    <row r="291" spans="1:8" x14ac:dyDescent="0.25">
      <c r="A291" s="63">
        <v>721200</v>
      </c>
      <c r="B291" s="63">
        <v>202102</v>
      </c>
      <c r="C291" s="64">
        <f>82817.66+5149</f>
        <v>87966.66</v>
      </c>
      <c r="D291" s="64">
        <v>6.5</v>
      </c>
      <c r="H291" s="65">
        <v>7</v>
      </c>
    </row>
    <row r="292" spans="1:8" x14ac:dyDescent="0.25">
      <c r="A292" s="63">
        <v>721200</v>
      </c>
      <c r="B292" s="63">
        <v>202103</v>
      </c>
      <c r="C292" s="64">
        <f>75792.41+3625.66</f>
        <v>79418.070000000007</v>
      </c>
      <c r="D292" s="64">
        <v>6.5</v>
      </c>
      <c r="H292" s="65">
        <v>7</v>
      </c>
    </row>
    <row r="293" spans="1:8" x14ac:dyDescent="0.25">
      <c r="A293" s="63">
        <v>721200</v>
      </c>
      <c r="B293" s="63">
        <v>202104</v>
      </c>
      <c r="C293" s="64">
        <f>67833.31+12505.36</f>
        <v>80338.67</v>
      </c>
      <c r="D293" s="64">
        <v>5.5330000000000004</v>
      </c>
      <c r="H293" s="65">
        <v>8</v>
      </c>
    </row>
    <row r="294" spans="1:8" x14ac:dyDescent="0.25">
      <c r="A294" s="63">
        <v>721200</v>
      </c>
      <c r="B294" s="63">
        <v>202105</v>
      </c>
      <c r="C294" s="64">
        <f>78410.14+12296.26</f>
        <v>90706.4</v>
      </c>
      <c r="D294" s="64">
        <v>5.5</v>
      </c>
      <c r="H294" s="65">
        <v>8</v>
      </c>
    </row>
    <row r="295" spans="1:8" x14ac:dyDescent="0.25">
      <c r="A295" s="63">
        <v>721200</v>
      </c>
      <c r="B295" s="63">
        <v>202106</v>
      </c>
      <c r="C295" s="64">
        <f>96687.05+13244.51</f>
        <v>109931.56</v>
      </c>
      <c r="D295" s="64">
        <v>5.5</v>
      </c>
      <c r="H295" s="65">
        <v>7</v>
      </c>
    </row>
    <row r="296" spans="1:8" x14ac:dyDescent="0.25">
      <c r="A296" s="63">
        <v>721200</v>
      </c>
      <c r="B296" s="63">
        <v>202107</v>
      </c>
      <c r="C296" s="64">
        <f>89359.86+4645</f>
        <v>94004.86</v>
      </c>
      <c r="D296" s="64">
        <v>6.5</v>
      </c>
      <c r="H296" s="65">
        <v>8</v>
      </c>
    </row>
    <row r="297" spans="1:8" x14ac:dyDescent="0.25">
      <c r="A297" s="63">
        <v>721200</v>
      </c>
      <c r="B297" s="63">
        <v>202108</v>
      </c>
      <c r="C297" s="64">
        <v>75000</v>
      </c>
      <c r="D297" s="64">
        <v>6.5</v>
      </c>
      <c r="H297" s="65">
        <v>8</v>
      </c>
    </row>
    <row r="298" spans="1:8" x14ac:dyDescent="0.25">
      <c r="A298" s="63">
        <v>721200</v>
      </c>
      <c r="B298" s="63">
        <v>202109</v>
      </c>
      <c r="C298" s="64">
        <v>75000</v>
      </c>
      <c r="D298" s="64">
        <v>6.5</v>
      </c>
      <c r="H298" s="65">
        <v>8</v>
      </c>
    </row>
    <row r="299" spans="1:8" x14ac:dyDescent="0.25">
      <c r="A299" s="63">
        <v>721200</v>
      </c>
      <c r="B299" s="63">
        <v>202110</v>
      </c>
      <c r="C299" s="64">
        <v>75500</v>
      </c>
      <c r="D299" s="64">
        <v>6.5</v>
      </c>
      <c r="H299" s="65">
        <v>8</v>
      </c>
    </row>
    <row r="300" spans="1:8" x14ac:dyDescent="0.25">
      <c r="A300" s="63">
        <v>721200</v>
      </c>
      <c r="B300" s="63">
        <v>202111</v>
      </c>
      <c r="C300" s="64">
        <v>75000</v>
      </c>
      <c r="D300" s="64">
        <v>6.5</v>
      </c>
      <c r="H300" s="65">
        <v>8</v>
      </c>
    </row>
    <row r="301" spans="1:8" x14ac:dyDescent="0.25">
      <c r="A301" s="63">
        <v>721200</v>
      </c>
      <c r="B301" s="63">
        <v>202112</v>
      </c>
      <c r="C301" s="64">
        <v>75800</v>
      </c>
      <c r="D301" s="64">
        <v>6.5</v>
      </c>
      <c r="F301" s="93">
        <f>SUM(D290:D301)/12</f>
        <v>6.2527499999999998</v>
      </c>
      <c r="H301" s="65">
        <v>8</v>
      </c>
    </row>
    <row r="302" spans="1:8" x14ac:dyDescent="0.25">
      <c r="A302" s="66" t="s">
        <v>783</v>
      </c>
      <c r="B302" s="63"/>
      <c r="C302" s="67">
        <f>SUM(C290:C301)</f>
        <v>1001596.4799999999</v>
      </c>
      <c r="H302" s="65"/>
    </row>
    <row r="303" spans="1:8" x14ac:dyDescent="0.25">
      <c r="A303" s="63">
        <v>723000</v>
      </c>
      <c r="B303" s="63">
        <v>202101</v>
      </c>
      <c r="C303" s="64">
        <v>18172.46</v>
      </c>
      <c r="D303" s="64">
        <v>2</v>
      </c>
      <c r="H303" s="65">
        <v>2</v>
      </c>
    </row>
    <row r="304" spans="1:8" x14ac:dyDescent="0.25">
      <c r="A304" s="63">
        <v>723000</v>
      </c>
      <c r="B304" s="63">
        <v>202102</v>
      </c>
      <c r="C304" s="64">
        <v>4393.21</v>
      </c>
      <c r="D304" s="95">
        <v>2</v>
      </c>
      <c r="H304" s="65">
        <v>1</v>
      </c>
    </row>
    <row r="305" spans="1:8" x14ac:dyDescent="0.25">
      <c r="A305" s="63">
        <v>723000</v>
      </c>
      <c r="B305" s="63">
        <v>202103</v>
      </c>
      <c r="C305" s="64">
        <v>2220.21</v>
      </c>
      <c r="D305" s="95">
        <v>2</v>
      </c>
      <c r="H305" s="65">
        <v>1</v>
      </c>
    </row>
    <row r="306" spans="1:8" x14ac:dyDescent="0.25">
      <c r="A306" s="63">
        <v>723000</v>
      </c>
      <c r="B306" s="63">
        <v>202104</v>
      </c>
      <c r="C306" s="64">
        <v>2225.29</v>
      </c>
      <c r="D306" s="95">
        <v>2</v>
      </c>
      <c r="H306" s="65">
        <v>1</v>
      </c>
    </row>
    <row r="307" spans="1:8" x14ac:dyDescent="0.25">
      <c r="A307" s="63">
        <v>723000</v>
      </c>
      <c r="B307" s="63">
        <v>202105</v>
      </c>
      <c r="C307" s="64">
        <v>2223.9299999999998</v>
      </c>
      <c r="D307" s="95">
        <v>2</v>
      </c>
      <c r="H307" s="65">
        <v>1</v>
      </c>
    </row>
    <row r="308" spans="1:8" x14ac:dyDescent="0.25">
      <c r="A308" s="63">
        <v>723000</v>
      </c>
      <c r="B308" s="63">
        <v>202106</v>
      </c>
      <c r="C308" s="64">
        <v>2234.5500000000002</v>
      </c>
      <c r="D308" s="95">
        <v>2</v>
      </c>
      <c r="H308" s="65">
        <v>1</v>
      </c>
    </row>
    <row r="309" spans="1:8" x14ac:dyDescent="0.25">
      <c r="A309" s="63">
        <v>723000</v>
      </c>
      <c r="B309" s="63">
        <v>202107</v>
      </c>
      <c r="C309" s="64">
        <v>29097.7</v>
      </c>
      <c r="D309" s="64">
        <v>2</v>
      </c>
      <c r="E309" s="62" t="s">
        <v>784</v>
      </c>
      <c r="H309" s="65">
        <v>2</v>
      </c>
    </row>
    <row r="310" spans="1:8" x14ac:dyDescent="0.25">
      <c r="A310" s="63">
        <v>723000</v>
      </c>
      <c r="B310" s="63">
        <v>202108</v>
      </c>
      <c r="C310" s="64">
        <v>20500</v>
      </c>
      <c r="D310" s="64">
        <v>2</v>
      </c>
      <c r="H310" s="65">
        <v>2</v>
      </c>
    </row>
    <row r="311" spans="1:8" x14ac:dyDescent="0.25">
      <c r="A311" s="63">
        <v>723000</v>
      </c>
      <c r="B311" s="63">
        <v>202109</v>
      </c>
      <c r="C311" s="64">
        <v>20500</v>
      </c>
      <c r="D311" s="64">
        <v>2</v>
      </c>
      <c r="H311" s="65">
        <v>2</v>
      </c>
    </row>
    <row r="312" spans="1:8" x14ac:dyDescent="0.25">
      <c r="A312" s="63">
        <v>723000</v>
      </c>
      <c r="B312" s="63">
        <v>202110</v>
      </c>
      <c r="C312" s="64">
        <v>20500</v>
      </c>
      <c r="D312" s="64">
        <v>2</v>
      </c>
      <c r="H312" s="65">
        <v>2</v>
      </c>
    </row>
    <row r="313" spans="1:8" x14ac:dyDescent="0.25">
      <c r="A313" s="63">
        <v>723000</v>
      </c>
      <c r="B313" s="63">
        <v>202111</v>
      </c>
      <c r="C313" s="64">
        <v>20500</v>
      </c>
      <c r="D313" s="64">
        <v>2</v>
      </c>
      <c r="H313" s="65">
        <v>2</v>
      </c>
    </row>
    <row r="314" spans="1:8" x14ac:dyDescent="0.25">
      <c r="A314" s="63">
        <v>723000</v>
      </c>
      <c r="B314" s="63">
        <v>202112</v>
      </c>
      <c r="C314" s="64">
        <v>20500</v>
      </c>
      <c r="D314" s="64">
        <v>2</v>
      </c>
      <c r="F314" s="93" cm="1">
        <f t="array" ref="F314">SUM(D303:D314/12)</f>
        <v>2</v>
      </c>
      <c r="H314" s="65">
        <v>2</v>
      </c>
    </row>
    <row r="315" spans="1:8" x14ac:dyDescent="0.25">
      <c r="A315" s="66" t="s">
        <v>785</v>
      </c>
      <c r="B315" s="63"/>
      <c r="C315" s="67">
        <f>SUM(C303:C314)</f>
        <v>163067.35</v>
      </c>
      <c r="H315" s="65"/>
    </row>
    <row r="316" spans="1:8" x14ac:dyDescent="0.25">
      <c r="A316" s="63">
        <v>731000</v>
      </c>
      <c r="B316" s="63">
        <v>202101</v>
      </c>
      <c r="C316" s="64">
        <v>181761.31</v>
      </c>
      <c r="D316" s="64">
        <v>8</v>
      </c>
      <c r="H316" s="65">
        <v>8</v>
      </c>
    </row>
    <row r="317" spans="1:8" x14ac:dyDescent="0.25">
      <c r="A317" s="63">
        <v>731000</v>
      </c>
      <c r="B317" s="63">
        <v>202102</v>
      </c>
      <c r="C317" s="64">
        <v>199911.6</v>
      </c>
      <c r="D317" s="64">
        <v>8</v>
      </c>
      <c r="H317" s="65">
        <v>8</v>
      </c>
    </row>
    <row r="318" spans="1:8" x14ac:dyDescent="0.25">
      <c r="A318" s="63">
        <v>731000</v>
      </c>
      <c r="B318" s="63">
        <v>202103</v>
      </c>
      <c r="C318" s="64">
        <v>196364.16</v>
      </c>
      <c r="D318" s="64">
        <v>8</v>
      </c>
      <c r="H318" s="65">
        <v>8</v>
      </c>
    </row>
    <row r="319" spans="1:8" x14ac:dyDescent="0.25">
      <c r="A319" s="63">
        <v>731000</v>
      </c>
      <c r="B319" s="63">
        <v>202104</v>
      </c>
      <c r="C319" s="64">
        <v>200477.87</v>
      </c>
      <c r="D319" s="64">
        <v>8</v>
      </c>
      <c r="H319" s="65">
        <v>8</v>
      </c>
    </row>
    <row r="320" spans="1:8" x14ac:dyDescent="0.25">
      <c r="A320" s="63">
        <v>731000</v>
      </c>
      <c r="B320" s="63">
        <v>202105</v>
      </c>
      <c r="C320" s="64">
        <v>196523.58</v>
      </c>
      <c r="D320" s="64">
        <v>8</v>
      </c>
      <c r="H320" s="65">
        <v>8</v>
      </c>
    </row>
    <row r="321" spans="1:8" x14ac:dyDescent="0.25">
      <c r="A321" s="63">
        <v>731000</v>
      </c>
      <c r="B321" s="63">
        <v>202106</v>
      </c>
      <c r="C321" s="64">
        <v>244686.8</v>
      </c>
      <c r="D321" s="64">
        <v>8</v>
      </c>
      <c r="H321" s="65">
        <v>8</v>
      </c>
    </row>
    <row r="322" spans="1:8" x14ac:dyDescent="0.25">
      <c r="A322" s="63">
        <v>731000</v>
      </c>
      <c r="B322" s="63">
        <v>202107</v>
      </c>
      <c r="C322" s="64">
        <v>223884.7</v>
      </c>
      <c r="D322" s="64">
        <v>8</v>
      </c>
      <c r="H322" s="65">
        <v>9</v>
      </c>
    </row>
    <row r="323" spans="1:8" x14ac:dyDescent="0.25">
      <c r="A323" s="63">
        <v>731000</v>
      </c>
      <c r="B323" s="63">
        <v>202108</v>
      </c>
      <c r="C323" s="64">
        <f>197500+6900</f>
        <v>204400</v>
      </c>
      <c r="D323" s="64">
        <v>8</v>
      </c>
      <c r="H323" s="65">
        <v>9</v>
      </c>
    </row>
    <row r="324" spans="1:8" x14ac:dyDescent="0.25">
      <c r="A324" s="63">
        <v>731000</v>
      </c>
      <c r="B324" s="63">
        <v>202109</v>
      </c>
      <c r="C324" s="64">
        <v>197500</v>
      </c>
      <c r="D324" s="64">
        <v>8</v>
      </c>
      <c r="H324" s="65">
        <v>9</v>
      </c>
    </row>
    <row r="325" spans="1:8" x14ac:dyDescent="0.25">
      <c r="A325" s="63">
        <v>731000</v>
      </c>
      <c r="B325" s="63">
        <v>202110</v>
      </c>
      <c r="C325" s="64">
        <v>197500</v>
      </c>
      <c r="D325" s="64">
        <v>8</v>
      </c>
      <c r="H325" s="65">
        <v>9</v>
      </c>
    </row>
    <row r="326" spans="1:8" x14ac:dyDescent="0.25">
      <c r="A326" s="63">
        <v>731000</v>
      </c>
      <c r="B326" s="63">
        <v>202111</v>
      </c>
      <c r="C326" s="64">
        <v>197500</v>
      </c>
      <c r="D326" s="64">
        <v>8</v>
      </c>
      <c r="H326" s="65">
        <v>9</v>
      </c>
    </row>
    <row r="327" spans="1:8" x14ac:dyDescent="0.25">
      <c r="A327" s="63">
        <v>731000</v>
      </c>
      <c r="B327" s="63">
        <v>202112</v>
      </c>
      <c r="C327" s="64">
        <v>197500</v>
      </c>
      <c r="D327" s="64">
        <v>8</v>
      </c>
      <c r="F327" s="93" cm="1">
        <f t="array" ref="F327">SUM(D316:D327/12)</f>
        <v>8</v>
      </c>
      <c r="H327" s="65">
        <v>9</v>
      </c>
    </row>
    <row r="328" spans="1:8" x14ac:dyDescent="0.25">
      <c r="A328" s="66" t="s">
        <v>786</v>
      </c>
      <c r="B328" s="63"/>
      <c r="C328" s="67">
        <f>SUM(C316:C327)</f>
        <v>2438010.02</v>
      </c>
      <c r="H328" s="65"/>
    </row>
    <row r="329" spans="1:8" x14ac:dyDescent="0.25">
      <c r="A329" s="63">
        <v>733000</v>
      </c>
      <c r="B329" s="63">
        <v>202101</v>
      </c>
      <c r="C329" s="64">
        <v>181649.46</v>
      </c>
      <c r="D329" s="64">
        <v>10.87</v>
      </c>
      <c r="H329" s="65">
        <v>12</v>
      </c>
    </row>
    <row r="330" spans="1:8" x14ac:dyDescent="0.25">
      <c r="A330" s="63">
        <v>733000</v>
      </c>
      <c r="B330" s="63">
        <v>202102</v>
      </c>
      <c r="C330" s="64">
        <v>260452.69</v>
      </c>
      <c r="D330" s="64">
        <v>10</v>
      </c>
      <c r="H330" s="65">
        <v>12</v>
      </c>
    </row>
    <row r="331" spans="1:8" x14ac:dyDescent="0.25">
      <c r="A331" s="63">
        <v>733000</v>
      </c>
      <c r="B331" s="63">
        <v>202103</v>
      </c>
      <c r="C331" s="64">
        <v>206018.95</v>
      </c>
      <c r="D331" s="64">
        <v>10</v>
      </c>
      <c r="H331" s="65">
        <v>12</v>
      </c>
    </row>
    <row r="332" spans="1:8" x14ac:dyDescent="0.25">
      <c r="A332" s="63">
        <v>733000</v>
      </c>
      <c r="B332" s="63">
        <v>202104</v>
      </c>
      <c r="C332" s="64">
        <v>188371.47</v>
      </c>
      <c r="D332" s="64">
        <v>10</v>
      </c>
      <c r="H332" s="65">
        <v>12</v>
      </c>
    </row>
    <row r="333" spans="1:8" x14ac:dyDescent="0.25">
      <c r="A333" s="63">
        <v>733000</v>
      </c>
      <c r="B333" s="63">
        <v>202105</v>
      </c>
      <c r="C333" s="64">
        <v>206140.56</v>
      </c>
      <c r="D333" s="64">
        <v>10</v>
      </c>
      <c r="H333" s="65">
        <v>12</v>
      </c>
    </row>
    <row r="334" spans="1:8" x14ac:dyDescent="0.25">
      <c r="A334" s="63">
        <v>733000</v>
      </c>
      <c r="B334" s="63">
        <v>202106</v>
      </c>
      <c r="C334" s="64">
        <v>247172.35</v>
      </c>
      <c r="D334" s="64">
        <v>10</v>
      </c>
      <c r="H334" s="65">
        <v>11</v>
      </c>
    </row>
    <row r="335" spans="1:8" x14ac:dyDescent="0.25">
      <c r="A335" s="63">
        <v>733000</v>
      </c>
      <c r="B335" s="63">
        <v>202107</v>
      </c>
      <c r="C335" s="64">
        <v>275085.45</v>
      </c>
      <c r="D335" s="64">
        <v>10</v>
      </c>
      <c r="H335" s="65">
        <v>11</v>
      </c>
    </row>
    <row r="336" spans="1:8" x14ac:dyDescent="0.25">
      <c r="A336" s="63">
        <v>733000</v>
      </c>
      <c r="B336" s="63">
        <v>202108</v>
      </c>
      <c r="C336" s="64">
        <v>200000</v>
      </c>
      <c r="D336" s="64">
        <v>10</v>
      </c>
      <c r="H336" s="65">
        <v>11</v>
      </c>
    </row>
    <row r="337" spans="1:8" x14ac:dyDescent="0.25">
      <c r="A337" s="63">
        <v>733000</v>
      </c>
      <c r="B337" s="63">
        <v>202109</v>
      </c>
      <c r="C337" s="64">
        <v>200000</v>
      </c>
      <c r="D337" s="64">
        <v>10</v>
      </c>
      <c r="H337" s="65">
        <v>11</v>
      </c>
    </row>
    <row r="338" spans="1:8" x14ac:dyDescent="0.25">
      <c r="A338" s="63">
        <v>733000</v>
      </c>
      <c r="B338" s="63">
        <v>202110</v>
      </c>
      <c r="C338" s="64">
        <v>210000</v>
      </c>
      <c r="D338" s="64">
        <v>10</v>
      </c>
      <c r="H338" s="65">
        <v>11</v>
      </c>
    </row>
    <row r="339" spans="1:8" x14ac:dyDescent="0.25">
      <c r="A339" s="63">
        <v>733000</v>
      </c>
      <c r="B339" s="63">
        <v>202111</v>
      </c>
      <c r="C339" s="64">
        <v>200000</v>
      </c>
      <c r="D339" s="64">
        <v>10</v>
      </c>
      <c r="H339" s="65">
        <v>11</v>
      </c>
    </row>
    <row r="340" spans="1:8" x14ac:dyDescent="0.25">
      <c r="A340" s="63">
        <v>733000</v>
      </c>
      <c r="B340" s="63">
        <v>202112</v>
      </c>
      <c r="C340" s="64">
        <v>200000</v>
      </c>
      <c r="D340" s="64">
        <v>10</v>
      </c>
      <c r="F340" s="93" cm="1">
        <f t="array" ref="F340">SUM(D329:D340/12)</f>
        <v>10.0725</v>
      </c>
      <c r="H340" s="65">
        <v>11</v>
      </c>
    </row>
    <row r="341" spans="1:8" x14ac:dyDescent="0.25">
      <c r="A341" s="66" t="s">
        <v>787</v>
      </c>
      <c r="B341" s="63"/>
      <c r="C341" s="67">
        <f>SUM(C329:C340)</f>
        <v>2574890.9300000002</v>
      </c>
      <c r="H341" s="65"/>
    </row>
    <row r="342" spans="1:8" x14ac:dyDescent="0.25">
      <c r="A342" s="63">
        <v>741000</v>
      </c>
      <c r="B342" s="63">
        <v>202101</v>
      </c>
      <c r="C342" s="64">
        <v>87872.82</v>
      </c>
      <c r="D342" s="64">
        <v>3</v>
      </c>
      <c r="H342" s="65">
        <v>3</v>
      </c>
    </row>
    <row r="343" spans="1:8" x14ac:dyDescent="0.25">
      <c r="A343" s="63">
        <v>741000</v>
      </c>
      <c r="B343" s="63">
        <v>202102</v>
      </c>
      <c r="C343" s="64">
        <v>81038.05</v>
      </c>
      <c r="D343" s="64">
        <v>3</v>
      </c>
      <c r="H343" s="65">
        <v>3</v>
      </c>
    </row>
    <row r="344" spans="1:8" x14ac:dyDescent="0.25">
      <c r="A344" s="63">
        <v>741000</v>
      </c>
      <c r="B344" s="63">
        <v>202103</v>
      </c>
      <c r="C344" s="64">
        <v>79973.14</v>
      </c>
      <c r="D344" s="64">
        <v>3</v>
      </c>
      <c r="H344" s="65">
        <v>3</v>
      </c>
    </row>
    <row r="345" spans="1:8" x14ac:dyDescent="0.25">
      <c r="A345" s="63">
        <v>741000</v>
      </c>
      <c r="B345" s="63">
        <v>202104</v>
      </c>
      <c r="C345" s="64">
        <v>82320.800000000003</v>
      </c>
      <c r="D345" s="64">
        <v>3</v>
      </c>
      <c r="H345" s="65">
        <v>3</v>
      </c>
    </row>
    <row r="346" spans="1:8" x14ac:dyDescent="0.25">
      <c r="A346" s="63">
        <v>741000</v>
      </c>
      <c r="B346" s="63">
        <v>202105</v>
      </c>
      <c r="C346" s="64">
        <v>81946.59</v>
      </c>
      <c r="D346" s="64">
        <v>3</v>
      </c>
      <c r="H346" s="65">
        <v>3</v>
      </c>
    </row>
    <row r="347" spans="1:8" x14ac:dyDescent="0.25">
      <c r="A347" s="63">
        <v>741000</v>
      </c>
      <c r="B347" s="63">
        <v>202106</v>
      </c>
      <c r="C347" s="64">
        <v>103928.88</v>
      </c>
      <c r="D347" s="64">
        <v>3</v>
      </c>
      <c r="H347" s="65">
        <v>3</v>
      </c>
    </row>
    <row r="348" spans="1:8" x14ac:dyDescent="0.25">
      <c r="A348" s="63">
        <v>741000</v>
      </c>
      <c r="B348" s="63">
        <v>202107</v>
      </c>
      <c r="C348" s="64">
        <v>90385.74</v>
      </c>
      <c r="D348" s="64">
        <v>3</v>
      </c>
      <c r="H348" s="65">
        <v>3</v>
      </c>
    </row>
    <row r="349" spans="1:8" x14ac:dyDescent="0.25">
      <c r="A349" s="63">
        <v>741000</v>
      </c>
      <c r="B349" s="63">
        <v>202108</v>
      </c>
      <c r="C349" s="64">
        <v>82500</v>
      </c>
      <c r="D349" s="64">
        <v>3</v>
      </c>
      <c r="H349" s="65">
        <v>3</v>
      </c>
    </row>
    <row r="350" spans="1:8" x14ac:dyDescent="0.25">
      <c r="A350" s="63">
        <v>741000</v>
      </c>
      <c r="B350" s="63">
        <v>202109</v>
      </c>
      <c r="C350" s="64">
        <f>82500+6200</f>
        <v>88700</v>
      </c>
      <c r="D350" s="64">
        <v>3</v>
      </c>
      <c r="H350" s="65">
        <v>3</v>
      </c>
    </row>
    <row r="351" spans="1:8" x14ac:dyDescent="0.25">
      <c r="A351" s="63">
        <v>741000</v>
      </c>
      <c r="B351" s="63">
        <v>202110</v>
      </c>
      <c r="C351" s="64">
        <v>82500</v>
      </c>
      <c r="D351" s="64">
        <v>3</v>
      </c>
      <c r="H351" s="65">
        <v>3</v>
      </c>
    </row>
    <row r="352" spans="1:8" x14ac:dyDescent="0.25">
      <c r="A352" s="63">
        <v>741000</v>
      </c>
      <c r="B352" s="63">
        <v>202111</v>
      </c>
      <c r="C352" s="64">
        <v>82500</v>
      </c>
      <c r="D352" s="64">
        <v>3</v>
      </c>
      <c r="H352" s="65">
        <v>3</v>
      </c>
    </row>
    <row r="353" spans="1:8" x14ac:dyDescent="0.25">
      <c r="A353" s="63">
        <v>741000</v>
      </c>
      <c r="B353" s="63">
        <v>202112</v>
      </c>
      <c r="C353" s="64">
        <v>82500</v>
      </c>
      <c r="D353" s="64">
        <v>3</v>
      </c>
      <c r="F353" s="93" cm="1">
        <f t="array" ref="F353">SUM(D342:D353/12)</f>
        <v>3</v>
      </c>
      <c r="H353" s="65">
        <v>3</v>
      </c>
    </row>
    <row r="354" spans="1:8" x14ac:dyDescent="0.25">
      <c r="A354" s="66" t="s">
        <v>788</v>
      </c>
      <c r="B354" s="63"/>
      <c r="C354" s="67">
        <f>SUM(C342:C353)</f>
        <v>1026166.02</v>
      </c>
      <c r="H354" s="65"/>
    </row>
    <row r="355" spans="1:8" x14ac:dyDescent="0.25">
      <c r="A355" s="63">
        <v>743000</v>
      </c>
      <c r="B355" s="63">
        <v>202101</v>
      </c>
      <c r="C355" s="64">
        <v>64133.440000000002</v>
      </c>
      <c r="D355" s="64">
        <v>2</v>
      </c>
      <c r="H355" s="65">
        <v>2</v>
      </c>
    </row>
    <row r="356" spans="1:8" x14ac:dyDescent="0.25">
      <c r="A356" s="63">
        <v>743000</v>
      </c>
      <c r="B356" s="63">
        <v>202102</v>
      </c>
      <c r="C356" s="64">
        <v>54289.58</v>
      </c>
      <c r="D356" s="64">
        <v>2</v>
      </c>
      <c r="H356" s="65">
        <v>2</v>
      </c>
    </row>
    <row r="357" spans="1:8" x14ac:dyDescent="0.25">
      <c r="A357" s="63">
        <v>743000</v>
      </c>
      <c r="B357" s="63">
        <v>202103</v>
      </c>
      <c r="C357" s="64">
        <v>50063.47</v>
      </c>
      <c r="D357" s="64">
        <v>2</v>
      </c>
      <c r="H357" s="65">
        <v>2</v>
      </c>
    </row>
    <row r="358" spans="1:8" x14ac:dyDescent="0.25">
      <c r="A358" s="63">
        <v>743000</v>
      </c>
      <c r="B358" s="63">
        <v>202104</v>
      </c>
      <c r="C358" s="64">
        <v>53391.8</v>
      </c>
      <c r="D358" s="64">
        <v>2</v>
      </c>
      <c r="H358" s="65">
        <v>2</v>
      </c>
    </row>
    <row r="359" spans="1:8" x14ac:dyDescent="0.25">
      <c r="A359" s="63">
        <v>743000</v>
      </c>
      <c r="B359" s="63">
        <v>202105</v>
      </c>
      <c r="C359" s="64">
        <v>54277.75</v>
      </c>
      <c r="D359" s="64">
        <v>2</v>
      </c>
      <c r="H359" s="65">
        <v>2</v>
      </c>
    </row>
    <row r="360" spans="1:8" x14ac:dyDescent="0.25">
      <c r="A360" s="63">
        <v>743000</v>
      </c>
      <c r="B360" s="63">
        <v>202106</v>
      </c>
      <c r="C360" s="64">
        <v>63205.5</v>
      </c>
      <c r="D360" s="64">
        <v>2</v>
      </c>
      <c r="H360" s="65">
        <v>2</v>
      </c>
    </row>
    <row r="361" spans="1:8" x14ac:dyDescent="0.25">
      <c r="A361" s="63">
        <v>743000</v>
      </c>
      <c r="B361" s="63">
        <v>202107</v>
      </c>
      <c r="C361" s="64">
        <v>65311.05</v>
      </c>
      <c r="D361" s="64">
        <v>2</v>
      </c>
      <c r="H361" s="65">
        <v>2</v>
      </c>
    </row>
    <row r="362" spans="1:8" x14ac:dyDescent="0.25">
      <c r="A362" s="63">
        <v>743000</v>
      </c>
      <c r="B362" s="63">
        <v>202108</v>
      </c>
      <c r="C362" s="64">
        <v>55000</v>
      </c>
      <c r="D362" s="64">
        <v>2</v>
      </c>
      <c r="H362" s="65">
        <v>2</v>
      </c>
    </row>
    <row r="363" spans="1:8" x14ac:dyDescent="0.25">
      <c r="A363" s="63">
        <v>743000</v>
      </c>
      <c r="B363" s="63">
        <v>202109</v>
      </c>
      <c r="C363" s="64">
        <f>55000+5800</f>
        <v>60800</v>
      </c>
      <c r="D363" s="64">
        <v>2</v>
      </c>
      <c r="H363" s="65">
        <v>2</v>
      </c>
    </row>
    <row r="364" spans="1:8" x14ac:dyDescent="0.25">
      <c r="A364" s="63">
        <v>743000</v>
      </c>
      <c r="B364" s="63">
        <v>202110</v>
      </c>
      <c r="C364" s="64">
        <v>55000</v>
      </c>
      <c r="D364" s="64">
        <v>2</v>
      </c>
      <c r="H364" s="65">
        <v>2</v>
      </c>
    </row>
    <row r="365" spans="1:8" x14ac:dyDescent="0.25">
      <c r="A365" s="63">
        <v>743000</v>
      </c>
      <c r="B365" s="63">
        <v>202111</v>
      </c>
      <c r="C365" s="64">
        <v>55000</v>
      </c>
      <c r="D365" s="64">
        <v>2</v>
      </c>
      <c r="H365" s="65">
        <v>2</v>
      </c>
    </row>
    <row r="366" spans="1:8" x14ac:dyDescent="0.25">
      <c r="A366" s="63">
        <v>743000</v>
      </c>
      <c r="B366" s="63">
        <v>202112</v>
      </c>
      <c r="C366" s="64">
        <v>55000</v>
      </c>
      <c r="D366" s="64">
        <v>2</v>
      </c>
      <c r="F366" s="93" cm="1">
        <f t="array" ref="F366">SUM(D355:D366/12)</f>
        <v>2</v>
      </c>
      <c r="H366" s="65">
        <v>2</v>
      </c>
    </row>
    <row r="367" spans="1:8" x14ac:dyDescent="0.25">
      <c r="A367" s="66" t="s">
        <v>789</v>
      </c>
      <c r="B367" s="63"/>
      <c r="C367" s="67">
        <f>SUM(C355:C366)</f>
        <v>685472.59</v>
      </c>
      <c r="H367" s="65"/>
    </row>
    <row r="368" spans="1:8" x14ac:dyDescent="0.25">
      <c r="A368" s="63">
        <v>746000</v>
      </c>
      <c r="B368" s="63">
        <v>202101</v>
      </c>
      <c r="C368" s="64">
        <v>264007.59000000003</v>
      </c>
      <c r="D368" s="64">
        <v>18.5</v>
      </c>
      <c r="H368" s="65">
        <v>19</v>
      </c>
    </row>
    <row r="369" spans="1:8" x14ac:dyDescent="0.25">
      <c r="A369" s="63">
        <v>746000</v>
      </c>
      <c r="B369" s="63">
        <v>202102</v>
      </c>
      <c r="C369" s="64">
        <v>265243</v>
      </c>
      <c r="D369" s="64">
        <v>18.5</v>
      </c>
      <c r="H369" s="65">
        <v>19</v>
      </c>
    </row>
    <row r="370" spans="1:8" x14ac:dyDescent="0.25">
      <c r="A370" s="63">
        <v>746000</v>
      </c>
      <c r="B370" s="63">
        <v>202103</v>
      </c>
      <c r="C370" s="64">
        <v>298392.28999999998</v>
      </c>
      <c r="D370" s="64">
        <v>19.5</v>
      </c>
      <c r="H370" s="65">
        <v>20</v>
      </c>
    </row>
    <row r="371" spans="1:8" x14ac:dyDescent="0.25">
      <c r="A371" s="63">
        <v>746000</v>
      </c>
      <c r="B371" s="63">
        <v>202104</v>
      </c>
      <c r="C371" s="64">
        <v>285667.5</v>
      </c>
      <c r="D371" s="64">
        <v>19.5</v>
      </c>
      <c r="H371" s="65">
        <v>21</v>
      </c>
    </row>
    <row r="372" spans="1:8" x14ac:dyDescent="0.25">
      <c r="A372" s="63">
        <v>746000</v>
      </c>
      <c r="B372" s="63">
        <v>202105</v>
      </c>
      <c r="C372" s="64">
        <v>286781.36</v>
      </c>
      <c r="D372" s="64">
        <v>17.919</v>
      </c>
      <c r="H372" s="65">
        <v>23</v>
      </c>
    </row>
    <row r="373" spans="1:8" x14ac:dyDescent="0.25">
      <c r="A373" s="63">
        <v>746000</v>
      </c>
      <c r="B373" s="63">
        <v>202106</v>
      </c>
      <c r="C373" s="64">
        <v>372136.53</v>
      </c>
      <c r="D373" s="64">
        <v>17.5</v>
      </c>
      <c r="H373" s="65">
        <v>19</v>
      </c>
    </row>
    <row r="374" spans="1:8" x14ac:dyDescent="0.25">
      <c r="A374" s="63">
        <v>746000</v>
      </c>
      <c r="B374" s="63">
        <v>202107</v>
      </c>
      <c r="C374" s="64">
        <v>308734.87</v>
      </c>
      <c r="D374" s="64">
        <v>17.5</v>
      </c>
      <c r="H374" s="65">
        <v>24</v>
      </c>
    </row>
    <row r="375" spans="1:8" x14ac:dyDescent="0.25">
      <c r="A375" s="63">
        <v>746000</v>
      </c>
      <c r="B375" s="63">
        <v>202108</v>
      </c>
      <c r="C375" s="64">
        <v>286000</v>
      </c>
      <c r="D375" s="64">
        <v>17.5</v>
      </c>
      <c r="H375" s="65">
        <v>24</v>
      </c>
    </row>
    <row r="376" spans="1:8" x14ac:dyDescent="0.25">
      <c r="A376" s="63">
        <v>746000</v>
      </c>
      <c r="B376" s="63">
        <v>202109</v>
      </c>
      <c r="C376" s="64">
        <f>286000+35000</f>
        <v>321000</v>
      </c>
      <c r="D376" s="64">
        <v>17.5</v>
      </c>
      <c r="E376" s="62" t="s">
        <v>790</v>
      </c>
      <c r="H376" s="65">
        <v>24</v>
      </c>
    </row>
    <row r="377" spans="1:8" x14ac:dyDescent="0.25">
      <c r="A377" s="63">
        <v>746000</v>
      </c>
      <c r="B377" s="63">
        <v>202110</v>
      </c>
      <c r="C377" s="64">
        <v>286000</v>
      </c>
      <c r="D377" s="64">
        <v>17.5</v>
      </c>
      <c r="H377" s="65">
        <v>24</v>
      </c>
    </row>
    <row r="378" spans="1:8" x14ac:dyDescent="0.25">
      <c r="A378" s="63">
        <v>746000</v>
      </c>
      <c r="B378" s="63">
        <v>202111</v>
      </c>
      <c r="C378" s="64">
        <v>286000</v>
      </c>
      <c r="D378" s="64">
        <v>17.5</v>
      </c>
      <c r="H378" s="65">
        <v>24</v>
      </c>
    </row>
    <row r="379" spans="1:8" x14ac:dyDescent="0.25">
      <c r="A379" s="63">
        <v>746000</v>
      </c>
      <c r="B379" s="63">
        <v>202112</v>
      </c>
      <c r="C379" s="64">
        <v>286000</v>
      </c>
      <c r="D379" s="64">
        <v>17.5</v>
      </c>
      <c r="F379" s="93" cm="1">
        <f t="array" ref="F379">SUM(D368:D379/12)</f>
        <v>18.034916666666668</v>
      </c>
      <c r="H379" s="65">
        <v>24</v>
      </c>
    </row>
    <row r="380" spans="1:8" x14ac:dyDescent="0.25">
      <c r="A380" s="66" t="s">
        <v>791</v>
      </c>
      <c r="B380" s="63"/>
      <c r="C380" s="67">
        <f>SUM(C368:C379)</f>
        <v>3545963.14</v>
      </c>
      <c r="H380" s="65"/>
    </row>
    <row r="381" spans="1:8" x14ac:dyDescent="0.25">
      <c r="A381" s="63">
        <v>746100</v>
      </c>
      <c r="B381" s="63">
        <v>202101</v>
      </c>
      <c r="C381" s="64">
        <v>17657.38</v>
      </c>
      <c r="D381" s="64">
        <v>1</v>
      </c>
      <c r="H381" s="65">
        <v>1</v>
      </c>
    </row>
    <row r="382" spans="1:8" x14ac:dyDescent="0.25">
      <c r="A382" s="63">
        <v>746100</v>
      </c>
      <c r="B382" s="63">
        <v>202102</v>
      </c>
      <c r="C382" s="64">
        <v>14712.17</v>
      </c>
      <c r="D382" s="64">
        <v>1</v>
      </c>
      <c r="H382" s="65">
        <v>1</v>
      </c>
    </row>
    <row r="383" spans="1:8" x14ac:dyDescent="0.25">
      <c r="A383" s="63">
        <v>746100</v>
      </c>
      <c r="B383" s="63">
        <v>202103</v>
      </c>
      <c r="C383" s="64">
        <v>14861.19</v>
      </c>
      <c r="D383" s="64">
        <v>1</v>
      </c>
      <c r="H383" s="65">
        <v>1</v>
      </c>
    </row>
    <row r="384" spans="1:8" x14ac:dyDescent="0.25">
      <c r="A384" s="63">
        <v>746100</v>
      </c>
      <c r="B384" s="63">
        <v>202104</v>
      </c>
      <c r="C384" s="64">
        <v>24311.91</v>
      </c>
      <c r="D384" s="64">
        <v>1</v>
      </c>
      <c r="H384" s="65">
        <v>1</v>
      </c>
    </row>
    <row r="385" spans="1:8" x14ac:dyDescent="0.25">
      <c r="A385" s="63">
        <v>746100</v>
      </c>
      <c r="B385" s="63">
        <v>202105</v>
      </c>
      <c r="C385" s="64">
        <v>23985.61</v>
      </c>
      <c r="D385" s="64">
        <v>1</v>
      </c>
      <c r="H385" s="65">
        <v>1</v>
      </c>
    </row>
    <row r="386" spans="1:8" x14ac:dyDescent="0.25">
      <c r="A386" s="63">
        <v>746100</v>
      </c>
      <c r="B386" s="63">
        <v>202106</v>
      </c>
      <c r="C386" s="64">
        <v>21235.38</v>
      </c>
      <c r="D386" s="64">
        <v>1</v>
      </c>
      <c r="H386" s="65">
        <v>1</v>
      </c>
    </row>
    <row r="387" spans="1:8" x14ac:dyDescent="0.25">
      <c r="A387" s="63">
        <v>746100</v>
      </c>
      <c r="B387" s="63">
        <v>202107</v>
      </c>
      <c r="C387" s="64">
        <v>17719.080000000002</v>
      </c>
      <c r="D387" s="64">
        <v>1</v>
      </c>
      <c r="H387" s="65">
        <v>1</v>
      </c>
    </row>
    <row r="388" spans="1:8" x14ac:dyDescent="0.25">
      <c r="A388" s="63">
        <v>746100</v>
      </c>
      <c r="B388" s="63">
        <v>202108</v>
      </c>
      <c r="C388" s="64">
        <v>15000</v>
      </c>
      <c r="D388" s="64">
        <v>1</v>
      </c>
      <c r="H388" s="65">
        <v>1</v>
      </c>
    </row>
    <row r="389" spans="1:8" x14ac:dyDescent="0.25">
      <c r="A389" s="63">
        <v>746100</v>
      </c>
      <c r="B389" s="63">
        <v>202109</v>
      </c>
      <c r="C389" s="64">
        <v>15000</v>
      </c>
      <c r="D389" s="64">
        <v>1</v>
      </c>
      <c r="H389" s="65">
        <v>1</v>
      </c>
    </row>
    <row r="390" spans="1:8" x14ac:dyDescent="0.25">
      <c r="A390" s="63">
        <v>746100</v>
      </c>
      <c r="B390" s="63">
        <v>202110</v>
      </c>
      <c r="C390" s="64">
        <v>15000</v>
      </c>
      <c r="D390" s="64">
        <v>1</v>
      </c>
      <c r="H390" s="65">
        <v>1</v>
      </c>
    </row>
    <row r="391" spans="1:8" x14ac:dyDescent="0.25">
      <c r="A391" s="63">
        <v>746100</v>
      </c>
      <c r="B391" s="63">
        <v>202111</v>
      </c>
      <c r="C391" s="64">
        <v>15000</v>
      </c>
      <c r="D391" s="64">
        <v>1</v>
      </c>
      <c r="H391" s="65">
        <v>1</v>
      </c>
    </row>
    <row r="392" spans="1:8" x14ac:dyDescent="0.25">
      <c r="A392" s="63">
        <v>746100</v>
      </c>
      <c r="B392" s="63">
        <v>202112</v>
      </c>
      <c r="C392" s="64">
        <v>15000</v>
      </c>
      <c r="D392" s="64">
        <v>1</v>
      </c>
      <c r="F392" s="93" cm="1">
        <f t="array" ref="F392">SUM(D381:D392/12)</f>
        <v>1</v>
      </c>
      <c r="H392" s="65">
        <v>1</v>
      </c>
    </row>
    <row r="393" spans="1:8" x14ac:dyDescent="0.25">
      <c r="A393" s="66" t="s">
        <v>792</v>
      </c>
      <c r="B393" s="63"/>
      <c r="C393" s="67">
        <f>SUM(C381:C392)</f>
        <v>209482.72000000003</v>
      </c>
      <c r="H393" s="65"/>
    </row>
    <row r="394" spans="1:8" x14ac:dyDescent="0.25">
      <c r="A394" s="63">
        <v>746200</v>
      </c>
      <c r="B394" s="63">
        <v>202101</v>
      </c>
      <c r="C394" s="64">
        <v>59327.73</v>
      </c>
      <c r="D394" s="64">
        <v>4.5999999999999996</v>
      </c>
      <c r="H394" s="65">
        <v>6</v>
      </c>
    </row>
    <row r="395" spans="1:8" x14ac:dyDescent="0.25">
      <c r="A395" s="63">
        <v>746200</v>
      </c>
      <c r="B395" s="63">
        <v>202102</v>
      </c>
      <c r="C395" s="64">
        <v>51102.89</v>
      </c>
      <c r="D395" s="64">
        <v>4.5999999999999996</v>
      </c>
      <c r="H395" s="65">
        <v>5</v>
      </c>
    </row>
    <row r="396" spans="1:8" x14ac:dyDescent="0.25">
      <c r="A396" s="63">
        <v>746200</v>
      </c>
      <c r="B396" s="63">
        <v>202103</v>
      </c>
      <c r="C396" s="64">
        <v>56052.28</v>
      </c>
      <c r="D396" s="64">
        <v>4.5999999999999996</v>
      </c>
      <c r="H396" s="65">
        <v>6</v>
      </c>
    </row>
    <row r="397" spans="1:8" x14ac:dyDescent="0.25">
      <c r="A397" s="63">
        <v>746200</v>
      </c>
      <c r="B397" s="63">
        <v>202104</v>
      </c>
      <c r="C397" s="64">
        <v>65566.06</v>
      </c>
      <c r="D397" s="64">
        <v>4.5999999999999996</v>
      </c>
      <c r="H397" s="65">
        <v>6</v>
      </c>
    </row>
    <row r="398" spans="1:8" x14ac:dyDescent="0.25">
      <c r="A398" s="63">
        <v>746200</v>
      </c>
      <c r="B398" s="63">
        <v>202105</v>
      </c>
      <c r="C398" s="64">
        <v>66212.44</v>
      </c>
      <c r="D398" s="64">
        <v>4.5999999999999996</v>
      </c>
      <c r="H398" s="65">
        <v>6</v>
      </c>
    </row>
    <row r="399" spans="1:8" x14ac:dyDescent="0.25">
      <c r="A399" s="63">
        <v>746200</v>
      </c>
      <c r="B399" s="63">
        <v>202106</v>
      </c>
      <c r="C399" s="64">
        <v>91946.39</v>
      </c>
      <c r="D399" s="64">
        <v>4.5999999999999996</v>
      </c>
      <c r="H399" s="65">
        <v>6</v>
      </c>
    </row>
    <row r="400" spans="1:8" x14ac:dyDescent="0.25">
      <c r="A400" s="63">
        <v>746200</v>
      </c>
      <c r="B400" s="63">
        <v>202107</v>
      </c>
      <c r="C400" s="64">
        <v>55661.09</v>
      </c>
      <c r="D400" s="64">
        <v>3.6</v>
      </c>
      <c r="H400" s="65">
        <v>5</v>
      </c>
    </row>
    <row r="401" spans="1:8" x14ac:dyDescent="0.25">
      <c r="A401" s="63">
        <v>746200</v>
      </c>
      <c r="B401" s="63">
        <v>202108</v>
      </c>
      <c r="C401" s="64">
        <v>55000</v>
      </c>
      <c r="D401" s="64">
        <v>3.6</v>
      </c>
      <c r="H401" s="65">
        <v>4</v>
      </c>
    </row>
    <row r="402" spans="1:8" x14ac:dyDescent="0.25">
      <c r="A402" s="63">
        <v>746200</v>
      </c>
      <c r="B402" s="63">
        <v>202109</v>
      </c>
      <c r="C402" s="64">
        <f>55000+6100</f>
        <v>61100</v>
      </c>
      <c r="D402" s="64">
        <v>3.6</v>
      </c>
      <c r="H402" s="65">
        <v>4</v>
      </c>
    </row>
    <row r="403" spans="1:8" x14ac:dyDescent="0.25">
      <c r="A403" s="63">
        <v>746200</v>
      </c>
      <c r="B403" s="63">
        <v>202110</v>
      </c>
      <c r="C403" s="64">
        <v>55000</v>
      </c>
      <c r="D403" s="64">
        <v>3.6</v>
      </c>
      <c r="H403" s="65">
        <v>4</v>
      </c>
    </row>
    <row r="404" spans="1:8" x14ac:dyDescent="0.25">
      <c r="A404" s="63">
        <v>746200</v>
      </c>
      <c r="B404" s="63">
        <v>202111</v>
      </c>
      <c r="C404" s="64">
        <v>55000</v>
      </c>
      <c r="D404" s="64">
        <v>3.6</v>
      </c>
      <c r="H404" s="65">
        <v>4</v>
      </c>
    </row>
    <row r="405" spans="1:8" x14ac:dyDescent="0.25">
      <c r="A405" s="63">
        <v>746200</v>
      </c>
      <c r="B405" s="63">
        <v>202112</v>
      </c>
      <c r="C405" s="64">
        <v>55000</v>
      </c>
      <c r="D405" s="64">
        <v>3.6</v>
      </c>
      <c r="F405" s="93" cm="1">
        <f t="array" ref="F405">SUM(D394:D405/12)</f>
        <v>4.0999999999999988</v>
      </c>
      <c r="H405" s="65">
        <v>4</v>
      </c>
    </row>
    <row r="406" spans="1:8" x14ac:dyDescent="0.25">
      <c r="A406" s="66" t="s">
        <v>793</v>
      </c>
      <c r="B406" s="63"/>
      <c r="C406" s="67">
        <f>SUM(C394:C405)</f>
        <v>726968.88</v>
      </c>
      <c r="H406" s="65"/>
    </row>
    <row r="407" spans="1:8" x14ac:dyDescent="0.25">
      <c r="A407" s="63">
        <v>761000</v>
      </c>
      <c r="B407" s="63">
        <v>202101</v>
      </c>
      <c r="C407" s="64">
        <v>117350.51</v>
      </c>
      <c r="D407" s="64">
        <v>7.45</v>
      </c>
      <c r="H407" s="65">
        <v>8</v>
      </c>
    </row>
    <row r="408" spans="1:8" x14ac:dyDescent="0.25">
      <c r="A408" s="63">
        <v>761000</v>
      </c>
      <c r="B408" s="63">
        <v>202102</v>
      </c>
      <c r="C408" s="64">
        <v>110985.3</v>
      </c>
      <c r="D408" s="64">
        <v>7.45</v>
      </c>
      <c r="H408" s="65">
        <v>9</v>
      </c>
    </row>
    <row r="409" spans="1:8" x14ac:dyDescent="0.25">
      <c r="A409" s="63">
        <v>761000</v>
      </c>
      <c r="B409" s="63">
        <v>202103</v>
      </c>
      <c r="C409" s="64">
        <v>113115.71</v>
      </c>
      <c r="D409" s="64">
        <v>7.45</v>
      </c>
      <c r="H409" s="65">
        <v>8</v>
      </c>
    </row>
    <row r="410" spans="1:8" x14ac:dyDescent="0.25">
      <c r="A410" s="63">
        <v>761000</v>
      </c>
      <c r="B410" s="63">
        <v>202104</v>
      </c>
      <c r="C410" s="64">
        <v>123491.58</v>
      </c>
      <c r="D410" s="64">
        <v>7.45</v>
      </c>
      <c r="H410" s="65">
        <v>8</v>
      </c>
    </row>
    <row r="411" spans="1:8" x14ac:dyDescent="0.25">
      <c r="A411" s="63">
        <v>761000</v>
      </c>
      <c r="B411" s="63">
        <v>202105</v>
      </c>
      <c r="C411" s="64">
        <v>128574.37</v>
      </c>
      <c r="D411" s="64">
        <v>7.45</v>
      </c>
      <c r="H411" s="65">
        <v>8</v>
      </c>
    </row>
    <row r="412" spans="1:8" x14ac:dyDescent="0.25">
      <c r="A412" s="63">
        <v>761000</v>
      </c>
      <c r="B412" s="63">
        <v>202106</v>
      </c>
      <c r="C412" s="64">
        <v>173313</v>
      </c>
      <c r="D412" s="64">
        <v>7.45</v>
      </c>
      <c r="H412" s="65">
        <v>8</v>
      </c>
    </row>
    <row r="413" spans="1:8" x14ac:dyDescent="0.25">
      <c r="A413" s="63">
        <v>761000</v>
      </c>
      <c r="B413" s="63">
        <v>202107</v>
      </c>
      <c r="C413" s="64">
        <v>138381.20000000001</v>
      </c>
      <c r="D413" s="64">
        <v>7.5039999999999996</v>
      </c>
      <c r="H413" s="65">
        <v>9</v>
      </c>
    </row>
    <row r="414" spans="1:8" x14ac:dyDescent="0.25">
      <c r="A414" s="63">
        <v>761000</v>
      </c>
      <c r="B414" s="63">
        <v>202108</v>
      </c>
      <c r="C414" s="64">
        <v>125000</v>
      </c>
      <c r="D414" s="64">
        <v>7.5039999999999996</v>
      </c>
      <c r="H414" s="65">
        <v>8</v>
      </c>
    </row>
    <row r="415" spans="1:8" x14ac:dyDescent="0.25">
      <c r="A415" s="63">
        <v>761000</v>
      </c>
      <c r="B415" s="63">
        <v>202109</v>
      </c>
      <c r="C415" s="64">
        <f>125000+30000</f>
        <v>155000</v>
      </c>
      <c r="D415" s="64">
        <v>7.5039999999999996</v>
      </c>
      <c r="H415" s="65">
        <v>8</v>
      </c>
    </row>
    <row r="416" spans="1:8" x14ac:dyDescent="0.25">
      <c r="A416" s="63">
        <v>761000</v>
      </c>
      <c r="B416" s="63">
        <v>202110</v>
      </c>
      <c r="C416" s="64">
        <v>125000</v>
      </c>
      <c r="D416" s="64">
        <v>7.5039999999999996</v>
      </c>
      <c r="H416" s="65">
        <v>8</v>
      </c>
    </row>
    <row r="417" spans="1:8" x14ac:dyDescent="0.25">
      <c r="A417" s="63">
        <v>761000</v>
      </c>
      <c r="B417" s="63">
        <v>202111</v>
      </c>
      <c r="C417" s="64">
        <v>125000</v>
      </c>
      <c r="D417" s="64">
        <v>7.5039999999999996</v>
      </c>
      <c r="H417" s="65">
        <v>8</v>
      </c>
    </row>
    <row r="418" spans="1:8" x14ac:dyDescent="0.25">
      <c r="A418" s="63">
        <v>761000</v>
      </c>
      <c r="B418" s="63">
        <v>202112</v>
      </c>
      <c r="C418" s="64">
        <v>125000</v>
      </c>
      <c r="D418" s="64">
        <v>7.5039999999999996</v>
      </c>
      <c r="F418" s="93" cm="1">
        <f t="array" ref="F418">SUM(D407:D418/12)</f>
        <v>7.4770000000000021</v>
      </c>
      <c r="H418" s="65">
        <v>8</v>
      </c>
    </row>
    <row r="419" spans="1:8" x14ac:dyDescent="0.25">
      <c r="A419" s="66" t="s">
        <v>794</v>
      </c>
      <c r="B419" s="63"/>
      <c r="C419" s="67">
        <f>SUM(C407:C418)</f>
        <v>1560211.67</v>
      </c>
      <c r="H419" s="65"/>
    </row>
    <row r="420" spans="1:8" x14ac:dyDescent="0.25">
      <c r="A420" s="63">
        <v>764000</v>
      </c>
      <c r="B420" s="63">
        <v>202101</v>
      </c>
      <c r="C420" s="64">
        <v>13583.02</v>
      </c>
      <c r="D420" s="64">
        <v>1</v>
      </c>
      <c r="H420" s="65">
        <v>1</v>
      </c>
    </row>
    <row r="421" spans="1:8" x14ac:dyDescent="0.25">
      <c r="A421" s="63">
        <v>764000</v>
      </c>
      <c r="B421" s="63">
        <v>202102</v>
      </c>
      <c r="C421" s="64">
        <v>13822.07</v>
      </c>
      <c r="D421" s="64">
        <v>1</v>
      </c>
      <c r="H421" s="65">
        <v>1</v>
      </c>
    </row>
    <row r="422" spans="1:8" x14ac:dyDescent="0.25">
      <c r="A422" s="63">
        <v>764000</v>
      </c>
      <c r="B422" s="63">
        <v>202103</v>
      </c>
      <c r="C422" s="64">
        <v>15032.03</v>
      </c>
      <c r="D422" s="64">
        <v>1</v>
      </c>
      <c r="H422" s="65">
        <v>1</v>
      </c>
    </row>
    <row r="423" spans="1:8" x14ac:dyDescent="0.25">
      <c r="A423" s="63">
        <v>764000</v>
      </c>
      <c r="B423" s="63">
        <v>202104</v>
      </c>
      <c r="C423" s="64">
        <v>12643.71</v>
      </c>
      <c r="D423" s="64">
        <v>1</v>
      </c>
      <c r="H423" s="65">
        <v>1</v>
      </c>
    </row>
    <row r="424" spans="1:8" x14ac:dyDescent="0.25">
      <c r="A424" s="63">
        <v>764000</v>
      </c>
      <c r="B424" s="63">
        <v>202105</v>
      </c>
      <c r="C424" s="64">
        <v>14402.69</v>
      </c>
      <c r="D424" s="64">
        <v>1</v>
      </c>
      <c r="H424" s="65">
        <v>1</v>
      </c>
    </row>
    <row r="425" spans="1:8" x14ac:dyDescent="0.25">
      <c r="A425" s="63">
        <v>764000</v>
      </c>
      <c r="B425" s="63">
        <v>202106</v>
      </c>
      <c r="C425" s="64">
        <v>21498.16</v>
      </c>
      <c r="D425" s="64">
        <v>1</v>
      </c>
      <c r="H425" s="65">
        <v>1</v>
      </c>
    </row>
    <row r="426" spans="1:8" x14ac:dyDescent="0.25">
      <c r="A426" s="63">
        <v>764000</v>
      </c>
      <c r="B426" s="63">
        <v>202107</v>
      </c>
      <c r="C426" s="64">
        <v>16358.24</v>
      </c>
      <c r="D426" s="64">
        <v>1</v>
      </c>
      <c r="H426" s="65">
        <v>1</v>
      </c>
    </row>
    <row r="427" spans="1:8" x14ac:dyDescent="0.25">
      <c r="A427" s="63">
        <v>764000</v>
      </c>
      <c r="B427" s="63">
        <v>202108</v>
      </c>
      <c r="C427" s="64">
        <v>14500</v>
      </c>
      <c r="D427" s="64">
        <v>1</v>
      </c>
      <c r="H427" s="65">
        <v>1</v>
      </c>
    </row>
    <row r="428" spans="1:8" x14ac:dyDescent="0.25">
      <c r="A428" s="63">
        <v>764000</v>
      </c>
      <c r="B428" s="63">
        <v>202109</v>
      </c>
      <c r="C428" s="64">
        <v>14500</v>
      </c>
      <c r="D428" s="64">
        <v>1</v>
      </c>
      <c r="H428" s="65">
        <v>1</v>
      </c>
    </row>
    <row r="429" spans="1:8" x14ac:dyDescent="0.25">
      <c r="A429" s="63">
        <v>764000</v>
      </c>
      <c r="B429" s="63">
        <v>202110</v>
      </c>
      <c r="C429" s="64">
        <v>14500</v>
      </c>
      <c r="D429" s="64">
        <v>1</v>
      </c>
      <c r="H429" s="65">
        <v>1</v>
      </c>
    </row>
    <row r="430" spans="1:8" x14ac:dyDescent="0.25">
      <c r="A430" s="63">
        <v>764000</v>
      </c>
      <c r="B430" s="63">
        <v>202111</v>
      </c>
      <c r="C430" s="64">
        <v>14500</v>
      </c>
      <c r="D430" s="64">
        <v>1</v>
      </c>
      <c r="H430" s="65">
        <v>1</v>
      </c>
    </row>
    <row r="431" spans="1:8" x14ac:dyDescent="0.25">
      <c r="A431" s="63">
        <v>764000</v>
      </c>
      <c r="B431" s="63">
        <v>202112</v>
      </c>
      <c r="C431" s="64">
        <v>14500</v>
      </c>
      <c r="D431" s="64">
        <v>1</v>
      </c>
      <c r="F431" s="93" cm="1">
        <f t="array" ref="F431">SUM(D420:D431/12)</f>
        <v>1</v>
      </c>
      <c r="H431" s="65">
        <v>1</v>
      </c>
    </row>
    <row r="432" spans="1:8" x14ac:dyDescent="0.25">
      <c r="A432" s="66" t="s">
        <v>795</v>
      </c>
      <c r="B432" s="63"/>
      <c r="C432" s="67">
        <f>SUM(C420:C431)</f>
        <v>179839.92</v>
      </c>
      <c r="H432" s="65"/>
    </row>
    <row r="433" spans="1:8" x14ac:dyDescent="0.25">
      <c r="A433" s="63">
        <v>770000</v>
      </c>
      <c r="B433" s="63">
        <v>202101</v>
      </c>
      <c r="C433" s="64">
        <v>49072.08</v>
      </c>
      <c r="D433" s="64">
        <v>2</v>
      </c>
      <c r="H433" s="65">
        <v>2</v>
      </c>
    </row>
    <row r="434" spans="1:8" x14ac:dyDescent="0.25">
      <c r="A434" s="63">
        <v>770000</v>
      </c>
      <c r="B434" s="63">
        <v>202102</v>
      </c>
      <c r="C434" s="64">
        <v>44642.080000000002</v>
      </c>
      <c r="D434" s="64">
        <v>2</v>
      </c>
      <c r="H434" s="65">
        <v>2</v>
      </c>
    </row>
    <row r="435" spans="1:8" x14ac:dyDescent="0.25">
      <c r="A435" s="63">
        <v>770000</v>
      </c>
      <c r="B435" s="63">
        <v>202103</v>
      </c>
      <c r="C435" s="64">
        <v>44612.76</v>
      </c>
      <c r="D435" s="64">
        <v>2</v>
      </c>
      <c r="H435" s="65">
        <v>2</v>
      </c>
    </row>
    <row r="436" spans="1:8" x14ac:dyDescent="0.25">
      <c r="A436" s="63">
        <v>770000</v>
      </c>
      <c r="B436" s="63">
        <v>202104</v>
      </c>
      <c r="C436" s="64">
        <v>47026.67</v>
      </c>
      <c r="D436" s="64">
        <v>2</v>
      </c>
      <c r="H436" s="65">
        <v>2</v>
      </c>
    </row>
    <row r="437" spans="1:8" x14ac:dyDescent="0.25">
      <c r="A437" s="63">
        <v>770000</v>
      </c>
      <c r="B437" s="63">
        <v>202105</v>
      </c>
      <c r="C437" s="64">
        <v>45186.62</v>
      </c>
      <c r="D437" s="64">
        <v>2</v>
      </c>
      <c r="H437" s="65">
        <v>2</v>
      </c>
    </row>
    <row r="438" spans="1:8" x14ac:dyDescent="0.25">
      <c r="A438" s="63">
        <v>770000</v>
      </c>
      <c r="B438" s="63">
        <v>202106</v>
      </c>
      <c r="C438" s="64">
        <v>57984.22</v>
      </c>
      <c r="D438" s="64">
        <v>2</v>
      </c>
      <c r="H438" s="65">
        <v>2</v>
      </c>
    </row>
    <row r="439" spans="1:8" x14ac:dyDescent="0.25">
      <c r="A439" s="63">
        <v>770000</v>
      </c>
      <c r="B439" s="63">
        <v>202107</v>
      </c>
      <c r="C439" s="64">
        <v>49833.59</v>
      </c>
      <c r="D439" s="64">
        <v>2</v>
      </c>
      <c r="H439" s="65">
        <v>2</v>
      </c>
    </row>
    <row r="440" spans="1:8" x14ac:dyDescent="0.25">
      <c r="A440" s="63">
        <v>770000</v>
      </c>
      <c r="B440" s="63">
        <v>202108</v>
      </c>
      <c r="C440" s="64">
        <v>45000</v>
      </c>
      <c r="D440" s="64">
        <v>2</v>
      </c>
      <c r="H440" s="65">
        <v>2</v>
      </c>
    </row>
    <row r="441" spans="1:8" x14ac:dyDescent="0.25">
      <c r="A441" s="63">
        <v>770000</v>
      </c>
      <c r="B441" s="63">
        <v>202109</v>
      </c>
      <c r="C441" s="64">
        <v>45000</v>
      </c>
      <c r="D441" s="64">
        <v>2</v>
      </c>
      <c r="H441" s="65">
        <v>2</v>
      </c>
    </row>
    <row r="442" spans="1:8" x14ac:dyDescent="0.25">
      <c r="A442" s="63">
        <v>770000</v>
      </c>
      <c r="B442" s="63">
        <v>202110</v>
      </c>
      <c r="C442" s="64">
        <v>45000</v>
      </c>
      <c r="D442" s="64">
        <v>2</v>
      </c>
      <c r="H442" s="65">
        <v>2</v>
      </c>
    </row>
    <row r="443" spans="1:8" x14ac:dyDescent="0.25">
      <c r="A443" s="63">
        <v>770000</v>
      </c>
      <c r="B443" s="63">
        <v>202111</v>
      </c>
      <c r="C443" s="64">
        <v>45000</v>
      </c>
      <c r="D443" s="64">
        <v>2</v>
      </c>
      <c r="H443" s="65">
        <v>2</v>
      </c>
    </row>
    <row r="444" spans="1:8" x14ac:dyDescent="0.25">
      <c r="A444" s="63">
        <v>770000</v>
      </c>
      <c r="B444" s="63">
        <v>202112</v>
      </c>
      <c r="C444" s="64">
        <v>45000</v>
      </c>
      <c r="D444" s="64">
        <v>2</v>
      </c>
      <c r="F444" s="93" cm="1">
        <f t="array" ref="F444">SUM(D433:D444/12)</f>
        <v>2</v>
      </c>
      <c r="H444" s="65">
        <v>2</v>
      </c>
    </row>
    <row r="445" spans="1:8" x14ac:dyDescent="0.25">
      <c r="A445" s="66" t="s">
        <v>796</v>
      </c>
      <c r="B445" s="63"/>
      <c r="C445" s="67">
        <f>SUM(C433:C444)</f>
        <v>563358.02</v>
      </c>
      <c r="H445" s="65"/>
    </row>
    <row r="446" spans="1:8" x14ac:dyDescent="0.25">
      <c r="A446" s="63">
        <v>772000</v>
      </c>
      <c r="B446" s="63">
        <v>202102</v>
      </c>
      <c r="C446" s="64">
        <v>24453.66</v>
      </c>
      <c r="D446" s="64">
        <v>1.8</v>
      </c>
      <c r="H446" s="65">
        <v>2</v>
      </c>
    </row>
    <row r="447" spans="1:8" x14ac:dyDescent="0.25">
      <c r="A447" s="63">
        <v>772000</v>
      </c>
      <c r="B447" s="63">
        <v>202103</v>
      </c>
      <c r="C447" s="64">
        <v>39205.94</v>
      </c>
      <c r="D447" s="64">
        <v>2.8</v>
      </c>
      <c r="H447" s="65">
        <v>3</v>
      </c>
    </row>
    <row r="448" spans="1:8" x14ac:dyDescent="0.25">
      <c r="A448" s="63">
        <v>772000</v>
      </c>
      <c r="B448" s="63">
        <v>202104</v>
      </c>
      <c r="C448" s="64">
        <v>57128.6</v>
      </c>
      <c r="D448" s="64">
        <v>4</v>
      </c>
      <c r="H448" s="65">
        <v>4</v>
      </c>
    </row>
    <row r="449" spans="1:8" x14ac:dyDescent="0.25">
      <c r="A449" s="63">
        <v>772000</v>
      </c>
      <c r="B449" s="63">
        <v>202105</v>
      </c>
      <c r="C449" s="64">
        <v>58954.12</v>
      </c>
      <c r="D449" s="64">
        <v>4</v>
      </c>
      <c r="H449" s="65">
        <v>4</v>
      </c>
    </row>
    <row r="450" spans="1:8" x14ac:dyDescent="0.25">
      <c r="A450" s="63">
        <v>772000</v>
      </c>
      <c r="B450" s="63">
        <v>202106</v>
      </c>
      <c r="C450" s="64">
        <v>79708.3</v>
      </c>
      <c r="D450" s="64">
        <v>4</v>
      </c>
      <c r="H450" s="65">
        <v>4</v>
      </c>
    </row>
    <row r="451" spans="1:8" x14ac:dyDescent="0.25">
      <c r="A451" s="63">
        <v>772000</v>
      </c>
      <c r="B451" s="63">
        <v>202107</v>
      </c>
      <c r="C451" s="64">
        <v>71553.53</v>
      </c>
      <c r="D451" s="64">
        <v>4</v>
      </c>
      <c r="H451" s="65">
        <v>4</v>
      </c>
    </row>
    <row r="452" spans="1:8" x14ac:dyDescent="0.25">
      <c r="A452" s="63">
        <v>772000</v>
      </c>
      <c r="B452" s="63">
        <v>202108</v>
      </c>
      <c r="C452" s="64">
        <v>60000</v>
      </c>
      <c r="D452" s="64">
        <v>4</v>
      </c>
      <c r="H452" s="65">
        <v>4</v>
      </c>
    </row>
    <row r="453" spans="1:8" x14ac:dyDescent="0.25">
      <c r="A453" s="63">
        <v>772000</v>
      </c>
      <c r="B453" s="63">
        <v>202109</v>
      </c>
      <c r="C453" s="64">
        <v>60000</v>
      </c>
      <c r="D453" s="64">
        <v>4</v>
      </c>
      <c r="H453" s="65">
        <v>4</v>
      </c>
    </row>
    <row r="454" spans="1:8" x14ac:dyDescent="0.25">
      <c r="A454" s="63">
        <v>772000</v>
      </c>
      <c r="B454" s="63">
        <v>202110</v>
      </c>
      <c r="C454" s="64">
        <v>60000</v>
      </c>
      <c r="D454" s="64">
        <v>4</v>
      </c>
      <c r="H454" s="65">
        <v>4</v>
      </c>
    </row>
    <row r="455" spans="1:8" x14ac:dyDescent="0.25">
      <c r="A455" s="63">
        <v>772000</v>
      </c>
      <c r="B455" s="63">
        <v>202111</v>
      </c>
      <c r="C455" s="64">
        <v>60000</v>
      </c>
      <c r="D455" s="64">
        <v>4</v>
      </c>
      <c r="H455" s="65">
        <v>4</v>
      </c>
    </row>
    <row r="456" spans="1:8" x14ac:dyDescent="0.25">
      <c r="A456" s="63">
        <v>772000</v>
      </c>
      <c r="B456" s="63">
        <v>202112</v>
      </c>
      <c r="C456" s="64">
        <v>60000</v>
      </c>
      <c r="D456" s="64">
        <v>4</v>
      </c>
      <c r="F456" s="93" cm="1">
        <f t="array" ref="F456">SUM(D445:D456/12)</f>
        <v>3.3833333333333337</v>
      </c>
      <c r="H456" s="65">
        <v>4</v>
      </c>
    </row>
    <row r="457" spans="1:8" x14ac:dyDescent="0.25">
      <c r="A457" s="66" t="s">
        <v>797</v>
      </c>
      <c r="B457" s="63"/>
      <c r="C457" s="67">
        <f>SUM(C446:C456)</f>
        <v>631004.15</v>
      </c>
      <c r="H457" s="65">
        <v>4</v>
      </c>
    </row>
    <row r="458" spans="1:8" x14ac:dyDescent="0.25">
      <c r="A458" s="63">
        <v>781000</v>
      </c>
      <c r="B458" s="63">
        <v>202101</v>
      </c>
      <c r="C458" s="64">
        <v>139928.93</v>
      </c>
      <c r="D458" s="64">
        <v>9</v>
      </c>
      <c r="H458" s="65">
        <v>10</v>
      </c>
    </row>
    <row r="459" spans="1:8" x14ac:dyDescent="0.25">
      <c r="A459" s="63">
        <v>781000</v>
      </c>
      <c r="B459" s="63">
        <v>202102</v>
      </c>
      <c r="C459" s="64">
        <v>175657.61</v>
      </c>
      <c r="D459" s="64">
        <v>11.339</v>
      </c>
      <c r="H459" s="65">
        <v>12</v>
      </c>
    </row>
    <row r="460" spans="1:8" x14ac:dyDescent="0.25">
      <c r="A460" s="63">
        <v>781000</v>
      </c>
      <c r="B460" s="63">
        <v>202103</v>
      </c>
      <c r="C460" s="64">
        <v>199842.37</v>
      </c>
      <c r="D460" s="64">
        <v>11.5</v>
      </c>
      <c r="H460" s="65">
        <v>12</v>
      </c>
    </row>
    <row r="461" spans="1:8" x14ac:dyDescent="0.25">
      <c r="A461" s="63">
        <v>781000</v>
      </c>
      <c r="B461" s="63">
        <v>202104</v>
      </c>
      <c r="C461" s="64">
        <v>188607.03</v>
      </c>
      <c r="D461" s="64">
        <v>11.5</v>
      </c>
      <c r="H461" s="65">
        <v>12</v>
      </c>
    </row>
    <row r="462" spans="1:8" x14ac:dyDescent="0.25">
      <c r="A462" s="63">
        <v>781000</v>
      </c>
      <c r="B462" s="63">
        <v>202105</v>
      </c>
      <c r="C462" s="64">
        <v>198307.41</v>
      </c>
      <c r="D462" s="64">
        <v>11.5</v>
      </c>
      <c r="H462" s="65">
        <v>12</v>
      </c>
    </row>
    <row r="463" spans="1:8" x14ac:dyDescent="0.25">
      <c r="A463" s="63">
        <v>781000</v>
      </c>
      <c r="B463" s="63">
        <v>202106</v>
      </c>
      <c r="C463" s="64">
        <v>256343.34</v>
      </c>
      <c r="D463" s="64">
        <v>11</v>
      </c>
      <c r="H463" s="65">
        <v>12</v>
      </c>
    </row>
    <row r="464" spans="1:8" x14ac:dyDescent="0.25">
      <c r="A464" s="63">
        <v>781000</v>
      </c>
      <c r="B464" s="63">
        <v>202107</v>
      </c>
      <c r="C464" s="64">
        <v>203253.54</v>
      </c>
      <c r="D464" s="64">
        <v>10</v>
      </c>
      <c r="H464" s="65">
        <v>11</v>
      </c>
    </row>
    <row r="465" spans="1:8" x14ac:dyDescent="0.25">
      <c r="A465" s="63">
        <v>781000</v>
      </c>
      <c r="B465" s="63">
        <v>202108</v>
      </c>
      <c r="C465" s="64">
        <v>198000</v>
      </c>
      <c r="D465" s="64">
        <v>10</v>
      </c>
      <c r="H465" s="65">
        <v>10</v>
      </c>
    </row>
    <row r="466" spans="1:8" x14ac:dyDescent="0.25">
      <c r="A466" s="63">
        <v>781000</v>
      </c>
      <c r="B466" s="63">
        <v>202109</v>
      </c>
      <c r="C466" s="64">
        <f>198000+13500</f>
        <v>211500</v>
      </c>
      <c r="D466" s="64">
        <v>10</v>
      </c>
      <c r="H466" s="65">
        <v>10</v>
      </c>
    </row>
    <row r="467" spans="1:8" x14ac:dyDescent="0.25">
      <c r="A467" s="63">
        <v>781000</v>
      </c>
      <c r="B467" s="63">
        <v>202110</v>
      </c>
      <c r="C467" s="64">
        <v>198000</v>
      </c>
      <c r="D467" s="64">
        <v>10</v>
      </c>
      <c r="H467" s="65">
        <v>10</v>
      </c>
    </row>
    <row r="468" spans="1:8" x14ac:dyDescent="0.25">
      <c r="A468" s="63">
        <v>781000</v>
      </c>
      <c r="B468" s="63">
        <v>202111</v>
      </c>
      <c r="C468" s="64">
        <v>198000</v>
      </c>
      <c r="D468" s="64">
        <v>10</v>
      </c>
      <c r="H468" s="65">
        <v>10</v>
      </c>
    </row>
    <row r="469" spans="1:8" x14ac:dyDescent="0.25">
      <c r="A469" s="63">
        <v>781000</v>
      </c>
      <c r="B469" s="63">
        <v>202112</v>
      </c>
      <c r="C469" s="64">
        <v>198000</v>
      </c>
      <c r="D469" s="64">
        <v>10</v>
      </c>
      <c r="F469" s="93" cm="1">
        <f t="array" ref="F469">SUM(D458:D469/12)</f>
        <v>10.486583333333334</v>
      </c>
      <c r="H469" s="65">
        <v>10</v>
      </c>
    </row>
    <row r="470" spans="1:8" x14ac:dyDescent="0.25">
      <c r="A470" s="66" t="s">
        <v>798</v>
      </c>
      <c r="B470" s="63"/>
      <c r="C470" s="67">
        <f>SUM(C458:C469)</f>
        <v>2365440.23</v>
      </c>
      <c r="H470" s="65"/>
    </row>
    <row r="471" spans="1:8" x14ac:dyDescent="0.25">
      <c r="A471" s="63">
        <v>781100</v>
      </c>
      <c r="B471" s="63">
        <v>202101</v>
      </c>
      <c r="C471" s="64">
        <v>82759.16</v>
      </c>
      <c r="D471" s="64">
        <v>4</v>
      </c>
      <c r="H471" s="65">
        <v>4</v>
      </c>
    </row>
    <row r="472" spans="1:8" x14ac:dyDescent="0.25">
      <c r="A472" s="63">
        <v>781100</v>
      </c>
      <c r="B472" s="63">
        <v>202102</v>
      </c>
      <c r="C472" s="64">
        <v>58166.51</v>
      </c>
      <c r="D472" s="64">
        <v>2</v>
      </c>
      <c r="H472" s="65">
        <v>4</v>
      </c>
    </row>
    <row r="473" spans="1:8" x14ac:dyDescent="0.25">
      <c r="A473" s="63">
        <v>781100</v>
      </c>
      <c r="B473" s="63">
        <v>202103</v>
      </c>
      <c r="C473" s="64">
        <v>53957.87</v>
      </c>
      <c r="D473" s="64">
        <v>2</v>
      </c>
      <c r="H473" s="65">
        <v>2</v>
      </c>
    </row>
    <row r="474" spans="1:8" x14ac:dyDescent="0.25">
      <c r="A474" s="63">
        <v>781100</v>
      </c>
      <c r="B474" s="63">
        <v>202104</v>
      </c>
      <c r="C474" s="64">
        <v>43562.52</v>
      </c>
      <c r="D474" s="64">
        <v>2</v>
      </c>
      <c r="H474" s="65">
        <v>2</v>
      </c>
    </row>
    <row r="475" spans="1:8" x14ac:dyDescent="0.25">
      <c r="A475" s="63">
        <v>781100</v>
      </c>
      <c r="B475" s="63">
        <v>202105</v>
      </c>
      <c r="C475" s="64">
        <v>51868.86</v>
      </c>
      <c r="D475" s="64">
        <v>2</v>
      </c>
      <c r="H475" s="65">
        <v>2</v>
      </c>
    </row>
    <row r="476" spans="1:8" x14ac:dyDescent="0.25">
      <c r="A476" s="63">
        <v>781100</v>
      </c>
      <c r="B476" s="63">
        <v>202106</v>
      </c>
      <c r="C476" s="64">
        <v>60334.54</v>
      </c>
      <c r="D476" s="64">
        <v>2</v>
      </c>
      <c r="H476" s="65">
        <v>2</v>
      </c>
    </row>
    <row r="477" spans="1:8" x14ac:dyDescent="0.25">
      <c r="A477" s="63">
        <v>781100</v>
      </c>
      <c r="B477" s="63">
        <v>202107</v>
      </c>
      <c r="C477" s="64">
        <f>51317.26+12000</f>
        <v>63317.26</v>
      </c>
      <c r="D477" s="64">
        <v>2</v>
      </c>
      <c r="H477" s="65">
        <v>2</v>
      </c>
    </row>
    <row r="478" spans="1:8" x14ac:dyDescent="0.25">
      <c r="A478" s="63">
        <v>781100</v>
      </c>
      <c r="B478" s="63">
        <v>202108</v>
      </c>
      <c r="C478" s="64">
        <v>44000</v>
      </c>
      <c r="D478" s="64">
        <v>2</v>
      </c>
      <c r="H478" s="65">
        <v>2</v>
      </c>
    </row>
    <row r="479" spans="1:8" x14ac:dyDescent="0.25">
      <c r="A479" s="63">
        <v>781100</v>
      </c>
      <c r="B479" s="63">
        <v>202109</v>
      </c>
      <c r="C479" s="64">
        <v>44000</v>
      </c>
      <c r="D479" s="64">
        <v>2</v>
      </c>
      <c r="H479" s="65">
        <v>2</v>
      </c>
    </row>
    <row r="480" spans="1:8" x14ac:dyDescent="0.25">
      <c r="A480" s="63">
        <v>781100</v>
      </c>
      <c r="B480" s="63">
        <v>202110</v>
      </c>
      <c r="C480" s="64">
        <v>44000</v>
      </c>
      <c r="D480" s="64">
        <v>2</v>
      </c>
      <c r="H480" s="65">
        <v>2</v>
      </c>
    </row>
    <row r="481" spans="1:8" x14ac:dyDescent="0.25">
      <c r="A481" s="63">
        <v>781100</v>
      </c>
      <c r="B481" s="63">
        <v>202111</v>
      </c>
      <c r="C481" s="64">
        <v>44000</v>
      </c>
      <c r="D481" s="64">
        <v>2</v>
      </c>
      <c r="H481" s="65">
        <v>2</v>
      </c>
    </row>
    <row r="482" spans="1:8" x14ac:dyDescent="0.25">
      <c r="A482" s="63">
        <v>781100</v>
      </c>
      <c r="B482" s="63">
        <v>202112</v>
      </c>
      <c r="C482" s="64">
        <v>44000</v>
      </c>
      <c r="D482" s="64">
        <v>2</v>
      </c>
      <c r="F482" s="93" cm="1">
        <f t="array" ref="F482">SUM(D471:D482/12)</f>
        <v>2.1666666666666665</v>
      </c>
      <c r="H482" s="65">
        <v>2</v>
      </c>
    </row>
    <row r="483" spans="1:8" x14ac:dyDescent="0.25">
      <c r="A483" s="66" t="s">
        <v>799</v>
      </c>
      <c r="B483" s="63"/>
      <c r="C483" s="67">
        <f>SUM(C471:C482)</f>
        <v>633966.72</v>
      </c>
      <c r="H483" s="65"/>
    </row>
    <row r="484" spans="1:8" x14ac:dyDescent="0.25">
      <c r="A484" s="63">
        <v>811000</v>
      </c>
      <c r="B484" s="63">
        <v>202101</v>
      </c>
      <c r="C484" s="64">
        <v>259114.74</v>
      </c>
      <c r="D484" s="64">
        <v>13.65</v>
      </c>
      <c r="H484" s="65">
        <v>14</v>
      </c>
    </row>
    <row r="485" spans="1:8" x14ac:dyDescent="0.25">
      <c r="A485" s="63">
        <v>811000</v>
      </c>
      <c r="B485" s="63">
        <v>202102</v>
      </c>
      <c r="C485" s="64">
        <v>265415.92</v>
      </c>
      <c r="D485" s="64">
        <v>13.65</v>
      </c>
      <c r="H485" s="65">
        <v>14</v>
      </c>
    </row>
    <row r="486" spans="1:8" x14ac:dyDescent="0.25">
      <c r="A486" s="63">
        <v>811000</v>
      </c>
      <c r="B486" s="63">
        <v>202103</v>
      </c>
      <c r="C486" s="64">
        <v>259179.03</v>
      </c>
      <c r="D486" s="64">
        <v>13.65</v>
      </c>
      <c r="H486" s="65">
        <v>14</v>
      </c>
    </row>
    <row r="487" spans="1:8" x14ac:dyDescent="0.25">
      <c r="A487" s="63">
        <v>811000</v>
      </c>
      <c r="B487" s="63">
        <v>202104</v>
      </c>
      <c r="C487" s="64">
        <v>256132.14</v>
      </c>
      <c r="D487" s="64">
        <v>13.65</v>
      </c>
      <c r="H487" s="65">
        <v>14</v>
      </c>
    </row>
    <row r="488" spans="1:8" x14ac:dyDescent="0.25">
      <c r="A488" s="63">
        <v>811000</v>
      </c>
      <c r="B488" s="63">
        <v>202105</v>
      </c>
      <c r="C488" s="64">
        <v>261917.88</v>
      </c>
      <c r="D488" s="64">
        <v>13.65</v>
      </c>
      <c r="H488" s="65">
        <v>14</v>
      </c>
    </row>
    <row r="489" spans="1:8" x14ac:dyDescent="0.25">
      <c r="A489" s="63">
        <v>811000</v>
      </c>
      <c r="B489" s="63">
        <v>202106</v>
      </c>
      <c r="C489" s="64">
        <v>384171.38</v>
      </c>
      <c r="D489" s="64">
        <v>15.65</v>
      </c>
      <c r="H489" s="65">
        <v>17</v>
      </c>
    </row>
    <row r="490" spans="1:8" x14ac:dyDescent="0.25">
      <c r="A490" s="63">
        <v>811000</v>
      </c>
      <c r="B490" s="63">
        <v>202107</v>
      </c>
      <c r="C490" s="64">
        <v>295593.90999999997</v>
      </c>
      <c r="D490" s="64">
        <v>14.65</v>
      </c>
      <c r="H490" s="65">
        <v>16</v>
      </c>
    </row>
    <row r="491" spans="1:8" x14ac:dyDescent="0.25">
      <c r="A491" s="63">
        <v>811000</v>
      </c>
      <c r="B491" s="63">
        <v>202108</v>
      </c>
      <c r="C491" s="64">
        <v>260000</v>
      </c>
      <c r="D491" s="64">
        <v>14.65</v>
      </c>
      <c r="H491" s="65">
        <v>16</v>
      </c>
    </row>
    <row r="492" spans="1:8" x14ac:dyDescent="0.25">
      <c r="A492" s="63">
        <v>811000</v>
      </c>
      <c r="B492" s="63">
        <v>202109</v>
      </c>
      <c r="C492" s="64">
        <f>260000+17000</f>
        <v>277000</v>
      </c>
      <c r="D492" s="64">
        <v>14.65</v>
      </c>
      <c r="H492" s="65">
        <v>16</v>
      </c>
    </row>
    <row r="493" spans="1:8" x14ac:dyDescent="0.25">
      <c r="A493" s="63">
        <v>811000</v>
      </c>
      <c r="B493" s="63">
        <v>202110</v>
      </c>
      <c r="C493" s="64">
        <v>260000</v>
      </c>
      <c r="D493" s="64">
        <v>14.65</v>
      </c>
      <c r="H493" s="65">
        <v>16</v>
      </c>
    </row>
    <row r="494" spans="1:8" x14ac:dyDescent="0.25">
      <c r="A494" s="63">
        <v>811000</v>
      </c>
      <c r="B494" s="63">
        <v>202111</v>
      </c>
      <c r="C494" s="64">
        <v>260000</v>
      </c>
      <c r="D494" s="64">
        <v>14.65</v>
      </c>
      <c r="H494" s="65">
        <v>16</v>
      </c>
    </row>
    <row r="495" spans="1:8" x14ac:dyDescent="0.25">
      <c r="A495" s="63">
        <v>811000</v>
      </c>
      <c r="B495" s="63">
        <v>202112</v>
      </c>
      <c r="C495" s="64">
        <v>260000</v>
      </c>
      <c r="D495" s="64">
        <v>14.65</v>
      </c>
      <c r="F495" s="93" cm="1">
        <f t="array" ref="F495">SUM(D484:D495/12)</f>
        <v>14.316666666666666</v>
      </c>
      <c r="H495" s="65">
        <v>16</v>
      </c>
    </row>
    <row r="496" spans="1:8" x14ac:dyDescent="0.25">
      <c r="A496" s="66" t="s">
        <v>800</v>
      </c>
      <c r="B496" s="63"/>
      <c r="C496" s="67">
        <f>SUM(C484:C495)</f>
        <v>3298525</v>
      </c>
      <c r="H496" s="65"/>
    </row>
    <row r="497" spans="1:8" x14ac:dyDescent="0.25">
      <c r="A497" s="63">
        <v>812200</v>
      </c>
      <c r="B497" s="63">
        <v>202101</v>
      </c>
      <c r="C497" s="64">
        <v>307422.93</v>
      </c>
      <c r="D497" s="64">
        <v>32.494</v>
      </c>
      <c r="H497" s="65">
        <v>35</v>
      </c>
    </row>
    <row r="498" spans="1:8" x14ac:dyDescent="0.25">
      <c r="A498" s="63">
        <v>812200</v>
      </c>
      <c r="B498" s="63">
        <v>202102</v>
      </c>
      <c r="C498" s="64">
        <v>328748.21999999997</v>
      </c>
      <c r="D498" s="64">
        <v>32.494</v>
      </c>
      <c r="H498" s="65">
        <v>35</v>
      </c>
    </row>
    <row r="499" spans="1:8" x14ac:dyDescent="0.25">
      <c r="A499" s="63">
        <v>812200</v>
      </c>
      <c r="B499" s="63">
        <v>202103</v>
      </c>
      <c r="C499" s="64">
        <v>331242.32</v>
      </c>
      <c r="D499" s="64">
        <v>32.073999999999998</v>
      </c>
      <c r="H499" s="65">
        <v>35</v>
      </c>
    </row>
    <row r="500" spans="1:8" x14ac:dyDescent="0.25">
      <c r="A500" s="63">
        <v>812200</v>
      </c>
      <c r="B500" s="63">
        <v>202104</v>
      </c>
      <c r="C500" s="64">
        <v>346737.49</v>
      </c>
      <c r="D500" s="64">
        <v>32.073999999999998</v>
      </c>
      <c r="H500" s="65">
        <v>34</v>
      </c>
    </row>
    <row r="501" spans="1:8" x14ac:dyDescent="0.25">
      <c r="A501" s="63">
        <v>812200</v>
      </c>
      <c r="B501" s="63">
        <v>202105</v>
      </c>
      <c r="C501" s="64">
        <v>351121.3</v>
      </c>
      <c r="D501" s="64">
        <v>32.073999999999998</v>
      </c>
      <c r="H501" s="65">
        <v>34</v>
      </c>
    </row>
    <row r="502" spans="1:8" x14ac:dyDescent="0.25">
      <c r="A502" s="63">
        <v>812200</v>
      </c>
      <c r="B502" s="63">
        <v>202106</v>
      </c>
      <c r="C502" s="64">
        <v>546321.78</v>
      </c>
      <c r="D502" s="64">
        <v>32.073999999999998</v>
      </c>
      <c r="H502" s="65">
        <v>34</v>
      </c>
    </row>
    <row r="503" spans="1:8" x14ac:dyDescent="0.25">
      <c r="A503" s="63">
        <v>812200</v>
      </c>
      <c r="B503" s="63">
        <v>202107</v>
      </c>
      <c r="C503" s="64">
        <v>433053.23</v>
      </c>
      <c r="D503" s="64">
        <v>32.073999999999998</v>
      </c>
      <c r="H503" s="65">
        <v>35</v>
      </c>
    </row>
    <row r="504" spans="1:8" x14ac:dyDescent="0.25">
      <c r="A504" s="63">
        <v>812200</v>
      </c>
      <c r="B504" s="63">
        <v>202108</v>
      </c>
      <c r="C504" s="64">
        <v>340000</v>
      </c>
      <c r="D504" s="64">
        <v>32.073999999999998</v>
      </c>
      <c r="H504" s="65">
        <v>35</v>
      </c>
    </row>
    <row r="505" spans="1:8" x14ac:dyDescent="0.25">
      <c r="A505" s="63">
        <v>812200</v>
      </c>
      <c r="B505" s="63">
        <v>202109</v>
      </c>
      <c r="C505" s="64">
        <f>340000+6000</f>
        <v>346000</v>
      </c>
      <c r="D505" s="64">
        <v>32.073999999999998</v>
      </c>
      <c r="H505" s="65">
        <v>35</v>
      </c>
    </row>
    <row r="506" spans="1:8" x14ac:dyDescent="0.25">
      <c r="A506" s="63">
        <v>812200</v>
      </c>
      <c r="B506" s="63">
        <v>202110</v>
      </c>
      <c r="C506" s="64">
        <v>340000</v>
      </c>
      <c r="D506" s="64">
        <v>32.073999999999998</v>
      </c>
      <c r="H506" s="65">
        <v>35</v>
      </c>
    </row>
    <row r="507" spans="1:8" x14ac:dyDescent="0.25">
      <c r="A507" s="63">
        <v>812200</v>
      </c>
      <c r="B507" s="63">
        <v>202111</v>
      </c>
      <c r="C507" s="64">
        <v>345000</v>
      </c>
      <c r="D507" s="64">
        <v>32.073999999999998</v>
      </c>
      <c r="H507" s="65">
        <v>35</v>
      </c>
    </row>
    <row r="508" spans="1:8" x14ac:dyDescent="0.25">
      <c r="A508" s="63">
        <v>812200</v>
      </c>
      <c r="B508" s="63">
        <v>202112</v>
      </c>
      <c r="C508" s="64">
        <v>345000</v>
      </c>
      <c r="D508" s="64">
        <v>32.073999999999998</v>
      </c>
      <c r="F508" s="93" cm="1">
        <f t="array" ref="F508">SUM(D497:D508/12)</f>
        <v>32.143999999999998</v>
      </c>
      <c r="H508" s="65">
        <v>35</v>
      </c>
    </row>
    <row r="509" spans="1:8" x14ac:dyDescent="0.25">
      <c r="A509" s="66" t="s">
        <v>801</v>
      </c>
      <c r="B509" s="63"/>
      <c r="C509" s="67">
        <f>SUM(C497:C508)</f>
        <v>4360647.2699999996</v>
      </c>
      <c r="H509" s="65"/>
    </row>
    <row r="510" spans="1:8" x14ac:dyDescent="0.25">
      <c r="A510" s="63">
        <v>812210</v>
      </c>
      <c r="B510" s="63">
        <v>202101</v>
      </c>
      <c r="C510" s="64">
        <v>279625.37</v>
      </c>
      <c r="D510" s="64">
        <v>32.299999999999997</v>
      </c>
      <c r="H510" s="65">
        <v>38</v>
      </c>
    </row>
    <row r="511" spans="1:8" x14ac:dyDescent="0.25">
      <c r="A511" s="63">
        <v>812210</v>
      </c>
      <c r="B511" s="63">
        <v>202102</v>
      </c>
      <c r="C511" s="64">
        <v>298444.19</v>
      </c>
      <c r="D511" s="64">
        <v>31.3</v>
      </c>
      <c r="H511" s="65">
        <v>38</v>
      </c>
    </row>
    <row r="512" spans="1:8" x14ac:dyDescent="0.25">
      <c r="A512" s="63">
        <v>812210</v>
      </c>
      <c r="B512" s="63">
        <v>202103</v>
      </c>
      <c r="C512" s="64">
        <v>302698.74</v>
      </c>
      <c r="D512" s="64">
        <v>31.3</v>
      </c>
      <c r="H512" s="65">
        <v>38</v>
      </c>
    </row>
    <row r="513" spans="1:8" x14ac:dyDescent="0.25">
      <c r="A513" s="63">
        <v>812210</v>
      </c>
      <c r="B513" s="63">
        <v>202104</v>
      </c>
      <c r="C513" s="64">
        <v>308841</v>
      </c>
      <c r="D513" s="64">
        <v>31.3</v>
      </c>
      <c r="H513" s="65">
        <v>38</v>
      </c>
    </row>
    <row r="514" spans="1:8" x14ac:dyDescent="0.25">
      <c r="A514" s="63">
        <v>812210</v>
      </c>
      <c r="B514" s="63">
        <v>202105</v>
      </c>
      <c r="C514" s="64">
        <v>323288.39</v>
      </c>
      <c r="D514" s="64">
        <v>31.3</v>
      </c>
      <c r="H514" s="65">
        <v>38</v>
      </c>
    </row>
    <row r="515" spans="1:8" x14ac:dyDescent="0.25">
      <c r="A515" s="63">
        <v>812210</v>
      </c>
      <c r="B515" s="63">
        <v>202106</v>
      </c>
      <c r="C515" s="64">
        <v>479214.55</v>
      </c>
      <c r="D515" s="64">
        <v>31.3</v>
      </c>
      <c r="H515" s="65">
        <v>38</v>
      </c>
    </row>
    <row r="516" spans="1:8" x14ac:dyDescent="0.25">
      <c r="A516" s="63">
        <v>812210</v>
      </c>
      <c r="B516" s="63">
        <v>202107</v>
      </c>
      <c r="C516" s="64">
        <v>380347.09</v>
      </c>
      <c r="D516" s="64">
        <v>31.3</v>
      </c>
      <c r="H516" s="65">
        <v>38</v>
      </c>
    </row>
    <row r="517" spans="1:8" x14ac:dyDescent="0.25">
      <c r="A517" s="63">
        <v>812210</v>
      </c>
      <c r="B517" s="63">
        <v>202108</v>
      </c>
      <c r="C517" s="64">
        <v>320000</v>
      </c>
      <c r="D517" s="64">
        <v>31.3</v>
      </c>
      <c r="H517" s="65">
        <v>38</v>
      </c>
    </row>
    <row r="518" spans="1:8" x14ac:dyDescent="0.25">
      <c r="A518" s="63">
        <v>812210</v>
      </c>
      <c r="B518" s="63">
        <v>202109</v>
      </c>
      <c r="C518" s="64">
        <f>320000+6000</f>
        <v>326000</v>
      </c>
      <c r="D518" s="64">
        <v>31.3</v>
      </c>
      <c r="H518" s="65">
        <v>38</v>
      </c>
    </row>
    <row r="519" spans="1:8" x14ac:dyDescent="0.25">
      <c r="A519" s="63">
        <v>812210</v>
      </c>
      <c r="B519" s="63">
        <v>202110</v>
      </c>
      <c r="C519" s="64">
        <v>320000</v>
      </c>
      <c r="D519" s="64">
        <v>31.3</v>
      </c>
      <c r="H519" s="65">
        <v>38</v>
      </c>
    </row>
    <row r="520" spans="1:8" x14ac:dyDescent="0.25">
      <c r="A520" s="63">
        <v>812210</v>
      </c>
      <c r="B520" s="63">
        <v>202111</v>
      </c>
      <c r="C520" s="64">
        <v>320000</v>
      </c>
      <c r="D520" s="64">
        <v>31.3</v>
      </c>
      <c r="H520" s="65">
        <v>38</v>
      </c>
    </row>
    <row r="521" spans="1:8" x14ac:dyDescent="0.25">
      <c r="A521" s="63">
        <v>812210</v>
      </c>
      <c r="B521" s="63">
        <v>202112</v>
      </c>
      <c r="C521" s="64">
        <v>320000</v>
      </c>
      <c r="D521" s="64">
        <v>31.3</v>
      </c>
      <c r="F521" s="93" cm="1">
        <f t="array" ref="F521">SUM(D510:D521/12)</f>
        <v>31.38333333333334</v>
      </c>
      <c r="H521" s="65">
        <v>38</v>
      </c>
    </row>
    <row r="522" spans="1:8" x14ac:dyDescent="0.25">
      <c r="A522" s="66" t="s">
        <v>802</v>
      </c>
      <c r="B522" s="63"/>
      <c r="C522" s="67">
        <f>SUM(C510:C521)</f>
        <v>3978459.33</v>
      </c>
      <c r="H522" s="65"/>
    </row>
    <row r="523" spans="1:8" x14ac:dyDescent="0.25">
      <c r="A523" s="63">
        <v>812300</v>
      </c>
      <c r="B523" s="63">
        <v>202101</v>
      </c>
      <c r="C523" s="64">
        <v>441525.5</v>
      </c>
      <c r="D523" s="64">
        <v>48.533999999999999</v>
      </c>
      <c r="H523" s="65">
        <v>51</v>
      </c>
    </row>
    <row r="524" spans="1:8" x14ac:dyDescent="0.25">
      <c r="A524" s="63">
        <v>812300</v>
      </c>
      <c r="B524" s="63">
        <v>202102</v>
      </c>
      <c r="C524" s="64">
        <v>464169.4</v>
      </c>
      <c r="D524" s="64">
        <v>48.533999999999999</v>
      </c>
      <c r="H524" s="65">
        <v>51</v>
      </c>
    </row>
    <row r="525" spans="1:8" x14ac:dyDescent="0.25">
      <c r="A525" s="63">
        <v>812300</v>
      </c>
      <c r="B525" s="63">
        <v>202103</v>
      </c>
      <c r="C525" s="64">
        <v>460611.5</v>
      </c>
      <c r="D525" s="64">
        <v>48.533999999999999</v>
      </c>
      <c r="H525" s="65">
        <v>51</v>
      </c>
    </row>
    <row r="526" spans="1:8" x14ac:dyDescent="0.25">
      <c r="A526" s="63">
        <v>812300</v>
      </c>
      <c r="B526" s="63">
        <v>202104</v>
      </c>
      <c r="C526" s="64">
        <v>486797.75</v>
      </c>
      <c r="D526" s="64">
        <v>48.533999999999999</v>
      </c>
      <c r="H526" s="65">
        <v>51</v>
      </c>
    </row>
    <row r="527" spans="1:8" x14ac:dyDescent="0.25">
      <c r="A527" s="63">
        <v>812300</v>
      </c>
      <c r="B527" s="63">
        <v>202105</v>
      </c>
      <c r="C527" s="64">
        <v>491797.52</v>
      </c>
      <c r="D527" s="64">
        <v>48.533999999999999</v>
      </c>
      <c r="H527" s="65">
        <v>52</v>
      </c>
    </row>
    <row r="528" spans="1:8" x14ac:dyDescent="0.25">
      <c r="A528" s="63">
        <v>812300</v>
      </c>
      <c r="B528" s="63">
        <v>202106</v>
      </c>
      <c r="C528" s="64">
        <v>775517.78</v>
      </c>
      <c r="D528" s="64">
        <v>48.533999999999999</v>
      </c>
      <c r="H528" s="65">
        <v>52</v>
      </c>
    </row>
    <row r="529" spans="1:8" x14ac:dyDescent="0.25">
      <c r="A529" s="63">
        <v>812300</v>
      </c>
      <c r="B529" s="63">
        <v>202107</v>
      </c>
      <c r="C529" s="64">
        <v>603097.41</v>
      </c>
      <c r="D529" s="64">
        <v>47.533999999999999</v>
      </c>
      <c r="H529" s="65">
        <v>51</v>
      </c>
    </row>
    <row r="530" spans="1:8" x14ac:dyDescent="0.25">
      <c r="A530" s="63">
        <v>812300</v>
      </c>
      <c r="B530" s="63">
        <v>202108</v>
      </c>
      <c r="C530" s="64">
        <v>485000</v>
      </c>
      <c r="D530" s="64">
        <v>47.533999999999999</v>
      </c>
      <c r="H530" s="65">
        <v>51</v>
      </c>
    </row>
    <row r="531" spans="1:8" x14ac:dyDescent="0.25">
      <c r="A531" s="63">
        <v>812300</v>
      </c>
      <c r="B531" s="63">
        <v>202109</v>
      </c>
      <c r="C531" s="64">
        <f>485000+35000</f>
        <v>520000</v>
      </c>
      <c r="D531" s="64">
        <v>47.533999999999999</v>
      </c>
      <c r="H531" s="65">
        <v>51</v>
      </c>
    </row>
    <row r="532" spans="1:8" x14ac:dyDescent="0.25">
      <c r="A532" s="63">
        <v>812300</v>
      </c>
      <c r="B532" s="63">
        <v>202110</v>
      </c>
      <c r="C532" s="64">
        <v>500000</v>
      </c>
      <c r="D532" s="64">
        <v>47.533999999999999</v>
      </c>
      <c r="H532" s="65">
        <v>51</v>
      </c>
    </row>
    <row r="533" spans="1:8" x14ac:dyDescent="0.25">
      <c r="A533" s="63">
        <v>812300</v>
      </c>
      <c r="B533" s="63">
        <v>202111</v>
      </c>
      <c r="C533" s="64">
        <v>490000</v>
      </c>
      <c r="D533" s="64">
        <v>47.533999999999999</v>
      </c>
      <c r="H533" s="65">
        <v>51</v>
      </c>
    </row>
    <row r="534" spans="1:8" x14ac:dyDescent="0.25">
      <c r="A534" s="63">
        <v>812300</v>
      </c>
      <c r="B534" s="63">
        <v>202112</v>
      </c>
      <c r="C534" s="64">
        <v>490000</v>
      </c>
      <c r="D534" s="64">
        <v>47.533999999999999</v>
      </c>
      <c r="F534" s="93" cm="1">
        <f t="array" ref="F534">SUM(D523:D534/12)</f>
        <v>48.033999999999985</v>
      </c>
      <c r="H534" s="65">
        <v>51</v>
      </c>
    </row>
    <row r="535" spans="1:8" x14ac:dyDescent="0.25">
      <c r="A535" s="66" t="s">
        <v>803</v>
      </c>
      <c r="B535" s="63"/>
      <c r="C535" s="67">
        <f>SUM(C523:C534)</f>
        <v>6208516.8600000003</v>
      </c>
      <c r="H535" s="65"/>
    </row>
    <row r="536" spans="1:8" x14ac:dyDescent="0.25">
      <c r="A536" s="63">
        <v>812310</v>
      </c>
      <c r="B536" s="63">
        <v>202101</v>
      </c>
      <c r="C536" s="64">
        <v>12851.92</v>
      </c>
      <c r="D536" s="64">
        <v>1</v>
      </c>
      <c r="H536" s="65">
        <v>1</v>
      </c>
    </row>
    <row r="537" spans="1:8" x14ac:dyDescent="0.25">
      <c r="A537" s="63">
        <v>812310</v>
      </c>
      <c r="B537" s="63">
        <v>202102</v>
      </c>
      <c r="C537" s="64">
        <v>12851.92</v>
      </c>
      <c r="D537" s="64">
        <v>1</v>
      </c>
      <c r="H537" s="65">
        <v>1</v>
      </c>
    </row>
    <row r="538" spans="1:8" x14ac:dyDescent="0.25">
      <c r="A538" s="63">
        <v>812310</v>
      </c>
      <c r="B538" s="63">
        <v>202103</v>
      </c>
      <c r="C538" s="64">
        <v>12849.05</v>
      </c>
      <c r="D538" s="64">
        <v>1</v>
      </c>
      <c r="H538" s="65">
        <v>1</v>
      </c>
    </row>
    <row r="539" spans="1:8" x14ac:dyDescent="0.25">
      <c r="A539" s="63">
        <v>812310</v>
      </c>
      <c r="B539" s="63">
        <v>202104</v>
      </c>
      <c r="C539" s="64">
        <v>12854.75</v>
      </c>
      <c r="D539" s="64">
        <v>1</v>
      </c>
      <c r="H539" s="65">
        <v>1</v>
      </c>
    </row>
    <row r="540" spans="1:8" x14ac:dyDescent="0.25">
      <c r="A540" s="63">
        <v>812310</v>
      </c>
      <c r="B540" s="63">
        <v>202105</v>
      </c>
      <c r="C540" s="64">
        <v>13419.15</v>
      </c>
      <c r="D540" s="64">
        <v>1</v>
      </c>
      <c r="H540" s="65">
        <v>1</v>
      </c>
    </row>
    <row r="541" spans="1:8" x14ac:dyDescent="0.25">
      <c r="A541" s="63">
        <v>812310</v>
      </c>
      <c r="B541" s="63">
        <v>202106</v>
      </c>
      <c r="C541" s="64">
        <v>26741.5</v>
      </c>
      <c r="D541" s="64">
        <v>1</v>
      </c>
      <c r="H541" s="65">
        <v>1</v>
      </c>
    </row>
    <row r="542" spans="1:8" x14ac:dyDescent="0.25">
      <c r="A542" s="63">
        <v>812310</v>
      </c>
      <c r="B542" s="63">
        <v>202107</v>
      </c>
      <c r="C542" s="64">
        <v>15433.72</v>
      </c>
      <c r="D542" s="64">
        <v>1</v>
      </c>
      <c r="H542" s="65">
        <v>1</v>
      </c>
    </row>
    <row r="543" spans="1:8" x14ac:dyDescent="0.25">
      <c r="A543" s="63">
        <v>812310</v>
      </c>
      <c r="B543" s="63">
        <v>202108</v>
      </c>
      <c r="C543" s="64">
        <v>13500</v>
      </c>
      <c r="D543" s="64">
        <v>1</v>
      </c>
      <c r="H543" s="65">
        <v>1</v>
      </c>
    </row>
    <row r="544" spans="1:8" x14ac:dyDescent="0.25">
      <c r="A544" s="63">
        <v>812310</v>
      </c>
      <c r="B544" s="63">
        <v>202109</v>
      </c>
      <c r="C544" s="64">
        <v>13500</v>
      </c>
      <c r="D544" s="64">
        <v>1</v>
      </c>
      <c r="H544" s="65">
        <v>1</v>
      </c>
    </row>
    <row r="545" spans="1:8" x14ac:dyDescent="0.25">
      <c r="A545" s="63">
        <v>812310</v>
      </c>
      <c r="B545" s="63">
        <v>202110</v>
      </c>
      <c r="C545" s="64">
        <v>13500</v>
      </c>
      <c r="D545" s="64">
        <v>1</v>
      </c>
      <c r="H545" s="65">
        <v>1</v>
      </c>
    </row>
    <row r="546" spans="1:8" x14ac:dyDescent="0.25">
      <c r="A546" s="63">
        <v>812310</v>
      </c>
      <c r="B546" s="63">
        <v>202111</v>
      </c>
      <c r="C546" s="64">
        <v>13500</v>
      </c>
      <c r="D546" s="64">
        <v>1</v>
      </c>
      <c r="H546" s="65">
        <v>1</v>
      </c>
    </row>
    <row r="547" spans="1:8" x14ac:dyDescent="0.25">
      <c r="A547" s="63">
        <v>812310</v>
      </c>
      <c r="B547" s="63">
        <v>202112</v>
      </c>
      <c r="C547" s="64">
        <v>13500</v>
      </c>
      <c r="D547" s="64">
        <v>1</v>
      </c>
      <c r="F547" s="93" cm="1">
        <f t="array" ref="F547">SUM(D536:D547/12)</f>
        <v>1</v>
      </c>
      <c r="H547" s="65">
        <v>1</v>
      </c>
    </row>
    <row r="548" spans="1:8" x14ac:dyDescent="0.25">
      <c r="A548" s="66" t="s">
        <v>804</v>
      </c>
      <c r="B548" s="63"/>
      <c r="C548" s="67">
        <f>SUM(C536:C547)</f>
        <v>174502.01</v>
      </c>
      <c r="H548" s="65"/>
    </row>
    <row r="549" spans="1:8" x14ac:dyDescent="0.25">
      <c r="A549" s="63">
        <v>812400</v>
      </c>
      <c r="B549" s="63">
        <v>202101</v>
      </c>
      <c r="C549" s="64">
        <v>43233.34</v>
      </c>
      <c r="D549" s="64">
        <v>3.73</v>
      </c>
      <c r="H549" s="65">
        <v>4</v>
      </c>
    </row>
    <row r="550" spans="1:8" x14ac:dyDescent="0.25">
      <c r="A550" s="63">
        <v>812400</v>
      </c>
      <c r="B550" s="63">
        <v>202102</v>
      </c>
      <c r="C550" s="64">
        <v>42258.49</v>
      </c>
      <c r="D550" s="64">
        <v>3.73</v>
      </c>
      <c r="H550" s="65">
        <v>4</v>
      </c>
    </row>
    <row r="551" spans="1:8" x14ac:dyDescent="0.25">
      <c r="A551" s="63">
        <v>812400</v>
      </c>
      <c r="B551" s="63">
        <v>202103</v>
      </c>
      <c r="C551" s="64">
        <v>42568.32</v>
      </c>
      <c r="D551" s="64">
        <v>3.73</v>
      </c>
      <c r="H551" s="65">
        <v>4</v>
      </c>
    </row>
    <row r="552" spans="1:8" x14ac:dyDescent="0.25">
      <c r="A552" s="63">
        <v>812400</v>
      </c>
      <c r="B552" s="63">
        <v>202104</v>
      </c>
      <c r="C552" s="64">
        <v>48508.18</v>
      </c>
      <c r="D552" s="64">
        <v>3.73</v>
      </c>
      <c r="H552" s="65">
        <v>4</v>
      </c>
    </row>
    <row r="553" spans="1:8" x14ac:dyDescent="0.25">
      <c r="A553" s="63">
        <v>812400</v>
      </c>
      <c r="B553" s="63">
        <v>202105</v>
      </c>
      <c r="C553" s="64">
        <v>50160.76</v>
      </c>
      <c r="D553" s="64">
        <v>3.73</v>
      </c>
      <c r="H553" s="65">
        <v>4</v>
      </c>
    </row>
    <row r="554" spans="1:8" x14ac:dyDescent="0.25">
      <c r="A554" s="63">
        <v>812400</v>
      </c>
      <c r="B554" s="63">
        <v>202106</v>
      </c>
      <c r="C554" s="64">
        <v>84321.99</v>
      </c>
      <c r="D554" s="64">
        <v>3.73</v>
      </c>
      <c r="H554" s="65">
        <v>4</v>
      </c>
    </row>
    <row r="555" spans="1:8" x14ac:dyDescent="0.25">
      <c r="A555" s="63">
        <v>812400</v>
      </c>
      <c r="B555" s="63">
        <v>202107</v>
      </c>
      <c r="C555" s="64">
        <v>50327.3</v>
      </c>
      <c r="D555" s="64">
        <v>3.73</v>
      </c>
      <c r="H555" s="65">
        <v>4</v>
      </c>
    </row>
    <row r="556" spans="1:8" x14ac:dyDescent="0.25">
      <c r="A556" s="63">
        <v>812400</v>
      </c>
      <c r="B556" s="63">
        <v>202108</v>
      </c>
      <c r="C556" s="64">
        <v>50160</v>
      </c>
      <c r="D556" s="64">
        <v>3.73</v>
      </c>
      <c r="H556" s="65">
        <v>4</v>
      </c>
    </row>
    <row r="557" spans="1:8" x14ac:dyDescent="0.25">
      <c r="A557" s="63">
        <v>812400</v>
      </c>
      <c r="B557" s="63">
        <v>202109</v>
      </c>
      <c r="C557" s="64">
        <v>50160</v>
      </c>
      <c r="D557" s="64">
        <v>3.73</v>
      </c>
      <c r="H557" s="65">
        <v>4</v>
      </c>
    </row>
    <row r="558" spans="1:8" x14ac:dyDescent="0.25">
      <c r="A558" s="63">
        <v>812400</v>
      </c>
      <c r="B558" s="63">
        <v>202110</v>
      </c>
      <c r="C558" s="64">
        <v>50160</v>
      </c>
      <c r="D558" s="64">
        <v>3.73</v>
      </c>
      <c r="H558" s="65">
        <v>4</v>
      </c>
    </row>
    <row r="559" spans="1:8" x14ac:dyDescent="0.25">
      <c r="A559" s="63">
        <v>812400</v>
      </c>
      <c r="B559" s="63">
        <v>202111</v>
      </c>
      <c r="C559" s="64">
        <v>50160</v>
      </c>
      <c r="D559" s="64">
        <v>3.73</v>
      </c>
      <c r="H559" s="65">
        <v>4</v>
      </c>
    </row>
    <row r="560" spans="1:8" x14ac:dyDescent="0.25">
      <c r="A560" s="63">
        <v>812400</v>
      </c>
      <c r="B560" s="63">
        <v>202112</v>
      </c>
      <c r="C560" s="64">
        <v>50160</v>
      </c>
      <c r="D560" s="64">
        <v>3.73</v>
      </c>
      <c r="F560" s="93" cm="1">
        <f t="array" ref="F560">SUM(D549:D560/12)</f>
        <v>3.7300000000000009</v>
      </c>
      <c r="H560" s="65">
        <v>4</v>
      </c>
    </row>
    <row r="561" spans="1:8" x14ac:dyDescent="0.25">
      <c r="A561" s="66" t="s">
        <v>805</v>
      </c>
      <c r="B561" s="63"/>
      <c r="C561" s="67">
        <f>SUM(C549:C560)</f>
        <v>612178.38</v>
      </c>
      <c r="H561" s="65"/>
    </row>
    <row r="562" spans="1:8" x14ac:dyDescent="0.25">
      <c r="A562" s="63">
        <v>812510</v>
      </c>
      <c r="B562" s="63">
        <v>202101</v>
      </c>
      <c r="C562" s="64">
        <v>35217.800000000003</v>
      </c>
      <c r="H562" s="65">
        <v>15</v>
      </c>
    </row>
    <row r="563" spans="1:8" x14ac:dyDescent="0.25">
      <c r="A563" s="63">
        <v>812510</v>
      </c>
      <c r="B563" s="63">
        <v>202102</v>
      </c>
      <c r="C563" s="64">
        <v>5722.79</v>
      </c>
      <c r="H563" s="65">
        <v>1</v>
      </c>
    </row>
    <row r="564" spans="1:8" x14ac:dyDescent="0.25">
      <c r="A564" s="63">
        <v>812510</v>
      </c>
      <c r="B564" s="63">
        <v>202103</v>
      </c>
      <c r="C564" s="64">
        <v>11561.54</v>
      </c>
      <c r="H564" s="65">
        <v>7</v>
      </c>
    </row>
    <row r="565" spans="1:8" x14ac:dyDescent="0.25">
      <c r="A565" s="63">
        <v>812510</v>
      </c>
      <c r="B565" s="63">
        <v>202104</v>
      </c>
      <c r="C565" s="64">
        <v>6812.32</v>
      </c>
      <c r="H565" s="65">
        <v>4</v>
      </c>
    </row>
    <row r="566" spans="1:8" x14ac:dyDescent="0.25">
      <c r="A566" s="63">
        <v>812510</v>
      </c>
      <c r="B566" s="63">
        <v>202105</v>
      </c>
      <c r="C566" s="64">
        <v>1517.35</v>
      </c>
      <c r="H566" s="65">
        <v>3</v>
      </c>
    </row>
    <row r="567" spans="1:8" x14ac:dyDescent="0.25">
      <c r="A567" s="63">
        <v>812510</v>
      </c>
      <c r="B567" s="63">
        <v>202106</v>
      </c>
      <c r="C567" s="64">
        <f>21294.96+3935</f>
        <v>25229.96</v>
      </c>
      <c r="H567" s="65">
        <v>4</v>
      </c>
    </row>
    <row r="568" spans="1:8" x14ac:dyDescent="0.25">
      <c r="A568" s="63">
        <v>812510</v>
      </c>
      <c r="B568" s="63">
        <v>202107</v>
      </c>
      <c r="C568" s="64">
        <v>23734.23</v>
      </c>
      <c r="H568" s="65">
        <v>7</v>
      </c>
    </row>
    <row r="569" spans="1:8" x14ac:dyDescent="0.25">
      <c r="A569" s="63">
        <v>812510</v>
      </c>
      <c r="B569" s="63">
        <v>202108</v>
      </c>
      <c r="C569" s="64">
        <v>15000</v>
      </c>
      <c r="H569" s="65">
        <v>7</v>
      </c>
    </row>
    <row r="570" spans="1:8" x14ac:dyDescent="0.25">
      <c r="A570" s="63">
        <v>812510</v>
      </c>
      <c r="B570" s="63">
        <v>202109</v>
      </c>
      <c r="C570" s="64">
        <v>15000</v>
      </c>
      <c r="H570" s="65">
        <v>7</v>
      </c>
    </row>
    <row r="571" spans="1:8" x14ac:dyDescent="0.25">
      <c r="A571" s="63">
        <v>812510</v>
      </c>
      <c r="B571" s="63">
        <v>202110</v>
      </c>
      <c r="C571" s="64">
        <v>15000</v>
      </c>
      <c r="H571" s="65">
        <v>7</v>
      </c>
    </row>
    <row r="572" spans="1:8" x14ac:dyDescent="0.25">
      <c r="A572" s="63">
        <v>812510</v>
      </c>
      <c r="B572" s="63">
        <v>202111</v>
      </c>
      <c r="C572" s="64">
        <v>15000</v>
      </c>
      <c r="H572" s="65">
        <v>7</v>
      </c>
    </row>
    <row r="573" spans="1:8" x14ac:dyDescent="0.25">
      <c r="A573" s="63">
        <v>812510</v>
      </c>
      <c r="B573" s="63">
        <v>202112</v>
      </c>
      <c r="C573" s="64">
        <v>15000</v>
      </c>
      <c r="F573" s="93" cm="1">
        <f t="array" ref="F573">SUM(D562:D573/12)</f>
        <v>0</v>
      </c>
      <c r="H573" s="65">
        <v>7</v>
      </c>
    </row>
    <row r="574" spans="1:8" x14ac:dyDescent="0.25">
      <c r="A574" s="66" t="s">
        <v>806</v>
      </c>
      <c r="B574" s="63"/>
      <c r="C574" s="67">
        <f>SUM(C562:C573)</f>
        <v>184795.99</v>
      </c>
      <c r="H574" s="65"/>
    </row>
    <row r="575" spans="1:8" x14ac:dyDescent="0.25">
      <c r="A575" s="63">
        <v>812520</v>
      </c>
      <c r="B575" s="63">
        <v>202104</v>
      </c>
      <c r="C575" s="64">
        <v>8661.9</v>
      </c>
      <c r="H575" s="65">
        <v>5</v>
      </c>
    </row>
    <row r="576" spans="1:8" x14ac:dyDescent="0.25">
      <c r="A576" s="63">
        <v>812520</v>
      </c>
      <c r="B576" s="63">
        <v>202106</v>
      </c>
      <c r="C576" s="64">
        <v>1.1399999999999999</v>
      </c>
      <c r="H576" s="65">
        <v>1</v>
      </c>
    </row>
    <row r="577" spans="1:8" x14ac:dyDescent="0.25">
      <c r="A577" s="63">
        <v>812520</v>
      </c>
      <c r="B577" s="63">
        <v>202107</v>
      </c>
      <c r="C577" s="64">
        <v>102245.3</v>
      </c>
      <c r="H577" s="65">
        <v>16</v>
      </c>
    </row>
    <row r="578" spans="1:8" x14ac:dyDescent="0.25">
      <c r="A578" s="66" t="s">
        <v>807</v>
      </c>
      <c r="B578" s="63"/>
      <c r="C578" s="67">
        <f>SUBTOTAL(9,C575:C577)</f>
        <v>110908.34</v>
      </c>
      <c r="H578" s="65"/>
    </row>
    <row r="579" spans="1:8" x14ac:dyDescent="0.25">
      <c r="A579" s="63">
        <v>812600</v>
      </c>
      <c r="B579" s="63">
        <v>202101</v>
      </c>
      <c r="C579" s="64">
        <v>279228.69</v>
      </c>
      <c r="D579" s="64">
        <v>32.844999999999999</v>
      </c>
      <c r="H579" s="65">
        <v>48</v>
      </c>
    </row>
    <row r="580" spans="1:8" x14ac:dyDescent="0.25">
      <c r="A580" s="63">
        <v>812600</v>
      </c>
      <c r="B580" s="63">
        <v>202102</v>
      </c>
      <c r="C580" s="64">
        <v>383749.32</v>
      </c>
      <c r="D580" s="64">
        <v>32.344999999999999</v>
      </c>
      <c r="H580" s="65">
        <v>49</v>
      </c>
    </row>
    <row r="581" spans="1:8" x14ac:dyDescent="0.25">
      <c r="A581" s="63">
        <v>812600</v>
      </c>
      <c r="B581" s="63">
        <v>202103</v>
      </c>
      <c r="C581" s="64">
        <v>353513.63</v>
      </c>
      <c r="D581" s="64">
        <v>31.58</v>
      </c>
      <c r="H581" s="65">
        <v>50</v>
      </c>
    </row>
    <row r="582" spans="1:8" x14ac:dyDescent="0.25">
      <c r="A582" s="63">
        <v>812600</v>
      </c>
      <c r="B582" s="63">
        <v>202104</v>
      </c>
      <c r="C582" s="64">
        <v>324822.14</v>
      </c>
      <c r="D582" s="64">
        <v>31.221</v>
      </c>
      <c r="H582" s="65">
        <v>49</v>
      </c>
    </row>
    <row r="583" spans="1:8" x14ac:dyDescent="0.25">
      <c r="A583" s="63">
        <v>812600</v>
      </c>
      <c r="B583" s="63">
        <v>202105</v>
      </c>
      <c r="C583" s="64">
        <v>364887.07</v>
      </c>
      <c r="D583" s="64">
        <v>31.614999999999998</v>
      </c>
      <c r="H583" s="65">
        <v>50</v>
      </c>
    </row>
    <row r="584" spans="1:8" x14ac:dyDescent="0.25">
      <c r="A584" s="63">
        <v>812600</v>
      </c>
      <c r="B584" s="63">
        <v>202106</v>
      </c>
      <c r="C584" s="64">
        <v>543631.1</v>
      </c>
      <c r="D584" s="64">
        <v>31.614999999999998</v>
      </c>
      <c r="H584" s="65">
        <v>53</v>
      </c>
    </row>
    <row r="585" spans="1:8" x14ac:dyDescent="0.25">
      <c r="A585" s="63">
        <v>812600</v>
      </c>
      <c r="B585" s="63">
        <v>202107</v>
      </c>
      <c r="C585" s="64">
        <v>397740.02</v>
      </c>
      <c r="D585" s="64">
        <v>30.995000000000001</v>
      </c>
      <c r="H585" s="65">
        <v>53</v>
      </c>
    </row>
    <row r="586" spans="1:8" x14ac:dyDescent="0.25">
      <c r="A586" s="63">
        <v>812600</v>
      </c>
      <c r="B586" s="63">
        <v>202108</v>
      </c>
      <c r="C586" s="64">
        <v>365000</v>
      </c>
      <c r="D586" s="64">
        <v>30.995000000000001</v>
      </c>
      <c r="H586" s="65">
        <v>53</v>
      </c>
    </row>
    <row r="587" spans="1:8" x14ac:dyDescent="0.25">
      <c r="A587" s="63">
        <v>812600</v>
      </c>
      <c r="B587" s="63">
        <v>202109</v>
      </c>
      <c r="C587" s="64">
        <f>365000+3600</f>
        <v>368600</v>
      </c>
      <c r="D587" s="64">
        <v>30.995000000000001</v>
      </c>
      <c r="H587" s="65">
        <v>53</v>
      </c>
    </row>
    <row r="588" spans="1:8" x14ac:dyDescent="0.25">
      <c r="A588" s="63">
        <v>812600</v>
      </c>
      <c r="B588" s="63">
        <v>202110</v>
      </c>
      <c r="C588" s="64">
        <v>365000</v>
      </c>
      <c r="D588" s="64">
        <v>30.995000000000001</v>
      </c>
      <c r="H588" s="65">
        <v>53</v>
      </c>
    </row>
    <row r="589" spans="1:8" x14ac:dyDescent="0.25">
      <c r="A589" s="63">
        <v>812600</v>
      </c>
      <c r="B589" s="63">
        <v>202111</v>
      </c>
      <c r="C589" s="64">
        <v>365000</v>
      </c>
      <c r="D589" s="64">
        <v>30.995000000000001</v>
      </c>
      <c r="H589" s="65">
        <v>53</v>
      </c>
    </row>
    <row r="590" spans="1:8" x14ac:dyDescent="0.25">
      <c r="A590" s="63">
        <v>812600</v>
      </c>
      <c r="B590" s="63">
        <v>202112</v>
      </c>
      <c r="C590" s="64">
        <v>365000</v>
      </c>
      <c r="D590" s="64">
        <v>31</v>
      </c>
      <c r="F590" s="93" cm="1">
        <f t="array" ref="F590">SUM(D579:D590/12)</f>
        <v>31.432999999999993</v>
      </c>
      <c r="H590" s="65">
        <v>53</v>
      </c>
    </row>
    <row r="591" spans="1:8" x14ac:dyDescent="0.25">
      <c r="A591" s="66" t="s">
        <v>808</v>
      </c>
      <c r="B591" s="63"/>
      <c r="C591" s="67">
        <f>SUM(C579:C590)</f>
        <v>4476171.9700000007</v>
      </c>
      <c r="H591" s="65"/>
    </row>
    <row r="592" spans="1:8" x14ac:dyDescent="0.25">
      <c r="A592" s="63">
        <v>812700</v>
      </c>
      <c r="B592" s="63">
        <v>202101</v>
      </c>
      <c r="C592" s="64">
        <v>50328.22</v>
      </c>
      <c r="D592" s="64">
        <v>4.21</v>
      </c>
      <c r="H592" s="65">
        <v>5</v>
      </c>
    </row>
    <row r="593" spans="1:8" x14ac:dyDescent="0.25">
      <c r="A593" s="63">
        <v>812700</v>
      </c>
      <c r="B593" s="63">
        <v>202102</v>
      </c>
      <c r="C593" s="64">
        <v>44307.519999999997</v>
      </c>
      <c r="D593" s="64">
        <v>4.21</v>
      </c>
      <c r="H593" s="65">
        <v>5</v>
      </c>
    </row>
    <row r="594" spans="1:8" x14ac:dyDescent="0.25">
      <c r="A594" s="63">
        <v>812700</v>
      </c>
      <c r="B594" s="63">
        <v>202103</v>
      </c>
      <c r="C594" s="64">
        <v>61945.33</v>
      </c>
      <c r="D594" s="64">
        <v>4.21</v>
      </c>
      <c r="H594" s="65">
        <v>5</v>
      </c>
    </row>
    <row r="595" spans="1:8" x14ac:dyDescent="0.25">
      <c r="A595" s="63">
        <v>812700</v>
      </c>
      <c r="B595" s="63">
        <v>202104</v>
      </c>
      <c r="C595" s="64">
        <v>59177.34</v>
      </c>
      <c r="D595" s="64">
        <v>4.21</v>
      </c>
      <c r="H595" s="65">
        <v>5</v>
      </c>
    </row>
    <row r="596" spans="1:8" x14ac:dyDescent="0.25">
      <c r="A596" s="63">
        <v>812700</v>
      </c>
      <c r="B596" s="63">
        <v>202105</v>
      </c>
      <c r="C596" s="64">
        <v>55337.34</v>
      </c>
      <c r="D596" s="64">
        <v>4.21</v>
      </c>
      <c r="H596" s="65">
        <v>5</v>
      </c>
    </row>
    <row r="597" spans="1:8" x14ac:dyDescent="0.25">
      <c r="A597" s="63">
        <v>812700</v>
      </c>
      <c r="B597" s="63">
        <v>202106</v>
      </c>
      <c r="C597" s="64">
        <v>110802.77</v>
      </c>
      <c r="D597" s="64">
        <v>4.21</v>
      </c>
      <c r="H597" s="65">
        <v>5</v>
      </c>
    </row>
    <row r="598" spans="1:8" x14ac:dyDescent="0.25">
      <c r="A598" s="63">
        <v>812700</v>
      </c>
      <c r="B598" s="63">
        <v>202107</v>
      </c>
      <c r="C598" s="64">
        <v>65267.66</v>
      </c>
      <c r="D598" s="64">
        <v>4.21</v>
      </c>
      <c r="H598" s="65">
        <v>5</v>
      </c>
    </row>
    <row r="599" spans="1:8" x14ac:dyDescent="0.25">
      <c r="A599" s="63">
        <v>812700</v>
      </c>
      <c r="B599" s="63">
        <v>202108</v>
      </c>
      <c r="C599" s="64">
        <v>55000</v>
      </c>
      <c r="D599" s="64">
        <v>4.21</v>
      </c>
      <c r="H599" s="65">
        <v>5</v>
      </c>
    </row>
    <row r="600" spans="1:8" x14ac:dyDescent="0.25">
      <c r="A600" s="63">
        <v>812700</v>
      </c>
      <c r="B600" s="63">
        <v>202109</v>
      </c>
      <c r="C600" s="64">
        <v>55000</v>
      </c>
      <c r="D600" s="64">
        <v>4.21</v>
      </c>
      <c r="H600" s="65">
        <v>5</v>
      </c>
    </row>
    <row r="601" spans="1:8" x14ac:dyDescent="0.25">
      <c r="A601" s="63">
        <v>812700</v>
      </c>
      <c r="B601" s="63">
        <v>202110</v>
      </c>
      <c r="C601" s="64">
        <v>55000</v>
      </c>
      <c r="D601" s="64">
        <v>4.21</v>
      </c>
      <c r="H601" s="65">
        <v>5</v>
      </c>
    </row>
    <row r="602" spans="1:8" x14ac:dyDescent="0.25">
      <c r="A602" s="63">
        <v>812700</v>
      </c>
      <c r="B602" s="63">
        <v>202111</v>
      </c>
      <c r="C602" s="64">
        <v>55000</v>
      </c>
      <c r="D602" s="64">
        <v>4.21</v>
      </c>
      <c r="H602" s="65">
        <v>5</v>
      </c>
    </row>
    <row r="603" spans="1:8" x14ac:dyDescent="0.25">
      <c r="A603" s="63">
        <v>812700</v>
      </c>
      <c r="B603" s="63">
        <v>202112</v>
      </c>
      <c r="C603" s="64">
        <v>55000</v>
      </c>
      <c r="D603" s="64">
        <v>4.21</v>
      </c>
      <c r="F603" s="93" cm="1">
        <f t="array" ref="F603">SUM(D592:D603/12)</f>
        <v>4.2099999999999991</v>
      </c>
      <c r="H603" s="65">
        <v>5</v>
      </c>
    </row>
    <row r="604" spans="1:8" x14ac:dyDescent="0.25">
      <c r="A604" s="66" t="s">
        <v>809</v>
      </c>
      <c r="B604" s="63"/>
      <c r="C604" s="67">
        <f>SUM(C592:C603)</f>
        <v>722166.18</v>
      </c>
      <c r="H604" s="65"/>
    </row>
    <row r="605" spans="1:8" x14ac:dyDescent="0.25">
      <c r="A605" s="63">
        <v>812800</v>
      </c>
      <c r="B605" s="63">
        <v>202101</v>
      </c>
      <c r="C605" s="64">
        <v>145614.10999999999</v>
      </c>
      <c r="D605" s="64">
        <v>14.788</v>
      </c>
      <c r="H605" s="65">
        <v>19</v>
      </c>
    </row>
    <row r="606" spans="1:8" x14ac:dyDescent="0.25">
      <c r="A606" s="63">
        <v>812800</v>
      </c>
      <c r="B606" s="63">
        <v>202102</v>
      </c>
      <c r="C606" s="64">
        <v>152979.01999999999</v>
      </c>
      <c r="D606" s="64">
        <v>14.718999999999999</v>
      </c>
      <c r="H606" s="65">
        <v>19</v>
      </c>
    </row>
    <row r="607" spans="1:8" x14ac:dyDescent="0.25">
      <c r="A607" s="63">
        <v>812800</v>
      </c>
      <c r="B607" s="63">
        <v>202103</v>
      </c>
      <c r="C607" s="64">
        <v>151714.69</v>
      </c>
      <c r="D607" s="64">
        <v>14.718999999999999</v>
      </c>
      <c r="H607" s="65">
        <v>19</v>
      </c>
    </row>
    <row r="608" spans="1:8" x14ac:dyDescent="0.25">
      <c r="A608" s="63">
        <v>812800</v>
      </c>
      <c r="B608" s="63">
        <v>202104</v>
      </c>
      <c r="C608" s="64">
        <v>154029.46</v>
      </c>
      <c r="D608" s="64">
        <v>14.718999999999999</v>
      </c>
      <c r="H608" s="65">
        <v>19</v>
      </c>
    </row>
    <row r="609" spans="1:8" x14ac:dyDescent="0.25">
      <c r="A609" s="63">
        <v>812800</v>
      </c>
      <c r="B609" s="63">
        <v>202105</v>
      </c>
      <c r="C609" s="64">
        <v>162665.41</v>
      </c>
      <c r="D609" s="64">
        <v>14.718999999999999</v>
      </c>
      <c r="H609" s="65">
        <v>19</v>
      </c>
    </row>
    <row r="610" spans="1:8" x14ac:dyDescent="0.25">
      <c r="A610" s="63">
        <v>812800</v>
      </c>
      <c r="B610" s="63">
        <v>202106</v>
      </c>
      <c r="C610" s="64">
        <v>244734.36</v>
      </c>
      <c r="D610" s="64">
        <v>14.718999999999999</v>
      </c>
      <c r="H610" s="65">
        <v>19</v>
      </c>
    </row>
    <row r="611" spans="1:8" x14ac:dyDescent="0.25">
      <c r="A611" s="63">
        <v>812800</v>
      </c>
      <c r="B611" s="63">
        <v>202107</v>
      </c>
      <c r="C611" s="64">
        <v>186412.72</v>
      </c>
      <c r="D611" s="64">
        <v>14.718999999999999</v>
      </c>
      <c r="H611" s="65">
        <v>19</v>
      </c>
    </row>
    <row r="612" spans="1:8" x14ac:dyDescent="0.25">
      <c r="A612" s="63">
        <v>812800</v>
      </c>
      <c r="B612" s="63">
        <v>202108</v>
      </c>
      <c r="C612" s="64">
        <v>160000</v>
      </c>
      <c r="D612" s="64">
        <v>14.718999999999999</v>
      </c>
      <c r="H612" s="65">
        <v>19</v>
      </c>
    </row>
    <row r="613" spans="1:8" x14ac:dyDescent="0.25">
      <c r="A613" s="63">
        <v>812800</v>
      </c>
      <c r="B613" s="63">
        <v>202109</v>
      </c>
      <c r="C613" s="64">
        <f>160000+13000</f>
        <v>173000</v>
      </c>
      <c r="D613" s="64">
        <v>14.718999999999999</v>
      </c>
      <c r="H613" s="65">
        <v>19</v>
      </c>
    </row>
    <row r="614" spans="1:8" x14ac:dyDescent="0.25">
      <c r="A614" s="63">
        <v>812800</v>
      </c>
      <c r="B614" s="63">
        <v>202110</v>
      </c>
      <c r="C614" s="64">
        <v>160000</v>
      </c>
      <c r="D614" s="64">
        <v>14.718999999999999</v>
      </c>
      <c r="H614" s="65">
        <v>19</v>
      </c>
    </row>
    <row r="615" spans="1:8" x14ac:dyDescent="0.25">
      <c r="A615" s="63">
        <v>812800</v>
      </c>
      <c r="B615" s="63">
        <v>202111</v>
      </c>
      <c r="C615" s="64">
        <v>160000</v>
      </c>
      <c r="D615" s="64">
        <v>14.718999999999999</v>
      </c>
      <c r="H615" s="65">
        <v>19</v>
      </c>
    </row>
    <row r="616" spans="1:8" x14ac:dyDescent="0.25">
      <c r="A616" s="63">
        <v>812800</v>
      </c>
      <c r="B616" s="63">
        <v>202112</v>
      </c>
      <c r="C616" s="64">
        <v>160000</v>
      </c>
      <c r="D616" s="64">
        <v>14.718999999999999</v>
      </c>
      <c r="F616" s="93" cm="1">
        <f t="array" ref="F616">SUM(D605:D616/12)</f>
        <v>14.724750000000004</v>
      </c>
      <c r="H616" s="65">
        <v>19</v>
      </c>
    </row>
    <row r="617" spans="1:8" x14ac:dyDescent="0.25">
      <c r="A617" s="66" t="s">
        <v>810</v>
      </c>
      <c r="B617" s="63"/>
      <c r="C617" s="67">
        <f>SUM(C605:C616)</f>
        <v>2011149.77</v>
      </c>
      <c r="H617" s="65"/>
    </row>
    <row r="618" spans="1:8" x14ac:dyDescent="0.25">
      <c r="A618" s="63">
        <v>812900</v>
      </c>
      <c r="B618" s="63">
        <v>202101</v>
      </c>
      <c r="C618" s="64">
        <f>95039.55+210.19</f>
        <v>95249.74</v>
      </c>
      <c r="D618" s="64">
        <v>9.8800000000000008</v>
      </c>
      <c r="H618" s="65">
        <v>10</v>
      </c>
    </row>
    <row r="619" spans="1:8" x14ac:dyDescent="0.25">
      <c r="A619" s="63">
        <v>812900</v>
      </c>
      <c r="B619" s="63">
        <v>202102</v>
      </c>
      <c r="C619" s="64">
        <v>102080.28</v>
      </c>
      <c r="D619" s="64">
        <v>9.8800000000000008</v>
      </c>
      <c r="H619" s="65">
        <v>10</v>
      </c>
    </row>
    <row r="620" spans="1:8" x14ac:dyDescent="0.25">
      <c r="A620" s="63">
        <v>812900</v>
      </c>
      <c r="B620" s="63">
        <v>202103</v>
      </c>
      <c r="C620" s="64">
        <v>101867.19</v>
      </c>
      <c r="D620" s="64">
        <v>9.8800000000000008</v>
      </c>
      <c r="H620" s="65">
        <v>10</v>
      </c>
    </row>
    <row r="621" spans="1:8" x14ac:dyDescent="0.25">
      <c r="A621" s="63">
        <v>812900</v>
      </c>
      <c r="B621" s="63">
        <v>202104</v>
      </c>
      <c r="C621" s="64">
        <v>101810.62</v>
      </c>
      <c r="D621" s="64">
        <v>9.8800000000000008</v>
      </c>
      <c r="H621" s="65">
        <v>10</v>
      </c>
    </row>
    <row r="622" spans="1:8" x14ac:dyDescent="0.25">
      <c r="A622" s="63">
        <v>812900</v>
      </c>
      <c r="B622" s="63">
        <v>202105</v>
      </c>
      <c r="C622" s="64">
        <v>107703</v>
      </c>
      <c r="D622" s="64">
        <v>9.8800000000000008</v>
      </c>
      <c r="H622" s="65">
        <v>10</v>
      </c>
    </row>
    <row r="623" spans="1:8" x14ac:dyDescent="0.25">
      <c r="A623" s="63">
        <v>812900</v>
      </c>
      <c r="B623" s="63">
        <v>202106</v>
      </c>
      <c r="C623" s="64">
        <v>167063.04000000001</v>
      </c>
      <c r="D623" s="64">
        <v>9.8800000000000008</v>
      </c>
      <c r="H623" s="65">
        <v>10</v>
      </c>
    </row>
    <row r="624" spans="1:8" x14ac:dyDescent="0.25">
      <c r="A624" s="63">
        <v>812900</v>
      </c>
      <c r="B624" s="63">
        <v>202107</v>
      </c>
      <c r="C624" s="64">
        <f>125988.6+132.35</f>
        <v>126120.95000000001</v>
      </c>
      <c r="D624" s="64">
        <v>9.8800000000000008</v>
      </c>
      <c r="H624" s="65">
        <v>10</v>
      </c>
    </row>
    <row r="625" spans="1:8" x14ac:dyDescent="0.25">
      <c r="A625" s="63">
        <v>812900</v>
      </c>
      <c r="B625" s="63">
        <v>202108</v>
      </c>
      <c r="C625" s="64">
        <v>108000</v>
      </c>
      <c r="D625" s="64">
        <v>9.8800000000000008</v>
      </c>
      <c r="H625" s="65">
        <v>10</v>
      </c>
    </row>
    <row r="626" spans="1:8" x14ac:dyDescent="0.25">
      <c r="A626" s="63">
        <v>812900</v>
      </c>
      <c r="B626" s="63">
        <v>202109</v>
      </c>
      <c r="C626" s="64">
        <f>108000+5600</f>
        <v>113600</v>
      </c>
      <c r="D626" s="64">
        <v>9.8800000000000008</v>
      </c>
      <c r="H626" s="65">
        <v>10</v>
      </c>
    </row>
    <row r="627" spans="1:8" x14ac:dyDescent="0.25">
      <c r="A627" s="63">
        <v>812900</v>
      </c>
      <c r="B627" s="63">
        <v>202110</v>
      </c>
      <c r="C627" s="64">
        <v>108000</v>
      </c>
      <c r="D627" s="64">
        <v>9.8800000000000008</v>
      </c>
      <c r="H627" s="65">
        <v>10</v>
      </c>
    </row>
    <row r="628" spans="1:8" x14ac:dyDescent="0.25">
      <c r="A628" s="63">
        <v>812900</v>
      </c>
      <c r="B628" s="63">
        <v>202111</v>
      </c>
      <c r="C628" s="64">
        <v>108000</v>
      </c>
      <c r="D628" s="64">
        <v>9.8800000000000008</v>
      </c>
      <c r="H628" s="65">
        <v>10</v>
      </c>
    </row>
    <row r="629" spans="1:8" x14ac:dyDescent="0.25">
      <c r="A629" s="63">
        <v>812900</v>
      </c>
      <c r="B629" s="63">
        <v>202112</v>
      </c>
      <c r="C629" s="64">
        <v>108000</v>
      </c>
      <c r="D629" s="64">
        <v>9.8800000000000008</v>
      </c>
      <c r="H629" s="65">
        <v>10</v>
      </c>
    </row>
    <row r="630" spans="1:8" x14ac:dyDescent="0.25">
      <c r="A630" s="63">
        <v>812900</v>
      </c>
      <c r="B630" s="63">
        <v>202113</v>
      </c>
      <c r="C630" s="64">
        <v>108000</v>
      </c>
      <c r="D630" s="64">
        <v>9.8800000000000008</v>
      </c>
      <c r="F630" s="93" cm="1">
        <f t="array" ref="F630">SUM(D619:D630/12)</f>
        <v>9.8800000000000026</v>
      </c>
      <c r="H630" s="65">
        <v>10</v>
      </c>
    </row>
    <row r="631" spans="1:8" x14ac:dyDescent="0.25">
      <c r="A631" s="66" t="s">
        <v>811</v>
      </c>
      <c r="B631" s="63"/>
      <c r="C631" s="67">
        <f>SUM(C618:C630)</f>
        <v>1455494.82</v>
      </c>
      <c r="H631" s="65"/>
    </row>
    <row r="632" spans="1:8" x14ac:dyDescent="0.25">
      <c r="A632" s="63">
        <v>813210</v>
      </c>
      <c r="B632" s="63">
        <v>202101</v>
      </c>
      <c r="C632" s="64">
        <v>58203.34</v>
      </c>
      <c r="D632" s="64">
        <v>5.8</v>
      </c>
      <c r="H632" s="65">
        <v>7</v>
      </c>
    </row>
    <row r="633" spans="1:8" x14ac:dyDescent="0.25">
      <c r="A633" s="63">
        <v>813210</v>
      </c>
      <c r="B633" s="63">
        <v>202102</v>
      </c>
      <c r="C633" s="64">
        <v>53701.87</v>
      </c>
      <c r="D633" s="64">
        <v>5.8</v>
      </c>
      <c r="H633" s="65">
        <v>7</v>
      </c>
    </row>
    <row r="634" spans="1:8" x14ac:dyDescent="0.25">
      <c r="A634" s="63">
        <v>813210</v>
      </c>
      <c r="B634" s="63">
        <v>202103</v>
      </c>
      <c r="C634" s="64">
        <v>69356.22</v>
      </c>
      <c r="D634" s="64">
        <v>5.8</v>
      </c>
      <c r="H634" s="65">
        <v>7</v>
      </c>
    </row>
    <row r="635" spans="1:8" x14ac:dyDescent="0.25">
      <c r="A635" s="63">
        <v>813210</v>
      </c>
      <c r="B635" s="63">
        <v>202104</v>
      </c>
      <c r="C635" s="64">
        <v>69944.55</v>
      </c>
      <c r="D635" s="64">
        <v>5.8</v>
      </c>
      <c r="H635" s="65">
        <v>7</v>
      </c>
    </row>
    <row r="636" spans="1:8" x14ac:dyDescent="0.25">
      <c r="A636" s="63">
        <v>813210</v>
      </c>
      <c r="B636" s="63">
        <v>202105</v>
      </c>
      <c r="C636" s="64">
        <v>71892.990000000005</v>
      </c>
      <c r="D636" s="64">
        <v>5.8</v>
      </c>
      <c r="H636" s="65">
        <v>7</v>
      </c>
    </row>
    <row r="637" spans="1:8" x14ac:dyDescent="0.25">
      <c r="A637" s="63">
        <v>813210</v>
      </c>
      <c r="B637" s="63">
        <v>202106</v>
      </c>
      <c r="C637" s="64">
        <v>108182.95</v>
      </c>
      <c r="D637" s="64">
        <v>5.8</v>
      </c>
      <c r="H637" s="65">
        <v>7</v>
      </c>
    </row>
    <row r="638" spans="1:8" x14ac:dyDescent="0.25">
      <c r="A638" s="63">
        <v>813210</v>
      </c>
      <c r="B638" s="63">
        <v>202107</v>
      </c>
      <c r="C638" s="64">
        <v>86648.22</v>
      </c>
      <c r="D638" s="64">
        <v>5.8</v>
      </c>
      <c r="H638" s="65">
        <v>7</v>
      </c>
    </row>
    <row r="639" spans="1:8" x14ac:dyDescent="0.25">
      <c r="A639" s="63">
        <v>813210</v>
      </c>
      <c r="B639" s="63">
        <v>202108</v>
      </c>
      <c r="C639" s="64">
        <v>72900</v>
      </c>
      <c r="D639" s="64">
        <v>5.8</v>
      </c>
      <c r="H639" s="65">
        <v>7</v>
      </c>
    </row>
    <row r="640" spans="1:8" x14ac:dyDescent="0.25">
      <c r="A640" s="63">
        <v>813210</v>
      </c>
      <c r="B640" s="63">
        <v>202109</v>
      </c>
      <c r="C640" s="64">
        <f>72900+5100</f>
        <v>78000</v>
      </c>
      <c r="D640" s="64">
        <v>5.8</v>
      </c>
      <c r="H640" s="65">
        <v>7</v>
      </c>
    </row>
    <row r="641" spans="1:8" x14ac:dyDescent="0.25">
      <c r="A641" s="63">
        <v>813210</v>
      </c>
      <c r="B641" s="63">
        <v>202110</v>
      </c>
      <c r="C641" s="64">
        <v>72900</v>
      </c>
      <c r="D641" s="64">
        <v>5.8</v>
      </c>
      <c r="H641" s="65">
        <v>7</v>
      </c>
    </row>
    <row r="642" spans="1:8" x14ac:dyDescent="0.25">
      <c r="A642" s="63">
        <v>813210</v>
      </c>
      <c r="B642" s="63">
        <v>202111</v>
      </c>
      <c r="C642" s="64">
        <v>72900</v>
      </c>
      <c r="D642" s="64">
        <v>5.8</v>
      </c>
      <c r="H642" s="65">
        <v>7</v>
      </c>
    </row>
    <row r="643" spans="1:8" x14ac:dyDescent="0.25">
      <c r="A643" s="63">
        <v>813210</v>
      </c>
      <c r="B643" s="63">
        <v>202112</v>
      </c>
      <c r="C643" s="64">
        <v>72900</v>
      </c>
      <c r="D643" s="64">
        <v>5.8</v>
      </c>
      <c r="F643" s="93" cm="1">
        <f t="array" ref="F643">SUM(D632:D643/12)</f>
        <v>5.8</v>
      </c>
      <c r="H643" s="65">
        <v>7</v>
      </c>
    </row>
    <row r="644" spans="1:8" x14ac:dyDescent="0.25">
      <c r="A644" s="66" t="s">
        <v>812</v>
      </c>
      <c r="B644" s="63"/>
      <c r="C644" s="67">
        <f>SUM(C632:C643)</f>
        <v>887530.14</v>
      </c>
      <c r="H644" s="65"/>
    </row>
    <row r="645" spans="1:8" x14ac:dyDescent="0.25">
      <c r="A645" s="63">
        <v>813211</v>
      </c>
      <c r="B645" s="63">
        <v>202101</v>
      </c>
      <c r="C645" s="64">
        <v>51197.15</v>
      </c>
      <c r="D645" s="64">
        <v>4.2</v>
      </c>
      <c r="H645" s="65">
        <v>5</v>
      </c>
    </row>
    <row r="646" spans="1:8" x14ac:dyDescent="0.25">
      <c r="A646" s="63">
        <v>813211</v>
      </c>
      <c r="B646" s="63">
        <v>202102</v>
      </c>
      <c r="C646" s="64">
        <v>47913.46</v>
      </c>
      <c r="D646" s="64">
        <v>4.2</v>
      </c>
      <c r="H646" s="65">
        <v>5</v>
      </c>
    </row>
    <row r="647" spans="1:8" x14ac:dyDescent="0.25">
      <c r="A647" s="63">
        <v>813211</v>
      </c>
      <c r="B647" s="63">
        <v>202103</v>
      </c>
      <c r="C647" s="64">
        <v>50817.89</v>
      </c>
      <c r="D647" s="64">
        <v>4.2</v>
      </c>
      <c r="H647" s="65">
        <v>5</v>
      </c>
    </row>
    <row r="648" spans="1:8" x14ac:dyDescent="0.25">
      <c r="A648" s="63">
        <v>813211</v>
      </c>
      <c r="B648" s="63">
        <v>202104</v>
      </c>
      <c r="C648" s="64">
        <v>49972.88</v>
      </c>
      <c r="D648" s="64">
        <v>4.2</v>
      </c>
      <c r="H648" s="65">
        <v>5</v>
      </c>
    </row>
    <row r="649" spans="1:8" x14ac:dyDescent="0.25">
      <c r="A649" s="63">
        <v>813211</v>
      </c>
      <c r="B649" s="63">
        <v>202105</v>
      </c>
      <c r="C649" s="64">
        <v>54786.879999999997</v>
      </c>
      <c r="D649" s="64">
        <v>4.2</v>
      </c>
      <c r="H649" s="65">
        <v>5</v>
      </c>
    </row>
    <row r="650" spans="1:8" x14ac:dyDescent="0.25">
      <c r="A650" s="63">
        <v>813211</v>
      </c>
      <c r="B650" s="63">
        <v>202106</v>
      </c>
      <c r="C650" s="64">
        <v>80008.039999999994</v>
      </c>
      <c r="D650" s="64">
        <v>4.2</v>
      </c>
      <c r="H650" s="65">
        <v>5</v>
      </c>
    </row>
    <row r="651" spans="1:8" x14ac:dyDescent="0.25">
      <c r="A651" s="63">
        <v>813211</v>
      </c>
      <c r="B651" s="63">
        <v>202107</v>
      </c>
      <c r="C651" s="64">
        <v>68872.44</v>
      </c>
      <c r="D651" s="64">
        <v>4.5999999999999996</v>
      </c>
      <c r="H651" s="65">
        <v>5</v>
      </c>
    </row>
    <row r="652" spans="1:8" x14ac:dyDescent="0.25">
      <c r="A652" s="63">
        <v>813211</v>
      </c>
      <c r="B652" s="63">
        <v>202108</v>
      </c>
      <c r="C652" s="64">
        <v>55000</v>
      </c>
      <c r="D652" s="64">
        <v>4.5999999999999996</v>
      </c>
      <c r="H652" s="65">
        <v>5</v>
      </c>
    </row>
    <row r="653" spans="1:8" x14ac:dyDescent="0.25">
      <c r="A653" s="63">
        <v>813211</v>
      </c>
      <c r="B653" s="63">
        <v>202109</v>
      </c>
      <c r="C653" s="64">
        <f>55000+5900</f>
        <v>60900</v>
      </c>
      <c r="D653" s="64">
        <v>4.5999999999999996</v>
      </c>
      <c r="H653" s="65">
        <v>5</v>
      </c>
    </row>
    <row r="654" spans="1:8" x14ac:dyDescent="0.25">
      <c r="A654" s="63">
        <v>813211</v>
      </c>
      <c r="B654" s="63">
        <v>202110</v>
      </c>
      <c r="C654" s="64">
        <v>55000</v>
      </c>
      <c r="D654" s="64">
        <v>4.5999999999999996</v>
      </c>
      <c r="H654" s="65">
        <v>5</v>
      </c>
    </row>
    <row r="655" spans="1:8" x14ac:dyDescent="0.25">
      <c r="A655" s="63">
        <v>813211</v>
      </c>
      <c r="B655" s="63">
        <v>202111</v>
      </c>
      <c r="C655" s="64">
        <v>55000</v>
      </c>
      <c r="D655" s="64">
        <v>4.5999999999999996</v>
      </c>
      <c r="H655" s="65">
        <v>5</v>
      </c>
    </row>
    <row r="656" spans="1:8" x14ac:dyDescent="0.25">
      <c r="A656" s="63">
        <v>813211</v>
      </c>
      <c r="B656" s="63">
        <v>202112</v>
      </c>
      <c r="C656" s="64">
        <v>55000</v>
      </c>
      <c r="D656" s="64">
        <v>4.5999999999999996</v>
      </c>
      <c r="F656" s="93" cm="1">
        <f t="array" ref="F656">SUM(D645:D656/12)</f>
        <v>4.4000000000000004</v>
      </c>
      <c r="H656" s="65">
        <v>5</v>
      </c>
    </row>
    <row r="657" spans="1:8" x14ac:dyDescent="0.25">
      <c r="A657" s="66" t="s">
        <v>813</v>
      </c>
      <c r="B657" s="63"/>
      <c r="C657" s="67">
        <f>SUM(C645:C656)</f>
        <v>684468.74</v>
      </c>
      <c r="H657" s="65"/>
    </row>
    <row r="658" spans="1:8" x14ac:dyDescent="0.25">
      <c r="A658" s="63">
        <v>813212</v>
      </c>
      <c r="B658" s="63">
        <v>202101</v>
      </c>
      <c r="C658" s="64">
        <v>65124.77</v>
      </c>
      <c r="D658" s="64">
        <v>5.4</v>
      </c>
      <c r="H658" s="65">
        <v>7</v>
      </c>
    </row>
    <row r="659" spans="1:8" x14ac:dyDescent="0.25">
      <c r="A659" s="63">
        <v>813212</v>
      </c>
      <c r="B659" s="63">
        <v>202102</v>
      </c>
      <c r="C659" s="64">
        <v>66383.05</v>
      </c>
      <c r="D659" s="64">
        <v>5.4</v>
      </c>
      <c r="H659" s="65">
        <v>7</v>
      </c>
    </row>
    <row r="660" spans="1:8" x14ac:dyDescent="0.25">
      <c r="A660" s="63">
        <v>813212</v>
      </c>
      <c r="B660" s="63">
        <v>202103</v>
      </c>
      <c r="C660" s="64">
        <v>71072.479999999996</v>
      </c>
      <c r="D660" s="64">
        <v>5.4</v>
      </c>
      <c r="H660" s="65">
        <v>7</v>
      </c>
    </row>
    <row r="661" spans="1:8" x14ac:dyDescent="0.25">
      <c r="A661" s="63">
        <v>813212</v>
      </c>
      <c r="B661" s="63">
        <v>202104</v>
      </c>
      <c r="C661" s="64">
        <v>69149.56</v>
      </c>
      <c r="D661" s="64">
        <v>5.4</v>
      </c>
      <c r="H661" s="65">
        <v>7</v>
      </c>
    </row>
    <row r="662" spans="1:8" x14ac:dyDescent="0.25">
      <c r="A662" s="63">
        <v>813212</v>
      </c>
      <c r="B662" s="63">
        <v>202105</v>
      </c>
      <c r="C662" s="64">
        <v>72386.62</v>
      </c>
      <c r="D662" s="64">
        <v>5.4</v>
      </c>
      <c r="H662" s="65">
        <v>7</v>
      </c>
    </row>
    <row r="663" spans="1:8" x14ac:dyDescent="0.25">
      <c r="A663" s="63">
        <v>813212</v>
      </c>
      <c r="B663" s="63">
        <v>202106</v>
      </c>
      <c r="C663" s="64">
        <v>100403.46</v>
      </c>
      <c r="D663" s="64">
        <v>5.4</v>
      </c>
      <c r="H663" s="65">
        <v>7</v>
      </c>
    </row>
    <row r="664" spans="1:8" x14ac:dyDescent="0.25">
      <c r="A664" s="63">
        <v>813212</v>
      </c>
      <c r="B664" s="63">
        <v>202107</v>
      </c>
      <c r="C664" s="64">
        <v>85825</v>
      </c>
      <c r="D664" s="64">
        <v>5.4</v>
      </c>
      <c r="H664" s="65">
        <v>7</v>
      </c>
    </row>
    <row r="665" spans="1:8" x14ac:dyDescent="0.25">
      <c r="A665" s="63">
        <v>813212</v>
      </c>
      <c r="B665" s="63">
        <v>202108</v>
      </c>
      <c r="C665" s="64">
        <v>71000</v>
      </c>
      <c r="D665" s="64">
        <v>5.4</v>
      </c>
      <c r="H665" s="65">
        <v>7</v>
      </c>
    </row>
    <row r="666" spans="1:8" x14ac:dyDescent="0.25">
      <c r="A666" s="63">
        <v>813212</v>
      </c>
      <c r="B666" s="63">
        <v>202109</v>
      </c>
      <c r="C666" s="64">
        <f>71000+5350</f>
        <v>76350</v>
      </c>
      <c r="D666" s="64">
        <v>5.4</v>
      </c>
      <c r="H666" s="65">
        <v>7</v>
      </c>
    </row>
    <row r="667" spans="1:8" x14ac:dyDescent="0.25">
      <c r="A667" s="63">
        <v>813212</v>
      </c>
      <c r="B667" s="63">
        <v>202110</v>
      </c>
      <c r="C667" s="64">
        <v>71000</v>
      </c>
      <c r="D667" s="64">
        <v>5.4</v>
      </c>
      <c r="H667" s="65">
        <v>7</v>
      </c>
    </row>
    <row r="668" spans="1:8" x14ac:dyDescent="0.25">
      <c r="A668" s="63">
        <v>813212</v>
      </c>
      <c r="B668" s="63">
        <v>202111</v>
      </c>
      <c r="C668" s="64">
        <v>71000</v>
      </c>
      <c r="D668" s="64">
        <v>5.4</v>
      </c>
      <c r="H668" s="65">
        <v>7</v>
      </c>
    </row>
    <row r="669" spans="1:8" x14ac:dyDescent="0.25">
      <c r="A669" s="63">
        <v>813212</v>
      </c>
      <c r="B669" s="63">
        <v>202112</v>
      </c>
      <c r="C669" s="64">
        <v>71000</v>
      </c>
      <c r="D669" s="64">
        <v>5.4</v>
      </c>
      <c r="F669" s="93" cm="1">
        <f t="array" ref="F669">SUM(D658:D669/12)</f>
        <v>5.4000000000000012</v>
      </c>
      <c r="H669" s="65">
        <v>7</v>
      </c>
    </row>
    <row r="670" spans="1:8" x14ac:dyDescent="0.25">
      <c r="A670" s="66" t="s">
        <v>814</v>
      </c>
      <c r="B670" s="63"/>
      <c r="C670" s="67">
        <f>SUM(C658:C669)</f>
        <v>890694.94</v>
      </c>
      <c r="H670" s="65"/>
    </row>
    <row r="671" spans="1:8" x14ac:dyDescent="0.25">
      <c r="A671" s="63">
        <v>813213</v>
      </c>
      <c r="B671" s="63">
        <v>202101</v>
      </c>
      <c r="C671" s="64">
        <v>47451.21</v>
      </c>
      <c r="D671" s="64">
        <v>4.5999999999999996</v>
      </c>
      <c r="H671" s="65">
        <v>5</v>
      </c>
    </row>
    <row r="672" spans="1:8" x14ac:dyDescent="0.25">
      <c r="A672" s="63">
        <v>813213</v>
      </c>
      <c r="B672" s="63">
        <v>202102</v>
      </c>
      <c r="C672" s="64">
        <v>47448.21</v>
      </c>
      <c r="D672" s="64">
        <v>4.5999999999999996</v>
      </c>
      <c r="H672" s="65">
        <v>5</v>
      </c>
    </row>
    <row r="673" spans="1:8" x14ac:dyDescent="0.25">
      <c r="A673" s="63">
        <v>813213</v>
      </c>
      <c r="B673" s="63">
        <v>202103</v>
      </c>
      <c r="C673" s="64">
        <v>54359.76</v>
      </c>
      <c r="D673" s="64">
        <v>5.4</v>
      </c>
      <c r="H673" s="65">
        <v>6</v>
      </c>
    </row>
    <row r="674" spans="1:8" x14ac:dyDescent="0.25">
      <c r="A674" s="63">
        <v>813213</v>
      </c>
      <c r="B674" s="63">
        <v>202104</v>
      </c>
      <c r="C674" s="64">
        <v>61365.56</v>
      </c>
      <c r="D674" s="64">
        <v>5.4</v>
      </c>
      <c r="H674" s="65">
        <v>6</v>
      </c>
    </row>
    <row r="675" spans="1:8" x14ac:dyDescent="0.25">
      <c r="A675" s="63">
        <v>813213</v>
      </c>
      <c r="B675" s="63">
        <v>202105</v>
      </c>
      <c r="C675" s="64">
        <v>61043.23</v>
      </c>
      <c r="D675" s="64">
        <v>5.6</v>
      </c>
      <c r="H675" s="65">
        <v>6</v>
      </c>
    </row>
    <row r="676" spans="1:8" x14ac:dyDescent="0.25">
      <c r="A676" s="63">
        <v>813213</v>
      </c>
      <c r="B676" s="63">
        <v>202106</v>
      </c>
      <c r="C676" s="64">
        <v>96999.15</v>
      </c>
      <c r="D676" s="64">
        <v>5.6</v>
      </c>
      <c r="H676" s="65">
        <v>6</v>
      </c>
    </row>
    <row r="677" spans="1:8" x14ac:dyDescent="0.25">
      <c r="A677" s="63">
        <v>813213</v>
      </c>
      <c r="B677" s="63">
        <v>202107</v>
      </c>
      <c r="C677" s="64">
        <v>75917.67</v>
      </c>
      <c r="D677" s="64">
        <v>5.6</v>
      </c>
      <c r="H677" s="65">
        <v>6</v>
      </c>
    </row>
    <row r="678" spans="1:8" x14ac:dyDescent="0.25">
      <c r="A678" s="63">
        <v>813213</v>
      </c>
      <c r="B678" s="63">
        <v>202108</v>
      </c>
      <c r="C678" s="64">
        <v>61500</v>
      </c>
      <c r="D678" s="64">
        <v>5.6</v>
      </c>
      <c r="H678" s="65">
        <v>6</v>
      </c>
    </row>
    <row r="679" spans="1:8" x14ac:dyDescent="0.25">
      <c r="A679" s="63">
        <v>813213</v>
      </c>
      <c r="B679" s="63">
        <v>202109</v>
      </c>
      <c r="C679" s="64">
        <f>61500+5000</f>
        <v>66500</v>
      </c>
      <c r="D679" s="64">
        <v>5.6</v>
      </c>
      <c r="H679" s="65">
        <v>6</v>
      </c>
    </row>
    <row r="680" spans="1:8" x14ac:dyDescent="0.25">
      <c r="A680" s="63">
        <v>813213</v>
      </c>
      <c r="B680" s="63">
        <v>202110</v>
      </c>
      <c r="C680" s="64">
        <v>61500</v>
      </c>
      <c r="D680" s="64">
        <v>5.6</v>
      </c>
      <c r="H680" s="65">
        <v>6</v>
      </c>
    </row>
    <row r="681" spans="1:8" x14ac:dyDescent="0.25">
      <c r="A681" s="63">
        <v>813213</v>
      </c>
      <c r="B681" s="63">
        <v>202111</v>
      </c>
      <c r="C681" s="64">
        <v>61500</v>
      </c>
      <c r="D681" s="64">
        <v>5.6</v>
      </c>
      <c r="H681" s="65">
        <v>6</v>
      </c>
    </row>
    <row r="682" spans="1:8" x14ac:dyDescent="0.25">
      <c r="A682" s="63">
        <v>813213</v>
      </c>
      <c r="B682" s="63">
        <v>202112</v>
      </c>
      <c r="C682" s="64">
        <v>61500</v>
      </c>
      <c r="D682" s="64">
        <v>5.6</v>
      </c>
      <c r="F682" s="93" cm="1">
        <f t="array" ref="F682">SUM(D671:D682/12)</f>
        <v>5.4</v>
      </c>
      <c r="H682" s="65">
        <v>6</v>
      </c>
    </row>
    <row r="683" spans="1:8" x14ac:dyDescent="0.25">
      <c r="A683" s="66" t="s">
        <v>815</v>
      </c>
      <c r="B683" s="63"/>
      <c r="C683" s="67">
        <f>SUM(C671:C682)</f>
        <v>757084.79</v>
      </c>
      <c r="H683" s="65"/>
    </row>
    <row r="684" spans="1:8" x14ac:dyDescent="0.25">
      <c r="A684" s="63">
        <v>813214</v>
      </c>
      <c r="B684" s="63">
        <v>202101</v>
      </c>
      <c r="C684" s="64">
        <v>47726.29</v>
      </c>
      <c r="D684" s="64">
        <v>4.54</v>
      </c>
      <c r="H684" s="65">
        <v>6</v>
      </c>
    </row>
    <row r="685" spans="1:8" x14ac:dyDescent="0.25">
      <c r="A685" s="63">
        <v>813214</v>
      </c>
      <c r="B685" s="63">
        <v>202102</v>
      </c>
      <c r="C685" s="64">
        <v>46208.08</v>
      </c>
      <c r="D685" s="64">
        <v>4.54</v>
      </c>
      <c r="H685" s="65">
        <v>6</v>
      </c>
    </row>
    <row r="686" spans="1:8" x14ac:dyDescent="0.25">
      <c r="A686" s="63">
        <v>813214</v>
      </c>
      <c r="B686" s="63">
        <v>202103</v>
      </c>
      <c r="C686" s="64">
        <v>46609.01</v>
      </c>
      <c r="D686" s="64">
        <v>4.54</v>
      </c>
      <c r="H686" s="65">
        <v>6</v>
      </c>
    </row>
    <row r="687" spans="1:8" x14ac:dyDescent="0.25">
      <c r="A687" s="63">
        <v>813214</v>
      </c>
      <c r="B687" s="63">
        <v>202104</v>
      </c>
      <c r="C687" s="64">
        <v>46523.41</v>
      </c>
      <c r="D687" s="64">
        <v>4.54</v>
      </c>
      <c r="H687" s="65">
        <v>6</v>
      </c>
    </row>
    <row r="688" spans="1:8" x14ac:dyDescent="0.25">
      <c r="A688" s="63">
        <v>813214</v>
      </c>
      <c r="B688" s="63">
        <v>202105</v>
      </c>
      <c r="C688" s="64">
        <v>50844.480000000003</v>
      </c>
      <c r="D688" s="64">
        <v>4.54</v>
      </c>
      <c r="H688" s="65">
        <v>6</v>
      </c>
    </row>
    <row r="689" spans="1:8" x14ac:dyDescent="0.25">
      <c r="A689" s="63">
        <v>813214</v>
      </c>
      <c r="B689" s="63">
        <v>202106</v>
      </c>
      <c r="C689" s="64">
        <v>74183.98</v>
      </c>
      <c r="D689" s="64">
        <v>4.54</v>
      </c>
      <c r="H689" s="65">
        <v>6</v>
      </c>
    </row>
    <row r="690" spans="1:8" x14ac:dyDescent="0.25">
      <c r="A690" s="63">
        <v>813214</v>
      </c>
      <c r="B690" s="63">
        <v>202107</v>
      </c>
      <c r="C690" s="64">
        <v>51365.23</v>
      </c>
      <c r="D690" s="64">
        <v>3.84</v>
      </c>
      <c r="H690" s="65">
        <v>5</v>
      </c>
    </row>
    <row r="691" spans="1:8" x14ac:dyDescent="0.25">
      <c r="A691" s="63">
        <v>813214</v>
      </c>
      <c r="B691" s="63">
        <v>202108</v>
      </c>
      <c r="C691" s="64">
        <v>50000</v>
      </c>
      <c r="D691" s="64">
        <v>3.84</v>
      </c>
      <c r="H691" s="65">
        <v>5</v>
      </c>
    </row>
    <row r="692" spans="1:8" x14ac:dyDescent="0.25">
      <c r="A692" s="63">
        <v>813214</v>
      </c>
      <c r="B692" s="63">
        <v>202109</v>
      </c>
      <c r="C692" s="64">
        <v>50000</v>
      </c>
      <c r="D692" s="64">
        <v>3.84</v>
      </c>
      <c r="H692" s="65">
        <v>5</v>
      </c>
    </row>
    <row r="693" spans="1:8" x14ac:dyDescent="0.25">
      <c r="A693" s="63">
        <v>813214</v>
      </c>
      <c r="B693" s="63">
        <v>202110</v>
      </c>
      <c r="C693" s="64">
        <v>50000</v>
      </c>
      <c r="D693" s="64">
        <v>3.84</v>
      </c>
      <c r="H693" s="65">
        <v>5</v>
      </c>
    </row>
    <row r="694" spans="1:8" x14ac:dyDescent="0.25">
      <c r="A694" s="63">
        <v>813214</v>
      </c>
      <c r="B694" s="63">
        <v>202111</v>
      </c>
      <c r="C694" s="64">
        <v>50000</v>
      </c>
      <c r="D694" s="64">
        <v>3.84</v>
      </c>
      <c r="H694" s="65">
        <v>5</v>
      </c>
    </row>
    <row r="695" spans="1:8" x14ac:dyDescent="0.25">
      <c r="A695" s="63">
        <v>813214</v>
      </c>
      <c r="B695" s="63">
        <v>202112</v>
      </c>
      <c r="C695" s="64">
        <v>50000</v>
      </c>
      <c r="D695" s="64">
        <v>3.84</v>
      </c>
      <c r="F695" s="93" cm="1">
        <f t="array" ref="F695">SUM(D684:D695/12)</f>
        <v>4.1899999999999995</v>
      </c>
      <c r="H695" s="65">
        <v>5</v>
      </c>
    </row>
    <row r="696" spans="1:8" x14ac:dyDescent="0.25">
      <c r="A696" s="66" t="s">
        <v>816</v>
      </c>
      <c r="B696" s="63"/>
      <c r="C696" s="67">
        <f>SUM(C684:C695)</f>
        <v>613460.47999999998</v>
      </c>
      <c r="H696" s="65"/>
    </row>
    <row r="697" spans="1:8" x14ac:dyDescent="0.25">
      <c r="A697" s="63">
        <v>813215</v>
      </c>
      <c r="B697" s="63">
        <v>202101</v>
      </c>
      <c r="C697" s="64">
        <v>46976.46</v>
      </c>
      <c r="D697" s="64">
        <v>3.6</v>
      </c>
      <c r="H697" s="65">
        <v>4</v>
      </c>
    </row>
    <row r="698" spans="1:8" x14ac:dyDescent="0.25">
      <c r="A698" s="63">
        <v>813215</v>
      </c>
      <c r="B698" s="63">
        <v>202102</v>
      </c>
      <c r="C698" s="64">
        <v>51278.11</v>
      </c>
      <c r="D698" s="64">
        <v>3.6</v>
      </c>
      <c r="H698" s="65">
        <v>4</v>
      </c>
    </row>
    <row r="699" spans="1:8" x14ac:dyDescent="0.25">
      <c r="A699" s="63">
        <v>813215</v>
      </c>
      <c r="B699" s="63">
        <v>202103</v>
      </c>
      <c r="C699" s="64">
        <v>49105.97</v>
      </c>
      <c r="D699" s="64">
        <v>3.6</v>
      </c>
      <c r="H699" s="65">
        <v>4</v>
      </c>
    </row>
    <row r="700" spans="1:8" x14ac:dyDescent="0.25">
      <c r="A700" s="63">
        <v>813215</v>
      </c>
      <c r="B700" s="63">
        <v>202104</v>
      </c>
      <c r="C700" s="64">
        <v>41505.32</v>
      </c>
      <c r="D700" s="64">
        <v>3</v>
      </c>
      <c r="H700" s="65">
        <v>3</v>
      </c>
    </row>
    <row r="701" spans="1:8" x14ac:dyDescent="0.25">
      <c r="A701" s="63">
        <v>813215</v>
      </c>
      <c r="B701" s="63">
        <v>202105</v>
      </c>
      <c r="C701" s="64">
        <v>43281.07</v>
      </c>
      <c r="D701" s="64">
        <v>3</v>
      </c>
      <c r="H701" s="65">
        <v>3</v>
      </c>
    </row>
    <row r="702" spans="1:8" x14ac:dyDescent="0.25">
      <c r="A702" s="63">
        <v>813215</v>
      </c>
      <c r="B702" s="63">
        <v>202106</v>
      </c>
      <c r="C702" s="64">
        <v>61587.39</v>
      </c>
      <c r="D702" s="64">
        <v>3</v>
      </c>
      <c r="H702" s="65">
        <v>3</v>
      </c>
    </row>
    <row r="703" spans="1:8" x14ac:dyDescent="0.25">
      <c r="A703" s="63">
        <v>813215</v>
      </c>
      <c r="B703" s="63">
        <v>202107</v>
      </c>
      <c r="C703" s="64">
        <v>51090.99</v>
      </c>
      <c r="D703" s="64">
        <v>3</v>
      </c>
      <c r="H703" s="65">
        <v>3</v>
      </c>
    </row>
    <row r="704" spans="1:8" x14ac:dyDescent="0.25">
      <c r="A704" s="63">
        <v>813215</v>
      </c>
      <c r="B704" s="63">
        <v>202108</v>
      </c>
      <c r="C704" s="64">
        <v>45000</v>
      </c>
      <c r="D704" s="64">
        <v>3</v>
      </c>
      <c r="H704" s="65">
        <v>3</v>
      </c>
    </row>
    <row r="705" spans="1:8" x14ac:dyDescent="0.25">
      <c r="A705" s="63">
        <v>813215</v>
      </c>
      <c r="B705" s="63">
        <v>202109</v>
      </c>
      <c r="C705" s="64">
        <v>45000</v>
      </c>
      <c r="D705" s="64">
        <v>3</v>
      </c>
      <c r="H705" s="65">
        <v>3</v>
      </c>
    </row>
    <row r="706" spans="1:8" x14ac:dyDescent="0.25">
      <c r="A706" s="63">
        <v>813215</v>
      </c>
      <c r="B706" s="63">
        <v>202110</v>
      </c>
      <c r="C706" s="64">
        <v>45000</v>
      </c>
      <c r="D706" s="64">
        <v>3</v>
      </c>
      <c r="H706" s="65">
        <v>3</v>
      </c>
    </row>
    <row r="707" spans="1:8" x14ac:dyDescent="0.25">
      <c r="A707" s="63">
        <v>813215</v>
      </c>
      <c r="B707" s="63">
        <v>202111</v>
      </c>
      <c r="C707" s="64">
        <v>45000</v>
      </c>
      <c r="D707" s="64">
        <v>3</v>
      </c>
      <c r="H707" s="65">
        <v>3</v>
      </c>
    </row>
    <row r="708" spans="1:8" x14ac:dyDescent="0.25">
      <c r="A708" s="63">
        <v>813215</v>
      </c>
      <c r="B708" s="63">
        <v>202112</v>
      </c>
      <c r="C708" s="64">
        <v>45000</v>
      </c>
      <c r="D708" s="64">
        <v>3</v>
      </c>
      <c r="F708" s="93" cm="1">
        <f t="array" ref="F708">SUM(D697:D708/12)</f>
        <v>3.15</v>
      </c>
      <c r="H708" s="65">
        <v>3</v>
      </c>
    </row>
    <row r="709" spans="1:8" x14ac:dyDescent="0.25">
      <c r="A709" s="66" t="s">
        <v>817</v>
      </c>
      <c r="B709" s="63"/>
      <c r="C709" s="67">
        <f>SUM(C697:C708)</f>
        <v>569825.31000000006</v>
      </c>
      <c r="H709" s="65"/>
    </row>
    <row r="710" spans="1:8" x14ac:dyDescent="0.25">
      <c r="A710" s="63">
        <v>813216</v>
      </c>
      <c r="B710" s="63">
        <v>202101</v>
      </c>
      <c r="C710" s="64">
        <v>38878.5</v>
      </c>
      <c r="D710" s="64">
        <v>3.8</v>
      </c>
      <c r="H710" s="65">
        <v>5</v>
      </c>
    </row>
    <row r="711" spans="1:8" x14ac:dyDescent="0.25">
      <c r="A711" s="63">
        <v>813216</v>
      </c>
      <c r="B711" s="63">
        <v>202102</v>
      </c>
      <c r="C711" s="64">
        <v>40177.879999999997</v>
      </c>
      <c r="D711" s="64">
        <v>3.8</v>
      </c>
      <c r="H711" s="65">
        <v>5</v>
      </c>
    </row>
    <row r="712" spans="1:8" x14ac:dyDescent="0.25">
      <c r="A712" s="63">
        <v>813216</v>
      </c>
      <c r="B712" s="63">
        <v>202103</v>
      </c>
      <c r="C712" s="64">
        <v>39630.49</v>
      </c>
      <c r="D712" s="64">
        <v>3.8</v>
      </c>
      <c r="H712" s="65">
        <v>5</v>
      </c>
    </row>
    <row r="713" spans="1:8" x14ac:dyDescent="0.25">
      <c r="A713" s="63">
        <v>813216</v>
      </c>
      <c r="B713" s="63">
        <v>202104</v>
      </c>
      <c r="C713" s="64">
        <v>38679.74</v>
      </c>
      <c r="D713" s="64">
        <v>3.8</v>
      </c>
      <c r="H713" s="65">
        <v>5</v>
      </c>
    </row>
    <row r="714" spans="1:8" x14ac:dyDescent="0.25">
      <c r="A714" s="63">
        <v>813216</v>
      </c>
      <c r="B714" s="63">
        <v>202105</v>
      </c>
      <c r="C714" s="64">
        <v>41180.269999999997</v>
      </c>
      <c r="D714" s="64">
        <v>3.8</v>
      </c>
      <c r="H714" s="65">
        <v>5</v>
      </c>
    </row>
    <row r="715" spans="1:8" x14ac:dyDescent="0.25">
      <c r="A715" s="63">
        <v>813216</v>
      </c>
      <c r="B715" s="63">
        <v>202106</v>
      </c>
      <c r="C715" s="64">
        <v>63686.3</v>
      </c>
      <c r="D715" s="64">
        <v>3.8</v>
      </c>
      <c r="H715" s="65">
        <v>5</v>
      </c>
    </row>
    <row r="716" spans="1:8" x14ac:dyDescent="0.25">
      <c r="A716" s="63">
        <v>813216</v>
      </c>
      <c r="B716" s="63">
        <v>202107</v>
      </c>
      <c r="C716" s="64">
        <v>51515.17</v>
      </c>
      <c r="D716" s="64">
        <v>3.8</v>
      </c>
      <c r="H716" s="65">
        <v>5</v>
      </c>
    </row>
    <row r="717" spans="1:8" x14ac:dyDescent="0.25">
      <c r="A717" s="63">
        <v>813216</v>
      </c>
      <c r="B717" s="63">
        <v>202108</v>
      </c>
      <c r="C717" s="64">
        <v>42000</v>
      </c>
      <c r="D717" s="64">
        <v>3.8</v>
      </c>
      <c r="H717" s="65">
        <v>5</v>
      </c>
    </row>
    <row r="718" spans="1:8" x14ac:dyDescent="0.25">
      <c r="A718" s="63">
        <v>813216</v>
      </c>
      <c r="B718" s="63">
        <v>202109</v>
      </c>
      <c r="C718" s="64">
        <v>42000</v>
      </c>
      <c r="D718" s="64">
        <v>3.8</v>
      </c>
      <c r="H718" s="65">
        <v>5</v>
      </c>
    </row>
    <row r="719" spans="1:8" x14ac:dyDescent="0.25">
      <c r="A719" s="63">
        <v>813216</v>
      </c>
      <c r="B719" s="63">
        <v>202110</v>
      </c>
      <c r="C719" s="64">
        <v>42000</v>
      </c>
      <c r="D719" s="64">
        <v>3.8</v>
      </c>
      <c r="H719" s="65">
        <v>5</v>
      </c>
    </row>
    <row r="720" spans="1:8" x14ac:dyDescent="0.25">
      <c r="A720" s="63">
        <v>813216</v>
      </c>
      <c r="B720" s="63">
        <v>202111</v>
      </c>
      <c r="C720" s="64">
        <v>42000</v>
      </c>
      <c r="D720" s="64">
        <v>3.8</v>
      </c>
      <c r="H720" s="65">
        <v>5</v>
      </c>
    </row>
    <row r="721" spans="1:8" x14ac:dyDescent="0.25">
      <c r="A721" s="63">
        <v>813216</v>
      </c>
      <c r="B721" s="63">
        <v>202112</v>
      </c>
      <c r="C721" s="64">
        <v>42000</v>
      </c>
      <c r="D721" s="64">
        <v>3.8</v>
      </c>
      <c r="F721" s="93" cm="1">
        <f t="array" ref="F721">SUM(D710:D721/12)</f>
        <v>3.7999999999999989</v>
      </c>
      <c r="H721" s="65">
        <v>5</v>
      </c>
    </row>
    <row r="722" spans="1:8" x14ac:dyDescent="0.25">
      <c r="A722" s="66" t="s">
        <v>818</v>
      </c>
      <c r="B722" s="63"/>
      <c r="C722" s="67">
        <f>SUM(C710:C721)</f>
        <v>523748.35</v>
      </c>
      <c r="H722" s="65"/>
    </row>
    <row r="723" spans="1:8" x14ac:dyDescent="0.25">
      <c r="A723" s="63">
        <v>813217</v>
      </c>
      <c r="B723" s="63">
        <v>202101</v>
      </c>
      <c r="C723" s="64">
        <v>39814.730000000003</v>
      </c>
      <c r="D723" s="64">
        <v>3.6</v>
      </c>
      <c r="H723" s="65">
        <v>4</v>
      </c>
    </row>
    <row r="724" spans="1:8" x14ac:dyDescent="0.25">
      <c r="A724" s="63">
        <v>813217</v>
      </c>
      <c r="B724" s="63">
        <v>202102</v>
      </c>
      <c r="C724" s="64">
        <v>40550.19</v>
      </c>
      <c r="D724" s="64">
        <v>3.6</v>
      </c>
      <c r="H724" s="65">
        <v>4</v>
      </c>
    </row>
    <row r="725" spans="1:8" x14ac:dyDescent="0.25">
      <c r="A725" s="63">
        <v>813217</v>
      </c>
      <c r="B725" s="63">
        <v>202103</v>
      </c>
      <c r="C725" s="64">
        <v>30297.65</v>
      </c>
      <c r="D725" s="64">
        <v>2.6</v>
      </c>
      <c r="H725" s="65">
        <v>4</v>
      </c>
    </row>
    <row r="726" spans="1:8" x14ac:dyDescent="0.25">
      <c r="A726" s="63">
        <v>813217</v>
      </c>
      <c r="B726" s="63">
        <v>202104</v>
      </c>
      <c r="C726" s="64">
        <v>21558.75</v>
      </c>
      <c r="D726" s="64">
        <v>2</v>
      </c>
      <c r="H726" s="65">
        <v>2</v>
      </c>
    </row>
    <row r="727" spans="1:8" x14ac:dyDescent="0.25">
      <c r="A727" s="63">
        <v>813217</v>
      </c>
      <c r="B727" s="63">
        <v>202105</v>
      </c>
      <c r="C727" s="64">
        <v>38228.339999999997</v>
      </c>
      <c r="D727" s="64">
        <v>3</v>
      </c>
      <c r="H727" s="65">
        <v>3</v>
      </c>
    </row>
    <row r="728" spans="1:8" x14ac:dyDescent="0.25">
      <c r="A728" s="63">
        <v>813217</v>
      </c>
      <c r="B728" s="63">
        <v>202106</v>
      </c>
      <c r="C728" s="64">
        <v>56431.53</v>
      </c>
      <c r="D728" s="64">
        <v>3</v>
      </c>
      <c r="H728" s="65">
        <v>3</v>
      </c>
    </row>
    <row r="729" spans="1:8" x14ac:dyDescent="0.25">
      <c r="A729" s="63">
        <v>813217</v>
      </c>
      <c r="B729" s="63">
        <v>202107</v>
      </c>
      <c r="C729" s="64">
        <v>43624.5</v>
      </c>
      <c r="D729" s="64">
        <v>3</v>
      </c>
      <c r="H729" s="65">
        <v>3</v>
      </c>
    </row>
    <row r="730" spans="1:8" x14ac:dyDescent="0.25">
      <c r="A730" s="63">
        <v>813217</v>
      </c>
      <c r="B730" s="63">
        <v>202108</v>
      </c>
      <c r="C730" s="64">
        <v>38000</v>
      </c>
      <c r="D730" s="64">
        <v>3</v>
      </c>
      <c r="H730" s="65">
        <v>3</v>
      </c>
    </row>
    <row r="731" spans="1:8" x14ac:dyDescent="0.25">
      <c r="A731" s="63">
        <v>813217</v>
      </c>
      <c r="B731" s="63">
        <v>202109</v>
      </c>
      <c r="C731" s="64">
        <v>38000</v>
      </c>
      <c r="D731" s="64">
        <v>3</v>
      </c>
      <c r="H731" s="65">
        <v>3</v>
      </c>
    </row>
    <row r="732" spans="1:8" x14ac:dyDescent="0.25">
      <c r="A732" s="63">
        <v>813217</v>
      </c>
      <c r="B732" s="63">
        <v>202110</v>
      </c>
      <c r="C732" s="64">
        <f>38000+2500</f>
        <v>40500</v>
      </c>
      <c r="D732" s="64">
        <v>3</v>
      </c>
      <c r="H732" s="65">
        <v>3</v>
      </c>
    </row>
    <row r="733" spans="1:8" x14ac:dyDescent="0.25">
      <c r="A733" s="63">
        <v>813217</v>
      </c>
      <c r="B733" s="63">
        <v>202111</v>
      </c>
      <c r="C733" s="64">
        <v>38000</v>
      </c>
      <c r="D733" s="64">
        <v>3</v>
      </c>
      <c r="H733" s="65">
        <v>3</v>
      </c>
    </row>
    <row r="734" spans="1:8" x14ac:dyDescent="0.25">
      <c r="A734" s="63">
        <v>813217</v>
      </c>
      <c r="B734" s="63">
        <v>202112</v>
      </c>
      <c r="C734" s="64">
        <v>38000</v>
      </c>
      <c r="D734" s="64">
        <v>3</v>
      </c>
      <c r="F734" s="93" cm="1">
        <f t="array" ref="F734">SUM(D723:D734/12)</f>
        <v>2.9833333333333334</v>
      </c>
      <c r="H734" s="65">
        <v>3</v>
      </c>
    </row>
    <row r="735" spans="1:8" x14ac:dyDescent="0.25">
      <c r="A735" s="66" t="s">
        <v>819</v>
      </c>
      <c r="B735" s="63"/>
      <c r="C735" s="67">
        <f>SUM(C723:C734)</f>
        <v>463005.69</v>
      </c>
      <c r="H735" s="65"/>
    </row>
    <row r="736" spans="1:8" x14ac:dyDescent="0.25">
      <c r="A736" s="63">
        <v>813218</v>
      </c>
      <c r="B736" s="63">
        <v>202101</v>
      </c>
      <c r="C736" s="64">
        <v>60299.31</v>
      </c>
      <c r="D736" s="64">
        <v>7.25</v>
      </c>
      <c r="H736" s="65">
        <v>9</v>
      </c>
    </row>
    <row r="737" spans="1:8" x14ac:dyDescent="0.25">
      <c r="A737" s="63">
        <v>813218</v>
      </c>
      <c r="B737" s="63">
        <v>202102</v>
      </c>
      <c r="C737" s="64">
        <v>67858.14</v>
      </c>
      <c r="D737" s="64">
        <v>7.25</v>
      </c>
      <c r="H737" s="65">
        <v>9</v>
      </c>
    </row>
    <row r="738" spans="1:8" x14ac:dyDescent="0.25">
      <c r="A738" s="63">
        <v>813218</v>
      </c>
      <c r="B738" s="63">
        <v>202103</v>
      </c>
      <c r="C738" s="64">
        <v>74272.41</v>
      </c>
      <c r="D738" s="64">
        <v>7.25</v>
      </c>
      <c r="H738" s="65">
        <v>9</v>
      </c>
    </row>
    <row r="739" spans="1:8" x14ac:dyDescent="0.25">
      <c r="A739" s="63">
        <v>813218</v>
      </c>
      <c r="B739" s="63">
        <v>202104</v>
      </c>
      <c r="C739" s="64">
        <v>72715.55</v>
      </c>
      <c r="D739" s="64">
        <v>7.25</v>
      </c>
      <c r="H739" s="65">
        <v>9</v>
      </c>
    </row>
    <row r="740" spans="1:8" x14ac:dyDescent="0.25">
      <c r="A740" s="63">
        <v>813218</v>
      </c>
      <c r="B740" s="63">
        <v>202105</v>
      </c>
      <c r="C740" s="64">
        <v>75643.06</v>
      </c>
      <c r="D740" s="64">
        <v>7.25</v>
      </c>
      <c r="H740" s="65">
        <v>9</v>
      </c>
    </row>
    <row r="741" spans="1:8" x14ac:dyDescent="0.25">
      <c r="A741" s="63">
        <v>813218</v>
      </c>
      <c r="B741" s="63">
        <v>202106</v>
      </c>
      <c r="C741" s="64">
        <v>107365.14</v>
      </c>
      <c r="D741" s="64">
        <v>6.65</v>
      </c>
      <c r="H741" s="65">
        <v>9</v>
      </c>
    </row>
    <row r="742" spans="1:8" x14ac:dyDescent="0.25">
      <c r="A742" s="63">
        <v>813218</v>
      </c>
      <c r="B742" s="63">
        <v>202107</v>
      </c>
      <c r="C742" s="64">
        <v>85124.13</v>
      </c>
      <c r="D742" s="64">
        <v>6.65</v>
      </c>
      <c r="H742" s="65">
        <v>8</v>
      </c>
    </row>
    <row r="743" spans="1:8" x14ac:dyDescent="0.25">
      <c r="A743" s="63">
        <v>813218</v>
      </c>
      <c r="B743" s="63">
        <v>202108</v>
      </c>
      <c r="C743" s="64">
        <v>75500</v>
      </c>
      <c r="D743" s="64">
        <v>6.65</v>
      </c>
      <c r="H743" s="65">
        <v>8</v>
      </c>
    </row>
    <row r="744" spans="1:8" x14ac:dyDescent="0.25">
      <c r="A744" s="63">
        <v>813218</v>
      </c>
      <c r="B744" s="63">
        <v>202109</v>
      </c>
      <c r="C744" s="64">
        <v>75500</v>
      </c>
      <c r="D744" s="64">
        <v>6.65</v>
      </c>
      <c r="H744" s="65">
        <v>8</v>
      </c>
    </row>
    <row r="745" spans="1:8" x14ac:dyDescent="0.25">
      <c r="A745" s="63">
        <v>813218</v>
      </c>
      <c r="B745" s="63">
        <v>202110</v>
      </c>
      <c r="C745" s="64">
        <v>75500</v>
      </c>
      <c r="D745" s="64">
        <v>6.65</v>
      </c>
      <c r="H745" s="65">
        <v>8</v>
      </c>
    </row>
    <row r="746" spans="1:8" x14ac:dyDescent="0.25">
      <c r="A746" s="63">
        <v>813218</v>
      </c>
      <c r="B746" s="63">
        <v>202111</v>
      </c>
      <c r="C746" s="64">
        <v>75500</v>
      </c>
      <c r="D746" s="64">
        <v>6.65</v>
      </c>
      <c r="H746" s="65">
        <v>8</v>
      </c>
    </row>
    <row r="747" spans="1:8" x14ac:dyDescent="0.25">
      <c r="A747" s="63">
        <v>813218</v>
      </c>
      <c r="B747" s="63">
        <v>202112</v>
      </c>
      <c r="C747" s="64">
        <v>75500</v>
      </c>
      <c r="D747" s="64">
        <v>6.65</v>
      </c>
      <c r="F747" s="93" cm="1">
        <f t="array" ref="F747">SUM(D736:D747/12)</f>
        <v>6.9000000000000021</v>
      </c>
      <c r="H747" s="65">
        <v>8</v>
      </c>
    </row>
    <row r="748" spans="1:8" x14ac:dyDescent="0.25">
      <c r="A748" s="66" t="s">
        <v>820</v>
      </c>
      <c r="B748" s="63"/>
      <c r="C748" s="67">
        <f>SUM(C736:C747)</f>
        <v>920777.74</v>
      </c>
      <c r="H748" s="65"/>
    </row>
    <row r="749" spans="1:8" x14ac:dyDescent="0.25">
      <c r="A749" s="63">
        <v>813219</v>
      </c>
      <c r="B749" s="63">
        <v>202101</v>
      </c>
      <c r="C749" s="64">
        <v>29533.919999999998</v>
      </c>
      <c r="D749" s="64">
        <v>2.94</v>
      </c>
      <c r="H749" s="65">
        <v>5</v>
      </c>
    </row>
    <row r="750" spans="1:8" x14ac:dyDescent="0.25">
      <c r="A750" s="63">
        <v>813219</v>
      </c>
      <c r="B750" s="63">
        <v>202102</v>
      </c>
      <c r="C750" s="64">
        <v>26772.78</v>
      </c>
      <c r="D750" s="64">
        <v>2.94</v>
      </c>
      <c r="H750" s="65">
        <v>5</v>
      </c>
    </row>
    <row r="751" spans="1:8" x14ac:dyDescent="0.25">
      <c r="A751" s="63">
        <v>813219</v>
      </c>
      <c r="B751" s="63">
        <v>202103</v>
      </c>
      <c r="C751" s="64">
        <v>30063.95</v>
      </c>
      <c r="D751" s="64">
        <v>2.94</v>
      </c>
      <c r="H751" s="65">
        <v>5</v>
      </c>
    </row>
    <row r="752" spans="1:8" x14ac:dyDescent="0.25">
      <c r="A752" s="63">
        <v>813219</v>
      </c>
      <c r="B752" s="63">
        <v>202104</v>
      </c>
      <c r="C752" s="64">
        <v>31791.34</v>
      </c>
      <c r="D752" s="64">
        <v>2.94</v>
      </c>
      <c r="H752" s="65">
        <v>5</v>
      </c>
    </row>
    <row r="753" spans="1:8" x14ac:dyDescent="0.25">
      <c r="A753" s="63">
        <v>813219</v>
      </c>
      <c r="B753" s="63">
        <v>202105</v>
      </c>
      <c r="C753" s="64">
        <v>33962.33</v>
      </c>
      <c r="D753" s="64">
        <v>2.94</v>
      </c>
      <c r="H753" s="65">
        <v>5</v>
      </c>
    </row>
    <row r="754" spans="1:8" x14ac:dyDescent="0.25">
      <c r="A754" s="63">
        <v>813219</v>
      </c>
      <c r="B754" s="63">
        <v>202106</v>
      </c>
      <c r="C754" s="64">
        <v>48635.39</v>
      </c>
      <c r="D754" s="64">
        <v>2.34</v>
      </c>
      <c r="H754" s="65">
        <v>5</v>
      </c>
    </row>
    <row r="755" spans="1:8" x14ac:dyDescent="0.25">
      <c r="A755" s="63">
        <v>813219</v>
      </c>
      <c r="B755" s="63">
        <v>202107</v>
      </c>
      <c r="C755" s="64">
        <v>31740.7</v>
      </c>
      <c r="D755" s="64">
        <v>2.34</v>
      </c>
      <c r="H755" s="65">
        <v>4</v>
      </c>
    </row>
    <row r="756" spans="1:8" x14ac:dyDescent="0.25">
      <c r="A756" s="63">
        <v>813219</v>
      </c>
      <c r="B756" s="63">
        <v>202108</v>
      </c>
      <c r="C756" s="64">
        <v>33500</v>
      </c>
      <c r="D756" s="64">
        <v>2.34</v>
      </c>
      <c r="H756" s="65">
        <v>4</v>
      </c>
    </row>
    <row r="757" spans="1:8" x14ac:dyDescent="0.25">
      <c r="A757" s="63">
        <v>813219</v>
      </c>
      <c r="B757" s="63">
        <v>202109</v>
      </c>
      <c r="C757" s="64">
        <v>33500</v>
      </c>
      <c r="D757" s="64">
        <v>2.34</v>
      </c>
      <c r="H757" s="65">
        <v>4</v>
      </c>
    </row>
    <row r="758" spans="1:8" x14ac:dyDescent="0.25">
      <c r="A758" s="63">
        <v>813219</v>
      </c>
      <c r="B758" s="63">
        <v>202110</v>
      </c>
      <c r="C758" s="64">
        <v>33500</v>
      </c>
      <c r="D758" s="64">
        <v>2.34</v>
      </c>
      <c r="H758" s="65">
        <v>4</v>
      </c>
    </row>
    <row r="759" spans="1:8" x14ac:dyDescent="0.25">
      <c r="A759" s="63">
        <v>813219</v>
      </c>
      <c r="B759" s="63">
        <v>202111</v>
      </c>
      <c r="C759" s="64">
        <v>33500</v>
      </c>
      <c r="D759" s="64">
        <v>2.34</v>
      </c>
      <c r="H759" s="65">
        <v>4</v>
      </c>
    </row>
    <row r="760" spans="1:8" x14ac:dyDescent="0.25">
      <c r="A760" s="63">
        <v>813219</v>
      </c>
      <c r="B760" s="63">
        <v>202112</v>
      </c>
      <c r="C760" s="64">
        <v>33500</v>
      </c>
      <c r="D760" s="64">
        <v>2.34</v>
      </c>
      <c r="F760" s="93" cm="1">
        <f t="array" ref="F760">SUM(D749:D760/12)</f>
        <v>2.59</v>
      </c>
      <c r="H760" s="65">
        <v>4</v>
      </c>
    </row>
    <row r="761" spans="1:8" x14ac:dyDescent="0.25">
      <c r="A761" s="66" t="s">
        <v>821</v>
      </c>
      <c r="B761" s="63"/>
      <c r="C761" s="67">
        <f>SUM(C749:C760)</f>
        <v>400000.41000000003</v>
      </c>
      <c r="H761" s="65"/>
    </row>
    <row r="762" spans="1:8" x14ac:dyDescent="0.25">
      <c r="A762" s="63">
        <v>813220</v>
      </c>
      <c r="B762" s="63">
        <v>202101</v>
      </c>
      <c r="C762" s="64">
        <v>63120.4</v>
      </c>
      <c r="D762" s="64">
        <v>6.35</v>
      </c>
      <c r="H762" s="65">
        <v>7</v>
      </c>
    </row>
    <row r="763" spans="1:8" x14ac:dyDescent="0.25">
      <c r="A763" s="63">
        <v>813220</v>
      </c>
      <c r="B763" s="63">
        <v>202102</v>
      </c>
      <c r="C763" s="64">
        <v>61821.05</v>
      </c>
      <c r="D763" s="64">
        <v>6.35</v>
      </c>
      <c r="H763" s="65">
        <v>7</v>
      </c>
    </row>
    <row r="764" spans="1:8" x14ac:dyDescent="0.25">
      <c r="A764" s="63">
        <v>813220</v>
      </c>
      <c r="B764" s="63">
        <v>202103</v>
      </c>
      <c r="C764" s="64">
        <v>61934.59</v>
      </c>
      <c r="D764" s="64">
        <v>6.35</v>
      </c>
      <c r="H764" s="65">
        <v>7</v>
      </c>
    </row>
    <row r="765" spans="1:8" x14ac:dyDescent="0.25">
      <c r="A765" s="63">
        <v>813220</v>
      </c>
      <c r="B765" s="63">
        <v>202104</v>
      </c>
      <c r="C765" s="64">
        <v>62800.57</v>
      </c>
      <c r="D765" s="64">
        <v>6.35</v>
      </c>
      <c r="H765" s="65">
        <v>7</v>
      </c>
    </row>
    <row r="766" spans="1:8" x14ac:dyDescent="0.25">
      <c r="A766" s="63">
        <v>813220</v>
      </c>
      <c r="B766" s="63">
        <v>202105</v>
      </c>
      <c r="C766" s="64">
        <v>66273.490000000005</v>
      </c>
      <c r="D766" s="64">
        <v>6.1559999999999997</v>
      </c>
      <c r="H766" s="65">
        <v>7</v>
      </c>
    </row>
    <row r="767" spans="1:8" x14ac:dyDescent="0.25">
      <c r="A767" s="63">
        <v>813220</v>
      </c>
      <c r="B767" s="63">
        <v>202106</v>
      </c>
      <c r="C767" s="64">
        <v>87113.84</v>
      </c>
      <c r="D767" s="64">
        <v>5.35</v>
      </c>
      <c r="H767" s="65">
        <v>7</v>
      </c>
    </row>
    <row r="768" spans="1:8" x14ac:dyDescent="0.25">
      <c r="A768" s="63">
        <v>813220</v>
      </c>
      <c r="B768" s="63">
        <v>202107</v>
      </c>
      <c r="C768" s="64">
        <v>72539.56</v>
      </c>
      <c r="D768" s="64">
        <v>5.97</v>
      </c>
      <c r="H768" s="65">
        <v>8</v>
      </c>
    </row>
    <row r="769" spans="1:8" x14ac:dyDescent="0.25">
      <c r="A769" s="63">
        <v>813220</v>
      </c>
      <c r="B769" s="63">
        <v>202108</v>
      </c>
      <c r="C769" s="64">
        <v>63000</v>
      </c>
      <c r="D769" s="64">
        <v>5.97</v>
      </c>
      <c r="H769" s="65">
        <v>8</v>
      </c>
    </row>
    <row r="770" spans="1:8" x14ac:dyDescent="0.25">
      <c r="A770" s="63">
        <v>813220</v>
      </c>
      <c r="B770" s="63">
        <v>202109</v>
      </c>
      <c r="C770" s="64">
        <v>63000</v>
      </c>
      <c r="D770" s="64">
        <v>5.97</v>
      </c>
      <c r="H770" s="65">
        <v>8</v>
      </c>
    </row>
    <row r="771" spans="1:8" x14ac:dyDescent="0.25">
      <c r="A771" s="63">
        <v>813220</v>
      </c>
      <c r="B771" s="63">
        <v>202110</v>
      </c>
      <c r="C771" s="64">
        <v>63000</v>
      </c>
      <c r="D771" s="64">
        <v>5.97</v>
      </c>
      <c r="H771" s="65">
        <v>8</v>
      </c>
    </row>
    <row r="772" spans="1:8" x14ac:dyDescent="0.25">
      <c r="A772" s="63">
        <v>813220</v>
      </c>
      <c r="B772" s="63">
        <v>202111</v>
      </c>
      <c r="C772" s="64">
        <v>63000</v>
      </c>
      <c r="D772" s="64">
        <v>5.97</v>
      </c>
      <c r="H772" s="65">
        <v>8</v>
      </c>
    </row>
    <row r="773" spans="1:8" x14ac:dyDescent="0.25">
      <c r="A773" s="63">
        <v>813220</v>
      </c>
      <c r="B773" s="63">
        <v>202112</v>
      </c>
      <c r="C773" s="64">
        <v>63000</v>
      </c>
      <c r="D773" s="64">
        <v>5.97</v>
      </c>
      <c r="F773" s="93" cm="1">
        <f t="array" ref="F773">SUM(D762:D773/12)</f>
        <v>6.0604999999999984</v>
      </c>
      <c r="H773" s="65">
        <v>8</v>
      </c>
    </row>
    <row r="774" spans="1:8" x14ac:dyDescent="0.25">
      <c r="A774" s="66" t="s">
        <v>822</v>
      </c>
      <c r="B774" s="63"/>
      <c r="C774" s="67">
        <f>SUM(C762:C773)</f>
        <v>790603.5</v>
      </c>
      <c r="H774" s="65"/>
    </row>
    <row r="775" spans="1:8" x14ac:dyDescent="0.25">
      <c r="A775" s="63">
        <v>813221</v>
      </c>
      <c r="B775" s="63">
        <v>202101</v>
      </c>
      <c r="C775" s="64">
        <v>4114.32</v>
      </c>
      <c r="D775" s="64">
        <v>0.65</v>
      </c>
      <c r="H775" s="65">
        <v>1</v>
      </c>
    </row>
    <row r="776" spans="1:8" x14ac:dyDescent="0.25">
      <c r="A776" s="63">
        <v>813221</v>
      </c>
      <c r="B776" s="63">
        <v>202102</v>
      </c>
      <c r="C776" s="64">
        <v>3692.6</v>
      </c>
      <c r="D776" s="64">
        <v>0.65</v>
      </c>
      <c r="H776" s="65">
        <v>1</v>
      </c>
    </row>
    <row r="777" spans="1:8" x14ac:dyDescent="0.25">
      <c r="A777" s="63">
        <v>813221</v>
      </c>
      <c r="B777" s="63">
        <v>202103</v>
      </c>
      <c r="C777" s="64">
        <v>5540.38</v>
      </c>
      <c r="D777" s="64">
        <v>0.65</v>
      </c>
      <c r="H777" s="65">
        <v>1</v>
      </c>
    </row>
    <row r="778" spans="1:8" x14ac:dyDescent="0.25">
      <c r="A778" s="63">
        <v>813221</v>
      </c>
      <c r="B778" s="63">
        <v>202104</v>
      </c>
      <c r="C778" s="64">
        <v>5706.97</v>
      </c>
      <c r="D778" s="64">
        <v>0.65</v>
      </c>
      <c r="H778" s="65">
        <v>1</v>
      </c>
    </row>
    <row r="779" spans="1:8" x14ac:dyDescent="0.25">
      <c r="A779" s="63">
        <v>813221</v>
      </c>
      <c r="B779" s="63">
        <v>202105</v>
      </c>
      <c r="C779" s="64">
        <v>7757.18</v>
      </c>
      <c r="D779" s="64">
        <v>0.65</v>
      </c>
      <c r="H779" s="65">
        <v>1</v>
      </c>
    </row>
    <row r="780" spans="1:8" x14ac:dyDescent="0.25">
      <c r="A780" s="63">
        <v>813221</v>
      </c>
      <c r="B780" s="63">
        <v>202106</v>
      </c>
      <c r="C780" s="64">
        <v>11811.8</v>
      </c>
      <c r="D780" s="64">
        <v>0.65</v>
      </c>
      <c r="H780" s="65">
        <v>1</v>
      </c>
    </row>
    <row r="781" spans="1:8" x14ac:dyDescent="0.25">
      <c r="A781" s="63">
        <v>813221</v>
      </c>
      <c r="B781" s="63">
        <v>202107</v>
      </c>
      <c r="C781" s="64">
        <v>8695.16</v>
      </c>
      <c r="D781" s="64">
        <v>0.65</v>
      </c>
      <c r="H781" s="65">
        <v>1</v>
      </c>
    </row>
    <row r="782" spans="1:8" x14ac:dyDescent="0.25">
      <c r="A782" s="63">
        <v>813221</v>
      </c>
      <c r="B782" s="63">
        <v>202108</v>
      </c>
      <c r="C782" s="64">
        <v>7700</v>
      </c>
      <c r="D782" s="64">
        <v>0.65</v>
      </c>
      <c r="H782" s="65">
        <v>1</v>
      </c>
    </row>
    <row r="783" spans="1:8" x14ac:dyDescent="0.25">
      <c r="A783" s="63">
        <v>813221</v>
      </c>
      <c r="B783" s="63">
        <v>202109</v>
      </c>
      <c r="C783" s="64">
        <v>7700</v>
      </c>
      <c r="D783" s="64">
        <v>0.65</v>
      </c>
      <c r="H783" s="65">
        <v>1</v>
      </c>
    </row>
    <row r="784" spans="1:8" x14ac:dyDescent="0.25">
      <c r="A784" s="63">
        <v>813221</v>
      </c>
      <c r="B784" s="63">
        <v>202110</v>
      </c>
      <c r="C784" s="64">
        <v>7700</v>
      </c>
      <c r="D784" s="64">
        <v>0.65</v>
      </c>
      <c r="H784" s="65">
        <v>1</v>
      </c>
    </row>
    <row r="785" spans="1:8" x14ac:dyDescent="0.25">
      <c r="A785" s="63">
        <v>813221</v>
      </c>
      <c r="B785" s="63">
        <v>202111</v>
      </c>
      <c r="C785" s="64">
        <v>7700</v>
      </c>
      <c r="D785" s="64">
        <v>0.65</v>
      </c>
      <c r="H785" s="65">
        <v>1</v>
      </c>
    </row>
    <row r="786" spans="1:8" x14ac:dyDescent="0.25">
      <c r="A786" s="63">
        <v>813221</v>
      </c>
      <c r="B786" s="63">
        <v>202112</v>
      </c>
      <c r="C786" s="64">
        <v>7700</v>
      </c>
      <c r="D786" s="64">
        <v>0.65</v>
      </c>
      <c r="F786" s="93" cm="1">
        <f t="array" ref="F786">SUM(D775:D786/12)</f>
        <v>0.65000000000000024</v>
      </c>
      <c r="H786" s="65">
        <v>1</v>
      </c>
    </row>
    <row r="787" spans="1:8" x14ac:dyDescent="0.25">
      <c r="A787" s="66" t="s">
        <v>823</v>
      </c>
      <c r="B787" s="63"/>
      <c r="C787" s="67">
        <f>SUM(C775:C786)</f>
        <v>85818.41</v>
      </c>
      <c r="H787" s="65"/>
    </row>
    <row r="788" spans="1:8" x14ac:dyDescent="0.25">
      <c r="A788" s="63">
        <v>813222</v>
      </c>
      <c r="B788" s="63">
        <v>202101</v>
      </c>
      <c r="C788" s="64">
        <v>19354.54</v>
      </c>
      <c r="D788" s="64">
        <v>1.72</v>
      </c>
      <c r="H788" s="65">
        <v>2</v>
      </c>
    </row>
    <row r="789" spans="1:8" x14ac:dyDescent="0.25">
      <c r="A789" s="63">
        <v>813222</v>
      </c>
      <c r="B789" s="63">
        <v>202102</v>
      </c>
      <c r="C789" s="64">
        <v>19629.8</v>
      </c>
      <c r="D789" s="64">
        <v>1.72</v>
      </c>
      <c r="H789" s="65">
        <v>2</v>
      </c>
    </row>
    <row r="790" spans="1:8" x14ac:dyDescent="0.25">
      <c r="A790" s="63">
        <v>813222</v>
      </c>
      <c r="B790" s="63">
        <v>202103</v>
      </c>
      <c r="C790" s="64">
        <v>18099.18</v>
      </c>
      <c r="D790" s="64">
        <v>1.72</v>
      </c>
      <c r="H790" s="65">
        <v>2</v>
      </c>
    </row>
    <row r="791" spans="1:8" x14ac:dyDescent="0.25">
      <c r="A791" s="63">
        <v>813222</v>
      </c>
      <c r="B791" s="63">
        <v>202104</v>
      </c>
      <c r="C791" s="64">
        <v>20185.5</v>
      </c>
      <c r="D791" s="64">
        <v>1.72</v>
      </c>
      <c r="H791" s="65">
        <v>2</v>
      </c>
    </row>
    <row r="792" spans="1:8" x14ac:dyDescent="0.25">
      <c r="A792" s="63">
        <v>813222</v>
      </c>
      <c r="B792" s="63">
        <v>202105</v>
      </c>
      <c r="C792" s="64">
        <v>20559.189999999999</v>
      </c>
      <c r="D792" s="64">
        <v>1.72</v>
      </c>
      <c r="H792" s="65">
        <v>2</v>
      </c>
    </row>
    <row r="793" spans="1:8" x14ac:dyDescent="0.25">
      <c r="A793" s="63">
        <v>813222</v>
      </c>
      <c r="B793" s="63">
        <v>202106</v>
      </c>
      <c r="C793" s="64">
        <v>31526.59</v>
      </c>
      <c r="D793" s="64">
        <v>1.72</v>
      </c>
      <c r="H793" s="65">
        <v>2</v>
      </c>
    </row>
    <row r="794" spans="1:8" x14ac:dyDescent="0.25">
      <c r="A794" s="63">
        <v>813222</v>
      </c>
      <c r="B794" s="63">
        <v>202107</v>
      </c>
      <c r="C794" s="64">
        <v>23433.59</v>
      </c>
      <c r="D794" s="64">
        <v>1.72</v>
      </c>
      <c r="H794" s="65">
        <v>2</v>
      </c>
    </row>
    <row r="795" spans="1:8" x14ac:dyDescent="0.25">
      <c r="A795" s="63">
        <v>813222</v>
      </c>
      <c r="B795" s="63">
        <v>202108</v>
      </c>
      <c r="C795" s="64">
        <v>20500</v>
      </c>
      <c r="D795" s="64">
        <v>1.72</v>
      </c>
      <c r="H795" s="65">
        <v>2</v>
      </c>
    </row>
    <row r="796" spans="1:8" x14ac:dyDescent="0.25">
      <c r="A796" s="63">
        <v>813222</v>
      </c>
      <c r="B796" s="63">
        <v>202109</v>
      </c>
      <c r="C796" s="64">
        <v>20500</v>
      </c>
      <c r="D796" s="64">
        <v>1.72</v>
      </c>
      <c r="H796" s="65">
        <v>2</v>
      </c>
    </row>
    <row r="797" spans="1:8" x14ac:dyDescent="0.25">
      <c r="A797" s="63">
        <v>813222</v>
      </c>
      <c r="B797" s="63">
        <v>202110</v>
      </c>
      <c r="C797" s="64">
        <v>20500</v>
      </c>
      <c r="D797" s="64">
        <v>1.72</v>
      </c>
      <c r="H797" s="65">
        <v>2</v>
      </c>
    </row>
    <row r="798" spans="1:8" x14ac:dyDescent="0.25">
      <c r="A798" s="63">
        <v>813222</v>
      </c>
      <c r="B798" s="63">
        <v>202111</v>
      </c>
      <c r="C798" s="64">
        <v>20500</v>
      </c>
      <c r="D798" s="64">
        <v>1.72</v>
      </c>
      <c r="H798" s="65">
        <v>2</v>
      </c>
    </row>
    <row r="799" spans="1:8" x14ac:dyDescent="0.25">
      <c r="A799" s="63">
        <v>813222</v>
      </c>
      <c r="B799" s="63">
        <v>202112</v>
      </c>
      <c r="C799" s="64">
        <v>20500</v>
      </c>
      <c r="D799" s="64">
        <v>1.72</v>
      </c>
      <c r="F799" s="93" cm="1">
        <f t="array" ref="F799">SUM(D788:D799/12)</f>
        <v>1.72</v>
      </c>
      <c r="H799" s="65">
        <v>2</v>
      </c>
    </row>
    <row r="800" spans="1:8" x14ac:dyDescent="0.25">
      <c r="A800" s="66" t="s">
        <v>824</v>
      </c>
      <c r="B800" s="63"/>
      <c r="C800" s="67">
        <f>SUM(C788:C799)</f>
        <v>255288.38999999998</v>
      </c>
      <c r="H800" s="65"/>
    </row>
    <row r="801" spans="1:8" x14ac:dyDescent="0.25">
      <c r="A801" s="63">
        <v>813223</v>
      </c>
      <c r="B801" s="63">
        <v>202101</v>
      </c>
      <c r="C801" s="64">
        <v>15690.69</v>
      </c>
      <c r="D801" s="64">
        <v>1.5</v>
      </c>
      <c r="H801" s="65">
        <v>2</v>
      </c>
    </row>
    <row r="802" spans="1:8" x14ac:dyDescent="0.25">
      <c r="A802" s="63">
        <v>813223</v>
      </c>
      <c r="B802" s="63">
        <v>202102</v>
      </c>
      <c r="C802" s="64">
        <v>13676.05</v>
      </c>
      <c r="D802" s="64">
        <v>1.5</v>
      </c>
      <c r="H802" s="65">
        <v>2</v>
      </c>
    </row>
    <row r="803" spans="1:8" x14ac:dyDescent="0.25">
      <c r="A803" s="63">
        <v>813223</v>
      </c>
      <c r="B803" s="63">
        <v>202103</v>
      </c>
      <c r="C803" s="64">
        <v>13676.05</v>
      </c>
      <c r="D803" s="64">
        <v>1.5</v>
      </c>
      <c r="H803" s="65">
        <v>2</v>
      </c>
    </row>
    <row r="804" spans="1:8" x14ac:dyDescent="0.25">
      <c r="A804" s="63">
        <v>813223</v>
      </c>
      <c r="B804" s="63">
        <v>202104</v>
      </c>
      <c r="C804" s="64">
        <v>14688.5</v>
      </c>
      <c r="D804" s="64">
        <v>1.5</v>
      </c>
      <c r="H804" s="65">
        <v>2</v>
      </c>
    </row>
    <row r="805" spans="1:8" x14ac:dyDescent="0.25">
      <c r="A805" s="63">
        <v>813223</v>
      </c>
      <c r="B805" s="63">
        <v>202105</v>
      </c>
      <c r="C805" s="64">
        <v>15072.69</v>
      </c>
      <c r="D805" s="64">
        <v>1.5</v>
      </c>
      <c r="H805" s="65">
        <v>2</v>
      </c>
    </row>
    <row r="806" spans="1:8" x14ac:dyDescent="0.25">
      <c r="A806" s="63">
        <v>813223</v>
      </c>
      <c r="B806" s="63">
        <v>202106</v>
      </c>
      <c r="C806" s="64">
        <v>25641.67</v>
      </c>
      <c r="D806" s="64">
        <v>1.5</v>
      </c>
      <c r="H806" s="65">
        <v>2</v>
      </c>
    </row>
    <row r="807" spans="1:8" x14ac:dyDescent="0.25">
      <c r="A807" s="63">
        <v>813223</v>
      </c>
      <c r="B807" s="63">
        <v>202107</v>
      </c>
      <c r="C807" s="64">
        <v>17328.810000000001</v>
      </c>
      <c r="D807" s="64">
        <v>1.5</v>
      </c>
      <c r="H807" s="65">
        <v>2</v>
      </c>
    </row>
    <row r="808" spans="1:8" x14ac:dyDescent="0.25">
      <c r="A808" s="63">
        <v>813223</v>
      </c>
      <c r="B808" s="63">
        <v>202108</v>
      </c>
      <c r="C808" s="64">
        <v>15500</v>
      </c>
      <c r="D808" s="64">
        <v>1.5</v>
      </c>
      <c r="H808" s="65">
        <v>2</v>
      </c>
    </row>
    <row r="809" spans="1:8" x14ac:dyDescent="0.25">
      <c r="A809" s="63">
        <v>813223</v>
      </c>
      <c r="B809" s="63">
        <v>202109</v>
      </c>
      <c r="C809" s="64">
        <v>15500</v>
      </c>
      <c r="D809" s="64">
        <v>1.5</v>
      </c>
      <c r="H809" s="65">
        <v>2</v>
      </c>
    </row>
    <row r="810" spans="1:8" x14ac:dyDescent="0.25">
      <c r="A810" s="63">
        <v>813223</v>
      </c>
      <c r="B810" s="63">
        <v>202110</v>
      </c>
      <c r="C810" s="64">
        <v>15500</v>
      </c>
      <c r="D810" s="64">
        <v>1.5</v>
      </c>
      <c r="H810" s="65">
        <v>2</v>
      </c>
    </row>
    <row r="811" spans="1:8" x14ac:dyDescent="0.25">
      <c r="A811" s="63">
        <v>813223</v>
      </c>
      <c r="B811" s="63">
        <v>202111</v>
      </c>
      <c r="C811" s="64">
        <v>15500</v>
      </c>
      <c r="D811" s="64">
        <v>1.5</v>
      </c>
      <c r="H811" s="65">
        <v>2</v>
      </c>
    </row>
    <row r="812" spans="1:8" x14ac:dyDescent="0.25">
      <c r="A812" s="63">
        <v>813223</v>
      </c>
      <c r="B812" s="63">
        <v>202112</v>
      </c>
      <c r="C812" s="64">
        <v>15500</v>
      </c>
      <c r="D812" s="64">
        <v>1.5</v>
      </c>
      <c r="F812" s="93" cm="1">
        <f t="array" ref="F812">SUM(D801:D812/12)</f>
        <v>1.5</v>
      </c>
      <c r="H812" s="65">
        <v>2</v>
      </c>
    </row>
    <row r="813" spans="1:8" x14ac:dyDescent="0.25">
      <c r="A813" s="66" t="s">
        <v>825</v>
      </c>
      <c r="B813" s="63"/>
      <c r="C813" s="67">
        <f>SUM(C801:C812)</f>
        <v>193274.46</v>
      </c>
      <c r="H813" s="65"/>
    </row>
    <row r="814" spans="1:8" x14ac:dyDescent="0.25">
      <c r="A814" s="63">
        <v>813224</v>
      </c>
      <c r="B814" s="63">
        <v>202101</v>
      </c>
      <c r="C814" s="64">
        <v>22437.61</v>
      </c>
      <c r="D814" s="64">
        <v>2</v>
      </c>
      <c r="H814" s="65">
        <v>2</v>
      </c>
    </row>
    <row r="815" spans="1:8" x14ac:dyDescent="0.25">
      <c r="A815" s="63">
        <v>813224</v>
      </c>
      <c r="B815" s="63">
        <v>202102</v>
      </c>
      <c r="C815" s="64">
        <v>19719.39</v>
      </c>
      <c r="D815" s="64">
        <v>2</v>
      </c>
      <c r="H815" s="65">
        <v>2</v>
      </c>
    </row>
    <row r="816" spans="1:8" x14ac:dyDescent="0.25">
      <c r="A816" s="63">
        <v>813224</v>
      </c>
      <c r="B816" s="63">
        <v>202103</v>
      </c>
      <c r="C816" s="64">
        <v>21796.19</v>
      </c>
      <c r="D816" s="64">
        <v>2</v>
      </c>
      <c r="H816" s="65">
        <v>2</v>
      </c>
    </row>
    <row r="817" spans="1:8" x14ac:dyDescent="0.25">
      <c r="A817" s="63">
        <v>813224</v>
      </c>
      <c r="B817" s="63">
        <v>202104</v>
      </c>
      <c r="C817" s="64">
        <v>22740.12</v>
      </c>
      <c r="D817" s="64">
        <v>2</v>
      </c>
      <c r="H817" s="65">
        <v>2</v>
      </c>
    </row>
    <row r="818" spans="1:8" x14ac:dyDescent="0.25">
      <c r="A818" s="63">
        <v>813224</v>
      </c>
      <c r="B818" s="63">
        <v>202105</v>
      </c>
      <c r="C818" s="64">
        <v>23778.9</v>
      </c>
      <c r="D818" s="64">
        <v>2</v>
      </c>
      <c r="H818" s="65">
        <v>2</v>
      </c>
    </row>
    <row r="819" spans="1:8" x14ac:dyDescent="0.25">
      <c r="A819" s="63">
        <v>813224</v>
      </c>
      <c r="B819" s="63">
        <v>202106</v>
      </c>
      <c r="C819" s="64">
        <v>36582.53</v>
      </c>
      <c r="D819" s="64">
        <v>2</v>
      </c>
      <c r="H819" s="65">
        <v>2</v>
      </c>
    </row>
    <row r="820" spans="1:8" x14ac:dyDescent="0.25">
      <c r="A820" s="63">
        <v>813224</v>
      </c>
      <c r="B820" s="63">
        <v>202107</v>
      </c>
      <c r="C820" s="64">
        <v>27555.26</v>
      </c>
      <c r="D820" s="64">
        <v>2</v>
      </c>
      <c r="H820" s="65">
        <v>2</v>
      </c>
    </row>
    <row r="821" spans="1:8" x14ac:dyDescent="0.25">
      <c r="A821" s="63">
        <v>813224</v>
      </c>
      <c r="B821" s="63">
        <v>202108</v>
      </c>
      <c r="C821" s="64">
        <v>24000</v>
      </c>
      <c r="D821" s="64">
        <v>2</v>
      </c>
      <c r="H821" s="65">
        <v>2</v>
      </c>
    </row>
    <row r="822" spans="1:8" x14ac:dyDescent="0.25">
      <c r="A822" s="63">
        <v>813224</v>
      </c>
      <c r="B822" s="63">
        <v>202109</v>
      </c>
      <c r="C822" s="64">
        <v>24000</v>
      </c>
      <c r="D822" s="64">
        <v>2</v>
      </c>
      <c r="H822" s="65">
        <v>2</v>
      </c>
    </row>
    <row r="823" spans="1:8" x14ac:dyDescent="0.25">
      <c r="A823" s="63">
        <v>813224</v>
      </c>
      <c r="B823" s="63">
        <v>202110</v>
      </c>
      <c r="C823" s="64">
        <v>24000</v>
      </c>
      <c r="D823" s="64">
        <v>2</v>
      </c>
      <c r="H823" s="65">
        <v>2</v>
      </c>
    </row>
    <row r="824" spans="1:8" x14ac:dyDescent="0.25">
      <c r="A824" s="63">
        <v>813224</v>
      </c>
      <c r="B824" s="63">
        <v>202111</v>
      </c>
      <c r="C824" s="64">
        <v>24000</v>
      </c>
      <c r="D824" s="64">
        <v>2</v>
      </c>
      <c r="H824" s="65">
        <v>2</v>
      </c>
    </row>
    <row r="825" spans="1:8" x14ac:dyDescent="0.25">
      <c r="A825" s="63">
        <v>813224</v>
      </c>
      <c r="B825" s="63">
        <v>202112</v>
      </c>
      <c r="C825" s="64">
        <v>24000</v>
      </c>
      <c r="D825" s="64">
        <v>2</v>
      </c>
      <c r="F825" s="93" cm="1">
        <f t="array" ref="F825">SUM(D814:D825/12)</f>
        <v>2</v>
      </c>
      <c r="H825" s="65">
        <v>2</v>
      </c>
    </row>
    <row r="826" spans="1:8" x14ac:dyDescent="0.25">
      <c r="A826" s="66" t="s">
        <v>826</v>
      </c>
      <c r="B826" s="63"/>
      <c r="C826" s="67">
        <f>SUM(C814:C825)</f>
        <v>294610</v>
      </c>
      <c r="H826" s="65"/>
    </row>
    <row r="827" spans="1:8" x14ac:dyDescent="0.25">
      <c r="A827" s="63">
        <v>813225</v>
      </c>
      <c r="B827" s="63">
        <v>202101</v>
      </c>
      <c r="C827" s="64">
        <v>33923.9</v>
      </c>
      <c r="D827" s="64">
        <v>3</v>
      </c>
      <c r="H827" s="65">
        <v>4</v>
      </c>
    </row>
    <row r="828" spans="1:8" x14ac:dyDescent="0.25">
      <c r="A828" s="63">
        <v>813225</v>
      </c>
      <c r="B828" s="63">
        <v>202102</v>
      </c>
      <c r="C828" s="64">
        <v>34124.86</v>
      </c>
      <c r="D828" s="64">
        <v>3</v>
      </c>
      <c r="H828" s="65">
        <v>4</v>
      </c>
    </row>
    <row r="829" spans="1:8" x14ac:dyDescent="0.25">
      <c r="A829" s="63">
        <v>813225</v>
      </c>
      <c r="B829" s="63">
        <v>202103</v>
      </c>
      <c r="C829" s="64">
        <v>34967.82</v>
      </c>
      <c r="D829" s="64">
        <v>3</v>
      </c>
      <c r="H829" s="65">
        <v>4</v>
      </c>
    </row>
    <row r="830" spans="1:8" x14ac:dyDescent="0.25">
      <c r="A830" s="63">
        <v>813225</v>
      </c>
      <c r="B830" s="63">
        <v>202104</v>
      </c>
      <c r="C830" s="64">
        <v>35463.620000000003</v>
      </c>
      <c r="D830" s="64">
        <v>3</v>
      </c>
      <c r="H830" s="65">
        <v>4</v>
      </c>
    </row>
    <row r="831" spans="1:8" x14ac:dyDescent="0.25">
      <c r="A831" s="63">
        <v>813225</v>
      </c>
      <c r="B831" s="63">
        <v>202105</v>
      </c>
      <c r="C831" s="64">
        <v>35260.21</v>
      </c>
      <c r="D831" s="64">
        <v>3</v>
      </c>
      <c r="H831" s="65">
        <v>4</v>
      </c>
    </row>
    <row r="832" spans="1:8" x14ac:dyDescent="0.25">
      <c r="A832" s="63">
        <v>813225</v>
      </c>
      <c r="B832" s="63">
        <v>202106</v>
      </c>
      <c r="C832" s="64">
        <v>50503.02</v>
      </c>
      <c r="D832" s="64">
        <v>3</v>
      </c>
      <c r="H832" s="65">
        <v>4</v>
      </c>
    </row>
    <row r="833" spans="1:8" x14ac:dyDescent="0.25">
      <c r="A833" s="63">
        <v>813225</v>
      </c>
      <c r="B833" s="63">
        <v>202107</v>
      </c>
      <c r="C833" s="64">
        <v>41693.300000000003</v>
      </c>
      <c r="D833" s="64">
        <v>3</v>
      </c>
      <c r="H833" s="65">
        <v>4</v>
      </c>
    </row>
    <row r="834" spans="1:8" x14ac:dyDescent="0.25">
      <c r="A834" s="63">
        <v>813225</v>
      </c>
      <c r="B834" s="63">
        <v>202108</v>
      </c>
      <c r="C834" s="64">
        <v>35000</v>
      </c>
      <c r="D834" s="64">
        <v>3</v>
      </c>
      <c r="H834" s="65">
        <v>4</v>
      </c>
    </row>
    <row r="835" spans="1:8" x14ac:dyDescent="0.25">
      <c r="A835" s="63">
        <v>813225</v>
      </c>
      <c r="B835" s="63">
        <v>202109</v>
      </c>
      <c r="C835" s="64">
        <v>35000</v>
      </c>
      <c r="D835" s="64">
        <v>3</v>
      </c>
      <c r="H835" s="65">
        <v>4</v>
      </c>
    </row>
    <row r="836" spans="1:8" x14ac:dyDescent="0.25">
      <c r="A836" s="63">
        <v>813225</v>
      </c>
      <c r="B836" s="63">
        <v>202110</v>
      </c>
      <c r="C836" s="64">
        <v>35000</v>
      </c>
      <c r="D836" s="64">
        <v>3</v>
      </c>
      <c r="H836" s="65">
        <v>4</v>
      </c>
    </row>
    <row r="837" spans="1:8" x14ac:dyDescent="0.25">
      <c r="A837" s="63">
        <v>813225</v>
      </c>
      <c r="B837" s="63">
        <v>202111</v>
      </c>
      <c r="C837" s="64">
        <v>35000</v>
      </c>
      <c r="D837" s="64">
        <v>3</v>
      </c>
      <c r="H837" s="65">
        <v>4</v>
      </c>
    </row>
    <row r="838" spans="1:8" x14ac:dyDescent="0.25">
      <c r="A838" s="63">
        <v>813225</v>
      </c>
      <c r="B838" s="63">
        <v>202112</v>
      </c>
      <c r="C838" s="64">
        <v>35000</v>
      </c>
      <c r="D838" s="64">
        <v>3</v>
      </c>
      <c r="F838" s="93" cm="1">
        <f t="array" ref="F838">SUM(D827:D838/12)</f>
        <v>3</v>
      </c>
      <c r="H838" s="65">
        <v>4</v>
      </c>
    </row>
    <row r="839" spans="1:8" x14ac:dyDescent="0.25">
      <c r="A839" s="66" t="s">
        <v>827</v>
      </c>
      <c r="B839" s="63"/>
      <c r="C839" s="67">
        <f>SUM(C827:C838)</f>
        <v>440936.73</v>
      </c>
      <c r="H839" s="65"/>
    </row>
    <row r="840" spans="1:8" x14ac:dyDescent="0.25">
      <c r="A840" s="63">
        <v>813226</v>
      </c>
      <c r="B840" s="63">
        <v>202101</v>
      </c>
      <c r="C840" s="64">
        <v>38362.81</v>
      </c>
      <c r="D840" s="64">
        <v>2.5499999999999998</v>
      </c>
      <c r="H840" s="65">
        <v>3</v>
      </c>
    </row>
    <row r="841" spans="1:8" x14ac:dyDescent="0.25">
      <c r="A841" s="63">
        <v>813226</v>
      </c>
      <c r="B841" s="63">
        <v>202102</v>
      </c>
      <c r="C841" s="64">
        <v>34622.080000000002</v>
      </c>
      <c r="D841" s="64">
        <v>2.5499999999999998</v>
      </c>
      <c r="H841" s="65">
        <v>3</v>
      </c>
    </row>
    <row r="842" spans="1:8" x14ac:dyDescent="0.25">
      <c r="A842" s="63">
        <v>813226</v>
      </c>
      <c r="B842" s="63">
        <v>202103</v>
      </c>
      <c r="C842" s="64">
        <v>34949.89</v>
      </c>
      <c r="D842" s="64">
        <v>2.5499999999999998</v>
      </c>
      <c r="H842" s="65">
        <v>3</v>
      </c>
    </row>
    <row r="843" spans="1:8" x14ac:dyDescent="0.25">
      <c r="A843" s="63">
        <v>813226</v>
      </c>
      <c r="B843" s="63">
        <v>202104</v>
      </c>
      <c r="C843" s="64">
        <v>34931.550000000003</v>
      </c>
      <c r="D843" s="64">
        <v>2.5499999999999998</v>
      </c>
      <c r="H843" s="65">
        <v>3</v>
      </c>
    </row>
    <row r="844" spans="1:8" x14ac:dyDescent="0.25">
      <c r="A844" s="63">
        <v>813226</v>
      </c>
      <c r="B844" s="63">
        <v>202105</v>
      </c>
      <c r="C844" s="64">
        <v>36660.93</v>
      </c>
      <c r="D844" s="64">
        <v>2.5499999999999998</v>
      </c>
      <c r="H844" s="65">
        <v>3</v>
      </c>
    </row>
    <row r="845" spans="1:8" x14ac:dyDescent="0.25">
      <c r="A845" s="63">
        <v>813226</v>
      </c>
      <c r="B845" s="63">
        <v>202106</v>
      </c>
      <c r="C845" s="64">
        <v>52302.39</v>
      </c>
      <c r="D845" s="64">
        <v>2.5499999999999998</v>
      </c>
      <c r="H845" s="65">
        <v>3</v>
      </c>
    </row>
    <row r="846" spans="1:8" x14ac:dyDescent="0.25">
      <c r="A846" s="63">
        <v>813226</v>
      </c>
      <c r="B846" s="63">
        <v>202107</v>
      </c>
      <c r="C846" s="64">
        <v>43376.45</v>
      </c>
      <c r="D846" s="64">
        <v>2.5499999999999998</v>
      </c>
      <c r="H846" s="65">
        <v>3</v>
      </c>
    </row>
    <row r="847" spans="1:8" x14ac:dyDescent="0.25">
      <c r="A847" s="63">
        <v>813226</v>
      </c>
      <c r="B847" s="63">
        <v>202108</v>
      </c>
      <c r="C847" s="64">
        <v>36700</v>
      </c>
      <c r="D847" s="64">
        <v>2.5499999999999998</v>
      </c>
      <c r="H847" s="65">
        <v>3</v>
      </c>
    </row>
    <row r="848" spans="1:8" x14ac:dyDescent="0.25">
      <c r="A848" s="63">
        <v>813226</v>
      </c>
      <c r="B848" s="63">
        <v>202109</v>
      </c>
      <c r="C848" s="64">
        <f>36700+5500</f>
        <v>42200</v>
      </c>
      <c r="D848" s="64">
        <v>2.5499999999999998</v>
      </c>
      <c r="H848" s="65">
        <v>3</v>
      </c>
    </row>
    <row r="849" spans="1:8" x14ac:dyDescent="0.25">
      <c r="A849" s="63">
        <v>813226</v>
      </c>
      <c r="B849" s="63">
        <v>202110</v>
      </c>
      <c r="C849" s="64">
        <v>36700</v>
      </c>
      <c r="D849" s="64">
        <v>2.5499999999999998</v>
      </c>
      <c r="H849" s="65">
        <v>3</v>
      </c>
    </row>
    <row r="850" spans="1:8" x14ac:dyDescent="0.25">
      <c r="A850" s="63">
        <v>813226</v>
      </c>
      <c r="B850" s="63">
        <v>202111</v>
      </c>
      <c r="C850" s="64">
        <v>36700</v>
      </c>
      <c r="D850" s="64">
        <v>2.5499999999999998</v>
      </c>
      <c r="H850" s="65">
        <v>3</v>
      </c>
    </row>
    <row r="851" spans="1:8" x14ac:dyDescent="0.25">
      <c r="A851" s="63">
        <v>813226</v>
      </c>
      <c r="B851" s="63">
        <v>202112</v>
      </c>
      <c r="C851" s="64">
        <v>36700</v>
      </c>
      <c r="D851" s="64">
        <v>2.5499999999999998</v>
      </c>
      <c r="F851" s="93" cm="1">
        <f t="array" ref="F851">SUM(D840:D851/12)</f>
        <v>2.5499999999999994</v>
      </c>
      <c r="H851" s="65">
        <v>3</v>
      </c>
    </row>
    <row r="852" spans="1:8" x14ac:dyDescent="0.25">
      <c r="A852" s="66" t="s">
        <v>828</v>
      </c>
      <c r="B852" s="63"/>
      <c r="C852" s="67">
        <f>SUM(C840:C851)</f>
        <v>464206.10000000003</v>
      </c>
      <c r="H852" s="65"/>
    </row>
    <row r="853" spans="1:8" x14ac:dyDescent="0.25">
      <c r="A853" s="63">
        <v>813300</v>
      </c>
      <c r="B853" s="63">
        <v>202101</v>
      </c>
      <c r="C853" s="64">
        <v>245280.89</v>
      </c>
      <c r="D853" s="64">
        <v>27.315999999999999</v>
      </c>
      <c r="H853" s="65">
        <v>50</v>
      </c>
    </row>
    <row r="854" spans="1:8" x14ac:dyDescent="0.25">
      <c r="A854" s="63">
        <v>813300</v>
      </c>
      <c r="B854" s="63">
        <v>202102</v>
      </c>
      <c r="C854" s="64">
        <v>242217.75</v>
      </c>
      <c r="D854" s="64">
        <v>26.594999999999999</v>
      </c>
      <c r="H854" s="65">
        <v>49</v>
      </c>
    </row>
    <row r="855" spans="1:8" x14ac:dyDescent="0.25">
      <c r="A855" s="63">
        <v>813300</v>
      </c>
      <c r="B855" s="63">
        <v>202103</v>
      </c>
      <c r="C855" s="64">
        <v>279301.32</v>
      </c>
      <c r="D855" s="64">
        <v>26.436</v>
      </c>
      <c r="H855" s="65">
        <v>49</v>
      </c>
    </row>
    <row r="856" spans="1:8" x14ac:dyDescent="0.25">
      <c r="A856" s="63">
        <v>813300</v>
      </c>
      <c r="B856" s="63">
        <v>202104</v>
      </c>
      <c r="C856" s="64">
        <v>242644.36</v>
      </c>
      <c r="D856" s="64">
        <v>26.305</v>
      </c>
      <c r="H856" s="65">
        <v>50</v>
      </c>
    </row>
    <row r="857" spans="1:8" x14ac:dyDescent="0.25">
      <c r="A857" s="63">
        <v>813300</v>
      </c>
      <c r="B857" s="63">
        <v>202105</v>
      </c>
      <c r="C857" s="64">
        <v>270801.12</v>
      </c>
      <c r="D857" s="64">
        <v>25.998000000000001</v>
      </c>
      <c r="H857" s="65">
        <v>49</v>
      </c>
    </row>
    <row r="858" spans="1:8" x14ac:dyDescent="0.25">
      <c r="A858" s="63">
        <v>813300</v>
      </c>
      <c r="B858" s="63">
        <v>202106</v>
      </c>
      <c r="C858" s="64">
        <v>377204.64</v>
      </c>
      <c r="D858" s="64">
        <v>25.204999999999998</v>
      </c>
      <c r="H858" s="65">
        <v>49</v>
      </c>
    </row>
    <row r="859" spans="1:8" x14ac:dyDescent="0.25">
      <c r="A859" s="63">
        <v>813300</v>
      </c>
      <c r="B859" s="63">
        <v>202107</v>
      </c>
      <c r="C859" s="64">
        <v>300931.46999999997</v>
      </c>
      <c r="D859" s="64">
        <v>22.898</v>
      </c>
      <c r="H859" s="65">
        <v>50</v>
      </c>
    </row>
    <row r="860" spans="1:8" x14ac:dyDescent="0.25">
      <c r="A860" s="63">
        <v>813300</v>
      </c>
      <c r="B860" s="63">
        <v>202108</v>
      </c>
      <c r="C860" s="64">
        <v>270000</v>
      </c>
      <c r="D860" s="64">
        <v>22.898</v>
      </c>
      <c r="H860" s="65">
        <v>50</v>
      </c>
    </row>
    <row r="861" spans="1:8" x14ac:dyDescent="0.25">
      <c r="A861" s="63">
        <v>813300</v>
      </c>
      <c r="B861" s="63">
        <v>202109</v>
      </c>
      <c r="C861" s="64">
        <f>270000+1600</f>
        <v>271600</v>
      </c>
      <c r="D861" s="64">
        <v>22.898</v>
      </c>
      <c r="H861" s="65">
        <v>50</v>
      </c>
    </row>
    <row r="862" spans="1:8" x14ac:dyDescent="0.25">
      <c r="A862" s="63">
        <v>813300</v>
      </c>
      <c r="B862" s="63">
        <v>202110</v>
      </c>
      <c r="C862" s="64">
        <v>270000</v>
      </c>
      <c r="D862" s="64">
        <v>22.898</v>
      </c>
      <c r="H862" s="65">
        <v>50</v>
      </c>
    </row>
    <row r="863" spans="1:8" x14ac:dyDescent="0.25">
      <c r="A863" s="63">
        <v>813300</v>
      </c>
      <c r="B863" s="63">
        <v>202111</v>
      </c>
      <c r="C863" s="64">
        <v>270000</v>
      </c>
      <c r="D863" s="64">
        <v>22.898</v>
      </c>
      <c r="H863" s="65">
        <v>50</v>
      </c>
    </row>
    <row r="864" spans="1:8" x14ac:dyDescent="0.25">
      <c r="A864" s="63">
        <v>813300</v>
      </c>
      <c r="B864" s="63">
        <v>202112</v>
      </c>
      <c r="C864" s="64">
        <v>270000</v>
      </c>
      <c r="D864" s="64">
        <v>22.898</v>
      </c>
      <c r="F864" s="93" cm="1">
        <f t="array" ref="F864">SUM(D853:D864/12)</f>
        <v>24.603583333333333</v>
      </c>
      <c r="H864" s="65">
        <v>50</v>
      </c>
    </row>
    <row r="865" spans="1:8" x14ac:dyDescent="0.25">
      <c r="A865" s="66" t="s">
        <v>829</v>
      </c>
      <c r="B865" s="63"/>
      <c r="C865" s="67">
        <f>SUM(C853:C864)</f>
        <v>3309981.55</v>
      </c>
      <c r="H865" s="65"/>
    </row>
    <row r="866" spans="1:8" x14ac:dyDescent="0.25">
      <c r="A866" s="63">
        <v>813400</v>
      </c>
      <c r="B866" s="63">
        <v>202101</v>
      </c>
      <c r="C866" s="64">
        <v>506407.77</v>
      </c>
      <c r="D866" s="64">
        <v>54.78</v>
      </c>
      <c r="H866" s="65">
        <v>60</v>
      </c>
    </row>
    <row r="867" spans="1:8" x14ac:dyDescent="0.25">
      <c r="A867" s="63">
        <v>813400</v>
      </c>
      <c r="B867" s="63">
        <v>202102</v>
      </c>
      <c r="C867" s="64">
        <v>514599.62</v>
      </c>
      <c r="D867" s="64">
        <v>54.78</v>
      </c>
      <c r="H867" s="65">
        <v>60</v>
      </c>
    </row>
    <row r="868" spans="1:8" x14ac:dyDescent="0.25">
      <c r="A868" s="63">
        <v>813400</v>
      </c>
      <c r="B868" s="63">
        <v>202103</v>
      </c>
      <c r="C868" s="64">
        <v>532173.5</v>
      </c>
      <c r="D868" s="64">
        <v>54.78</v>
      </c>
      <c r="H868" s="65">
        <v>60</v>
      </c>
    </row>
    <row r="869" spans="1:8" x14ac:dyDescent="0.25">
      <c r="A869" s="63">
        <v>813400</v>
      </c>
      <c r="B869" s="63">
        <v>202104</v>
      </c>
      <c r="C869" s="64">
        <v>528846.9</v>
      </c>
      <c r="D869" s="64">
        <v>54.78</v>
      </c>
      <c r="H869" s="65">
        <v>60</v>
      </c>
    </row>
    <row r="870" spans="1:8" x14ac:dyDescent="0.25">
      <c r="A870" s="63">
        <v>813400</v>
      </c>
      <c r="B870" s="63">
        <v>202105</v>
      </c>
      <c r="C870" s="64">
        <v>558765.86</v>
      </c>
      <c r="D870" s="64">
        <v>54.78</v>
      </c>
      <c r="H870" s="65">
        <v>60</v>
      </c>
    </row>
    <row r="871" spans="1:8" x14ac:dyDescent="0.25">
      <c r="A871" s="63">
        <v>813400</v>
      </c>
      <c r="B871" s="63">
        <v>202106</v>
      </c>
      <c r="C871" s="64">
        <v>886264.69</v>
      </c>
      <c r="D871" s="64">
        <v>54.78</v>
      </c>
      <c r="H871" s="65">
        <v>60</v>
      </c>
    </row>
    <row r="872" spans="1:8" x14ac:dyDescent="0.25">
      <c r="A872" s="63">
        <v>813400</v>
      </c>
      <c r="B872" s="63">
        <v>202107</v>
      </c>
      <c r="C872" s="64">
        <v>674290.86</v>
      </c>
      <c r="D872" s="64">
        <v>55.68</v>
      </c>
      <c r="H872" s="65">
        <v>61</v>
      </c>
    </row>
    <row r="873" spans="1:8" x14ac:dyDescent="0.25">
      <c r="A873" s="63">
        <v>813400</v>
      </c>
      <c r="B873" s="63">
        <v>202108</v>
      </c>
      <c r="C873" s="64">
        <v>559000</v>
      </c>
      <c r="D873" s="64">
        <v>55.68</v>
      </c>
      <c r="H873" s="65">
        <v>61</v>
      </c>
    </row>
    <row r="874" spans="1:8" x14ac:dyDescent="0.25">
      <c r="A874" s="63">
        <v>813400</v>
      </c>
      <c r="B874" s="63">
        <v>202109</v>
      </c>
      <c r="C874" s="64">
        <f>559000+45000</f>
        <v>604000</v>
      </c>
      <c r="D874" s="64">
        <v>55.68</v>
      </c>
      <c r="H874" s="65">
        <v>61</v>
      </c>
    </row>
    <row r="875" spans="1:8" x14ac:dyDescent="0.25">
      <c r="A875" s="63">
        <v>813400</v>
      </c>
      <c r="B875" s="63">
        <v>202110</v>
      </c>
      <c r="C875" s="64">
        <v>540000</v>
      </c>
      <c r="D875" s="64">
        <v>55.68</v>
      </c>
      <c r="H875" s="65">
        <v>61</v>
      </c>
    </row>
    <row r="876" spans="1:8" x14ac:dyDescent="0.25">
      <c r="A876" s="63">
        <v>813400</v>
      </c>
      <c r="B876" s="63">
        <v>202111</v>
      </c>
      <c r="C876" s="64">
        <v>540000</v>
      </c>
      <c r="D876" s="64">
        <v>55.68</v>
      </c>
      <c r="H876" s="65">
        <v>61</v>
      </c>
    </row>
    <row r="877" spans="1:8" x14ac:dyDescent="0.25">
      <c r="A877" s="63">
        <v>813400</v>
      </c>
      <c r="B877" s="63">
        <v>202112</v>
      </c>
      <c r="C877" s="64">
        <v>540000</v>
      </c>
      <c r="D877" s="64">
        <v>55.68</v>
      </c>
      <c r="F877" s="93" cm="1">
        <f t="array" ref="F877">SUM(D866:D877/12)</f>
        <v>55.230000000000004</v>
      </c>
      <c r="H877" s="65">
        <v>61</v>
      </c>
    </row>
    <row r="878" spans="1:8" x14ac:dyDescent="0.25">
      <c r="A878" s="66" t="s">
        <v>830</v>
      </c>
      <c r="B878" s="63"/>
      <c r="C878" s="67">
        <f>SUM(C866:C877)</f>
        <v>6984349.2000000002</v>
      </c>
      <c r="H878" s="65"/>
    </row>
    <row r="879" spans="1:8" x14ac:dyDescent="0.25">
      <c r="A879" s="63">
        <v>813500</v>
      </c>
      <c r="B879" s="63">
        <v>202101</v>
      </c>
      <c r="C879" s="64">
        <v>348405.09</v>
      </c>
      <c r="D879" s="64">
        <v>33.5</v>
      </c>
      <c r="H879" s="65">
        <v>36</v>
      </c>
    </row>
    <row r="880" spans="1:8" x14ac:dyDescent="0.25">
      <c r="A880" s="63">
        <v>813500</v>
      </c>
      <c r="B880" s="63">
        <v>202102</v>
      </c>
      <c r="C880" s="64">
        <v>391012.26</v>
      </c>
      <c r="D880" s="64">
        <v>33.5</v>
      </c>
      <c r="H880" s="65">
        <v>36</v>
      </c>
    </row>
    <row r="881" spans="1:8" x14ac:dyDescent="0.25">
      <c r="A881" s="63">
        <v>813500</v>
      </c>
      <c r="B881" s="63">
        <v>202103</v>
      </c>
      <c r="C881" s="64">
        <v>324118.17</v>
      </c>
      <c r="D881" s="64">
        <v>32.5</v>
      </c>
      <c r="H881" s="65">
        <v>35</v>
      </c>
    </row>
    <row r="882" spans="1:8" x14ac:dyDescent="0.25">
      <c r="A882" s="63">
        <v>813500</v>
      </c>
      <c r="B882" s="63">
        <v>202104</v>
      </c>
      <c r="C882" s="64">
        <v>368141.49</v>
      </c>
      <c r="D882" s="64">
        <v>31.5</v>
      </c>
      <c r="H882" s="65">
        <v>35</v>
      </c>
    </row>
    <row r="883" spans="1:8" x14ac:dyDescent="0.25">
      <c r="A883" s="63">
        <v>813500</v>
      </c>
      <c r="B883" s="63">
        <v>202105</v>
      </c>
      <c r="C883" s="64">
        <v>354211.89</v>
      </c>
      <c r="D883" s="64">
        <v>32</v>
      </c>
      <c r="H883" s="65">
        <v>34</v>
      </c>
    </row>
    <row r="884" spans="1:8" x14ac:dyDescent="0.25">
      <c r="A884" s="63">
        <v>813500</v>
      </c>
      <c r="B884" s="63">
        <v>202106</v>
      </c>
      <c r="C884" s="64">
        <v>531759.98</v>
      </c>
      <c r="D884" s="64">
        <v>32</v>
      </c>
      <c r="H884" s="65">
        <v>34</v>
      </c>
    </row>
    <row r="885" spans="1:8" x14ac:dyDescent="0.25">
      <c r="A885" s="63">
        <v>813500</v>
      </c>
      <c r="B885" s="63">
        <v>202107</v>
      </c>
      <c r="C885" s="64">
        <v>405043.07</v>
      </c>
      <c r="D885" s="64">
        <v>31.1</v>
      </c>
      <c r="H885" s="65">
        <v>34</v>
      </c>
    </row>
    <row r="886" spans="1:8" x14ac:dyDescent="0.25">
      <c r="A886" s="63">
        <v>813500</v>
      </c>
      <c r="B886" s="63">
        <v>202108</v>
      </c>
      <c r="C886" s="64">
        <v>354211</v>
      </c>
      <c r="D886" s="64">
        <v>31.1</v>
      </c>
      <c r="H886" s="65">
        <v>34</v>
      </c>
    </row>
    <row r="887" spans="1:8" x14ac:dyDescent="0.25">
      <c r="A887" s="63">
        <v>813500</v>
      </c>
      <c r="B887" s="63">
        <v>202109</v>
      </c>
      <c r="C887" s="64">
        <f>354211+14492</f>
        <v>368703</v>
      </c>
      <c r="D887" s="64">
        <v>31.1</v>
      </c>
      <c r="H887" s="65">
        <v>34</v>
      </c>
    </row>
    <row r="888" spans="1:8" x14ac:dyDescent="0.25">
      <c r="A888" s="63">
        <v>813500</v>
      </c>
      <c r="B888" s="63">
        <v>202110</v>
      </c>
      <c r="C888" s="64">
        <v>354211</v>
      </c>
      <c r="D888" s="64">
        <v>31.1</v>
      </c>
      <c r="H888" s="65">
        <v>34</v>
      </c>
    </row>
    <row r="889" spans="1:8" x14ac:dyDescent="0.25">
      <c r="A889" s="63">
        <v>813500</v>
      </c>
      <c r="B889" s="63">
        <v>202111</v>
      </c>
      <c r="C889" s="64">
        <v>354211</v>
      </c>
      <c r="D889" s="64">
        <v>31.1</v>
      </c>
      <c r="H889" s="65">
        <v>34</v>
      </c>
    </row>
    <row r="890" spans="1:8" x14ac:dyDescent="0.25">
      <c r="A890" s="63">
        <v>813500</v>
      </c>
      <c r="B890" s="63">
        <v>202112</v>
      </c>
      <c r="C890" s="64">
        <v>354211</v>
      </c>
      <c r="D890" s="64">
        <v>31.1</v>
      </c>
      <c r="F890" s="93" cm="1">
        <f t="array" ref="F890">SUM(D879:D890/12)</f>
        <v>31.800000000000011</v>
      </c>
      <c r="H890" s="65">
        <v>34</v>
      </c>
    </row>
    <row r="891" spans="1:8" x14ac:dyDescent="0.25">
      <c r="A891" s="66" t="s">
        <v>831</v>
      </c>
      <c r="B891" s="63"/>
      <c r="C891" s="67">
        <f>SUM(C879:C890)</f>
        <v>4508238.9499999993</v>
      </c>
      <c r="H891" s="65"/>
    </row>
    <row r="892" spans="1:8" x14ac:dyDescent="0.25">
      <c r="A892" s="63">
        <v>813600</v>
      </c>
      <c r="B892" s="63">
        <v>202101</v>
      </c>
      <c r="C892" s="64">
        <v>98256.71</v>
      </c>
      <c r="D892" s="64">
        <v>11.895</v>
      </c>
      <c r="H892" s="65">
        <v>17</v>
      </c>
    </row>
    <row r="893" spans="1:8" x14ac:dyDescent="0.25">
      <c r="A893" s="63">
        <v>813600</v>
      </c>
      <c r="B893" s="63">
        <v>202102</v>
      </c>
      <c r="C893" s="64">
        <v>100849.32</v>
      </c>
      <c r="D893" s="64">
        <v>12.025</v>
      </c>
      <c r="H893" s="65">
        <v>17</v>
      </c>
    </row>
    <row r="894" spans="1:8" x14ac:dyDescent="0.25">
      <c r="A894" s="63">
        <v>813600</v>
      </c>
      <c r="B894" s="63">
        <v>202103</v>
      </c>
      <c r="C894" s="64">
        <v>114470.83</v>
      </c>
      <c r="D894" s="64">
        <v>12.385999999999999</v>
      </c>
      <c r="H894" s="65">
        <v>17</v>
      </c>
    </row>
    <row r="895" spans="1:8" x14ac:dyDescent="0.25">
      <c r="A895" s="63">
        <v>813600</v>
      </c>
      <c r="B895" s="63">
        <v>202104</v>
      </c>
      <c r="C895" s="64">
        <v>114526.38</v>
      </c>
      <c r="D895" s="64">
        <v>12.725</v>
      </c>
      <c r="H895" s="65">
        <v>17</v>
      </c>
    </row>
    <row r="896" spans="1:8" x14ac:dyDescent="0.25">
      <c r="A896" s="63">
        <v>813600</v>
      </c>
      <c r="B896" s="63">
        <v>202105</v>
      </c>
      <c r="C896" s="64">
        <v>122822.69</v>
      </c>
      <c r="D896" s="64">
        <v>12.725</v>
      </c>
      <c r="H896" s="65">
        <v>17</v>
      </c>
    </row>
    <row r="897" spans="1:8" x14ac:dyDescent="0.25">
      <c r="A897" s="63">
        <v>813600</v>
      </c>
      <c r="B897" s="63">
        <v>202106</v>
      </c>
      <c r="C897" s="64">
        <v>182887.08</v>
      </c>
      <c r="D897" s="64">
        <v>12.725</v>
      </c>
      <c r="H897" s="65">
        <v>17</v>
      </c>
    </row>
    <row r="898" spans="1:8" x14ac:dyDescent="0.25">
      <c r="A898" s="63">
        <v>813600</v>
      </c>
      <c r="B898" s="63">
        <v>202107</v>
      </c>
      <c r="C898" s="64">
        <v>135777.87</v>
      </c>
      <c r="D898" s="64">
        <v>12.725</v>
      </c>
      <c r="H898" s="65">
        <v>17</v>
      </c>
    </row>
    <row r="899" spans="1:8" x14ac:dyDescent="0.25">
      <c r="A899" s="63">
        <v>813600</v>
      </c>
      <c r="B899" s="63">
        <v>202108</v>
      </c>
      <c r="C899" s="64">
        <v>123000</v>
      </c>
      <c r="D899" s="64">
        <v>12.725</v>
      </c>
      <c r="H899" s="65">
        <v>17</v>
      </c>
    </row>
    <row r="900" spans="1:8" x14ac:dyDescent="0.25">
      <c r="A900" s="63">
        <v>813600</v>
      </c>
      <c r="B900" s="63">
        <v>202109</v>
      </c>
      <c r="C900" s="64">
        <v>123000</v>
      </c>
      <c r="D900" s="64">
        <v>12.725</v>
      </c>
      <c r="H900" s="65">
        <v>17</v>
      </c>
    </row>
    <row r="901" spans="1:8" x14ac:dyDescent="0.25">
      <c r="A901" s="63">
        <v>813600</v>
      </c>
      <c r="B901" s="63">
        <v>202110</v>
      </c>
      <c r="C901" s="64">
        <v>123000</v>
      </c>
      <c r="D901" s="64">
        <v>12.725</v>
      </c>
      <c r="H901" s="65">
        <v>17</v>
      </c>
    </row>
    <row r="902" spans="1:8" x14ac:dyDescent="0.25">
      <c r="A902" s="63">
        <v>813600</v>
      </c>
      <c r="B902" s="63">
        <v>202111</v>
      </c>
      <c r="C902" s="64">
        <v>123000</v>
      </c>
      <c r="D902" s="64">
        <v>12.725</v>
      </c>
      <c r="H902" s="65">
        <v>17</v>
      </c>
    </row>
    <row r="903" spans="1:8" x14ac:dyDescent="0.25">
      <c r="A903" s="63">
        <v>813600</v>
      </c>
      <c r="B903" s="63">
        <v>202112</v>
      </c>
      <c r="C903" s="64">
        <v>123000</v>
      </c>
      <c r="D903" s="64">
        <v>12.725</v>
      </c>
      <c r="F903" s="93" cm="1">
        <f t="array" ref="F903">SUM(D892:D903/12)</f>
        <v>12.56925</v>
      </c>
      <c r="H903" s="65">
        <v>17</v>
      </c>
    </row>
    <row r="904" spans="1:8" x14ac:dyDescent="0.25">
      <c r="A904" s="66" t="s">
        <v>832</v>
      </c>
      <c r="B904" s="63"/>
      <c r="C904" s="67">
        <f>SUM(C892:C903)</f>
        <v>1484590.88</v>
      </c>
      <c r="H904" s="65"/>
    </row>
    <row r="905" spans="1:8" x14ac:dyDescent="0.25">
      <c r="A905" s="63">
        <v>813700</v>
      </c>
      <c r="B905" s="63">
        <v>202101</v>
      </c>
      <c r="C905" s="64">
        <v>15969.41</v>
      </c>
      <c r="H905" s="65">
        <v>7</v>
      </c>
    </row>
    <row r="906" spans="1:8" x14ac:dyDescent="0.25">
      <c r="A906" s="63">
        <v>813700</v>
      </c>
      <c r="B906" s="63">
        <v>202102</v>
      </c>
      <c r="C906" s="64">
        <v>5427.86</v>
      </c>
      <c r="H906" s="65">
        <v>3</v>
      </c>
    </row>
    <row r="907" spans="1:8" x14ac:dyDescent="0.25">
      <c r="A907" s="63">
        <v>813700</v>
      </c>
      <c r="B907" s="63">
        <v>202103</v>
      </c>
      <c r="C907" s="64">
        <v>4576.6499999999996</v>
      </c>
      <c r="H907" s="65">
        <v>3</v>
      </c>
    </row>
    <row r="908" spans="1:8" x14ac:dyDescent="0.25">
      <c r="A908" s="63">
        <v>813700</v>
      </c>
      <c r="B908" s="63">
        <v>202104</v>
      </c>
      <c r="C908" s="64">
        <v>5603.04</v>
      </c>
      <c r="H908" s="65">
        <v>4</v>
      </c>
    </row>
    <row r="909" spans="1:8" x14ac:dyDescent="0.25">
      <c r="A909" s="63">
        <v>813700</v>
      </c>
      <c r="B909" s="63">
        <v>202105</v>
      </c>
      <c r="C909" s="64">
        <v>8836.5400000000009</v>
      </c>
      <c r="H909" s="65">
        <v>4</v>
      </c>
    </row>
    <row r="910" spans="1:8" x14ac:dyDescent="0.25">
      <c r="A910" s="63">
        <v>813700</v>
      </c>
      <c r="B910" s="63">
        <v>202106</v>
      </c>
      <c r="C910" s="64">
        <v>13820.74</v>
      </c>
      <c r="H910" s="65">
        <v>5</v>
      </c>
    </row>
    <row r="911" spans="1:8" x14ac:dyDescent="0.25">
      <c r="A911" s="63">
        <v>813700</v>
      </c>
      <c r="B911" s="63">
        <v>202107</v>
      </c>
      <c r="C911" s="64">
        <v>13602.93</v>
      </c>
      <c r="H911" s="65">
        <v>4</v>
      </c>
    </row>
    <row r="912" spans="1:8" x14ac:dyDescent="0.25">
      <c r="A912" s="63">
        <v>813700</v>
      </c>
      <c r="B912" s="63">
        <v>202108</v>
      </c>
      <c r="C912" s="64">
        <v>10500</v>
      </c>
      <c r="H912" s="65">
        <v>4</v>
      </c>
    </row>
    <row r="913" spans="1:8" x14ac:dyDescent="0.25">
      <c r="A913" s="63">
        <v>813700</v>
      </c>
      <c r="B913" s="63">
        <v>202109</v>
      </c>
      <c r="C913" s="64">
        <v>10500</v>
      </c>
      <c r="H913" s="65">
        <v>4</v>
      </c>
    </row>
    <row r="914" spans="1:8" x14ac:dyDescent="0.25">
      <c r="A914" s="63">
        <v>813700</v>
      </c>
      <c r="B914" s="63">
        <v>202110</v>
      </c>
      <c r="C914" s="64">
        <v>10500</v>
      </c>
      <c r="H914" s="65">
        <v>4</v>
      </c>
    </row>
    <row r="915" spans="1:8" x14ac:dyDescent="0.25">
      <c r="A915" s="63">
        <v>813700</v>
      </c>
      <c r="B915" s="63">
        <v>202111</v>
      </c>
      <c r="C915" s="64">
        <v>10500</v>
      </c>
      <c r="H915" s="65">
        <v>4</v>
      </c>
    </row>
    <row r="916" spans="1:8" x14ac:dyDescent="0.25">
      <c r="A916" s="63">
        <v>813700</v>
      </c>
      <c r="B916" s="63">
        <v>202112</v>
      </c>
      <c r="C916" s="64">
        <v>10500</v>
      </c>
      <c r="F916" s="93" cm="1">
        <f t="array" ref="F916">SUM(D905:D916/12)</f>
        <v>0</v>
      </c>
      <c r="H916" s="65">
        <v>4</v>
      </c>
    </row>
    <row r="917" spans="1:8" x14ac:dyDescent="0.25">
      <c r="A917" s="66" t="s">
        <v>833</v>
      </c>
      <c r="B917" s="63"/>
      <c r="C917" s="67">
        <f>SUM(C905:C916)</f>
        <v>120337.17</v>
      </c>
      <c r="H917" s="65"/>
    </row>
    <row r="918" spans="1:8" x14ac:dyDescent="0.25">
      <c r="A918" s="63">
        <v>817100</v>
      </c>
      <c r="B918" s="63">
        <v>202101</v>
      </c>
      <c r="C918" s="64">
        <v>36490.54</v>
      </c>
      <c r="D918" s="64">
        <v>1.8</v>
      </c>
      <c r="H918" s="65">
        <v>2</v>
      </c>
    </row>
    <row r="919" spans="1:8" x14ac:dyDescent="0.25">
      <c r="A919" s="63">
        <v>817100</v>
      </c>
      <c r="B919" s="63">
        <v>202102</v>
      </c>
      <c r="C919" s="64">
        <v>28128.53</v>
      </c>
      <c r="D919" s="64">
        <v>1.8</v>
      </c>
      <c r="H919" s="65">
        <v>2</v>
      </c>
    </row>
    <row r="920" spans="1:8" x14ac:dyDescent="0.25">
      <c r="A920" s="63">
        <v>817100</v>
      </c>
      <c r="B920" s="63">
        <v>202103</v>
      </c>
      <c r="C920" s="64">
        <v>28539.47</v>
      </c>
      <c r="D920" s="64">
        <v>1.8</v>
      </c>
      <c r="H920" s="65">
        <v>2</v>
      </c>
    </row>
    <row r="921" spans="1:8" x14ac:dyDescent="0.25">
      <c r="A921" s="63">
        <v>817100</v>
      </c>
      <c r="B921" s="63">
        <v>202104</v>
      </c>
      <c r="C921" s="64">
        <v>29303.37</v>
      </c>
      <c r="D921" s="64">
        <v>1.8</v>
      </c>
      <c r="H921" s="65">
        <v>2</v>
      </c>
    </row>
    <row r="922" spans="1:8" x14ac:dyDescent="0.25">
      <c r="A922" s="63">
        <v>817100</v>
      </c>
      <c r="B922" s="63">
        <v>202105</v>
      </c>
      <c r="C922" s="64">
        <v>30238.03</v>
      </c>
      <c r="D922" s="64">
        <v>1.8</v>
      </c>
      <c r="H922" s="65">
        <v>2</v>
      </c>
    </row>
    <row r="923" spans="1:8" x14ac:dyDescent="0.25">
      <c r="A923" s="63">
        <v>817100</v>
      </c>
      <c r="B923" s="63">
        <v>202106</v>
      </c>
      <c r="C923" s="64">
        <v>44255.08</v>
      </c>
      <c r="D923" s="64">
        <v>1.8</v>
      </c>
      <c r="H923" s="65">
        <v>2</v>
      </c>
    </row>
    <row r="924" spans="1:8" x14ac:dyDescent="0.25">
      <c r="A924" s="63">
        <v>817100</v>
      </c>
      <c r="B924" s="63">
        <v>202107</v>
      </c>
      <c r="C924" s="64">
        <v>36475.71</v>
      </c>
      <c r="D924" s="64">
        <v>1.8</v>
      </c>
      <c r="H924" s="65">
        <v>2</v>
      </c>
    </row>
    <row r="925" spans="1:8" x14ac:dyDescent="0.25">
      <c r="A925" s="63">
        <v>817100</v>
      </c>
      <c r="B925" s="63">
        <v>202108</v>
      </c>
      <c r="C925" s="64">
        <v>30500</v>
      </c>
      <c r="D925" s="64">
        <v>1.8</v>
      </c>
      <c r="H925" s="65">
        <v>2</v>
      </c>
    </row>
    <row r="926" spans="1:8" x14ac:dyDescent="0.25">
      <c r="A926" s="63">
        <v>817100</v>
      </c>
      <c r="B926" s="63">
        <v>202109</v>
      </c>
      <c r="C926" s="64">
        <f>30500+5200</f>
        <v>35700</v>
      </c>
      <c r="D926" s="64">
        <v>1.8</v>
      </c>
      <c r="H926" s="65">
        <v>2</v>
      </c>
    </row>
    <row r="927" spans="1:8" x14ac:dyDescent="0.25">
      <c r="A927" s="63">
        <v>817100</v>
      </c>
      <c r="B927" s="63">
        <v>202110</v>
      </c>
      <c r="C927" s="64">
        <v>30500</v>
      </c>
      <c r="D927" s="64">
        <v>1.8</v>
      </c>
      <c r="H927" s="65">
        <v>2</v>
      </c>
    </row>
    <row r="928" spans="1:8" x14ac:dyDescent="0.25">
      <c r="A928" s="63">
        <v>817100</v>
      </c>
      <c r="B928" s="63">
        <v>202111</v>
      </c>
      <c r="C928" s="64">
        <v>30500</v>
      </c>
      <c r="D928" s="64">
        <v>1.8</v>
      </c>
      <c r="H928" s="65">
        <v>2</v>
      </c>
    </row>
    <row r="929" spans="1:8" x14ac:dyDescent="0.25">
      <c r="A929" s="63">
        <v>817100</v>
      </c>
      <c r="B929" s="63">
        <v>202112</v>
      </c>
      <c r="C929" s="64">
        <v>30500</v>
      </c>
      <c r="D929" s="64">
        <v>1.8</v>
      </c>
      <c r="F929" s="93" cm="1">
        <f t="array" ref="F929">SUM(D918:D929/12)</f>
        <v>1.7999999999999996</v>
      </c>
      <c r="H929" s="65">
        <v>2</v>
      </c>
    </row>
    <row r="930" spans="1:8" x14ac:dyDescent="0.25">
      <c r="A930" s="66" t="s">
        <v>834</v>
      </c>
      <c r="B930" s="63"/>
      <c r="C930" s="67">
        <f>SUM(C918:C929)</f>
        <v>391130.73</v>
      </c>
      <c r="H930" s="65"/>
    </row>
    <row r="931" spans="1:8" x14ac:dyDescent="0.25">
      <c r="A931" s="63">
        <v>817200</v>
      </c>
      <c r="B931" s="63">
        <v>202101</v>
      </c>
      <c r="C931" s="64">
        <v>38160.589999999997</v>
      </c>
      <c r="D931" s="64">
        <v>4</v>
      </c>
      <c r="H931" s="65">
        <v>4</v>
      </c>
    </row>
    <row r="932" spans="1:8" x14ac:dyDescent="0.25">
      <c r="A932" s="63">
        <v>817200</v>
      </c>
      <c r="B932" s="63">
        <v>202102</v>
      </c>
      <c r="C932" s="64">
        <v>49266.86</v>
      </c>
      <c r="D932" s="64">
        <v>4</v>
      </c>
      <c r="H932" s="65">
        <v>4</v>
      </c>
    </row>
    <row r="933" spans="1:8" x14ac:dyDescent="0.25">
      <c r="A933" s="63">
        <v>817200</v>
      </c>
      <c r="B933" s="63">
        <v>202103</v>
      </c>
      <c r="C933" s="64">
        <v>49716.4</v>
      </c>
      <c r="D933" s="64">
        <v>4</v>
      </c>
      <c r="H933" s="65">
        <v>4</v>
      </c>
    </row>
    <row r="934" spans="1:8" x14ac:dyDescent="0.25">
      <c r="A934" s="63">
        <v>817200</v>
      </c>
      <c r="B934" s="63">
        <v>202104</v>
      </c>
      <c r="C934" s="64">
        <v>46371.99</v>
      </c>
      <c r="D934" s="64">
        <v>4</v>
      </c>
      <c r="H934" s="65">
        <v>4</v>
      </c>
    </row>
    <row r="935" spans="1:8" x14ac:dyDescent="0.25">
      <c r="A935" s="63">
        <v>817200</v>
      </c>
      <c r="B935" s="63">
        <v>202105</v>
      </c>
      <c r="C935" s="64">
        <v>48900.89</v>
      </c>
      <c r="D935" s="64">
        <v>4</v>
      </c>
      <c r="H935" s="65">
        <v>4</v>
      </c>
    </row>
    <row r="936" spans="1:8" x14ac:dyDescent="0.25">
      <c r="A936" s="63">
        <v>817200</v>
      </c>
      <c r="B936" s="63">
        <v>202106</v>
      </c>
      <c r="C936" s="64">
        <v>74277.72</v>
      </c>
      <c r="D936" s="64">
        <v>4</v>
      </c>
      <c r="H936" s="65">
        <v>4</v>
      </c>
    </row>
    <row r="937" spans="1:8" x14ac:dyDescent="0.25">
      <c r="A937" s="63">
        <v>817200</v>
      </c>
      <c r="B937" s="63">
        <v>202107</v>
      </c>
      <c r="C937" s="64">
        <v>65527.5</v>
      </c>
      <c r="D937" s="64">
        <v>4</v>
      </c>
      <c r="H937" s="65">
        <v>4</v>
      </c>
    </row>
    <row r="938" spans="1:8" x14ac:dyDescent="0.25">
      <c r="A938" s="63">
        <v>817200</v>
      </c>
      <c r="B938" s="63">
        <v>202108</v>
      </c>
      <c r="C938" s="64">
        <v>48900</v>
      </c>
      <c r="D938" s="64">
        <v>4</v>
      </c>
      <c r="H938" s="65">
        <v>4</v>
      </c>
    </row>
    <row r="939" spans="1:8" x14ac:dyDescent="0.25">
      <c r="A939" s="63">
        <v>817200</v>
      </c>
      <c r="B939" s="63">
        <v>202109</v>
      </c>
      <c r="C939" s="64">
        <f>48900+11500</f>
        <v>60400</v>
      </c>
      <c r="D939" s="64">
        <v>4</v>
      </c>
      <c r="H939" s="65">
        <v>4</v>
      </c>
    </row>
    <row r="940" spans="1:8" x14ac:dyDescent="0.25">
      <c r="A940" s="63">
        <v>817200</v>
      </c>
      <c r="B940" s="63">
        <v>202110</v>
      </c>
      <c r="C940" s="64">
        <v>48900</v>
      </c>
      <c r="D940" s="64">
        <v>4</v>
      </c>
      <c r="H940" s="65">
        <v>4</v>
      </c>
    </row>
    <row r="941" spans="1:8" x14ac:dyDescent="0.25">
      <c r="A941" s="63">
        <v>817200</v>
      </c>
      <c r="B941" s="63">
        <v>202111</v>
      </c>
      <c r="C941" s="64">
        <v>48900</v>
      </c>
      <c r="D941" s="64">
        <v>4</v>
      </c>
      <c r="H941" s="65">
        <v>4</v>
      </c>
    </row>
    <row r="942" spans="1:8" x14ac:dyDescent="0.25">
      <c r="A942" s="63">
        <v>817200</v>
      </c>
      <c r="B942" s="63">
        <v>202112</v>
      </c>
      <c r="C942" s="64">
        <v>48900</v>
      </c>
      <c r="D942" s="64">
        <v>4</v>
      </c>
      <c r="F942" s="93" cm="1">
        <f t="array" ref="F942">SUM(D931:D942/12)</f>
        <v>4</v>
      </c>
      <c r="H942" s="65">
        <v>4</v>
      </c>
    </row>
    <row r="943" spans="1:8" x14ac:dyDescent="0.25">
      <c r="A943" s="66" t="s">
        <v>835</v>
      </c>
      <c r="B943" s="63"/>
      <c r="C943" s="67">
        <f>SUM(C931:C942)</f>
        <v>628221.94999999995</v>
      </c>
      <c r="H943" s="65"/>
    </row>
    <row r="944" spans="1:8" x14ac:dyDescent="0.25">
      <c r="A944" s="63">
        <v>817300</v>
      </c>
      <c r="B944" s="63">
        <v>202101</v>
      </c>
      <c r="C944" s="64">
        <v>247819.53</v>
      </c>
      <c r="D944" s="64">
        <v>11.595000000000001</v>
      </c>
      <c r="H944" s="65">
        <v>14</v>
      </c>
    </row>
    <row r="945" spans="1:8" x14ac:dyDescent="0.25">
      <c r="A945" s="63">
        <v>817300</v>
      </c>
      <c r="B945" s="63">
        <v>202102</v>
      </c>
      <c r="C945" s="64">
        <v>254631.53</v>
      </c>
      <c r="D945" s="64">
        <v>11.88</v>
      </c>
      <c r="H945" s="65">
        <v>14</v>
      </c>
    </row>
    <row r="946" spans="1:8" x14ac:dyDescent="0.25">
      <c r="A946" s="63">
        <v>817300</v>
      </c>
      <c r="B946" s="63">
        <v>202103</v>
      </c>
      <c r="C946" s="64">
        <v>240327.97</v>
      </c>
      <c r="D946" s="64">
        <v>11.88</v>
      </c>
      <c r="H946" s="65">
        <v>14</v>
      </c>
    </row>
    <row r="947" spans="1:8" x14ac:dyDescent="0.25">
      <c r="A947" s="63">
        <v>817300</v>
      </c>
      <c r="B947" s="63">
        <v>202104</v>
      </c>
      <c r="C947" s="64">
        <v>253965.19</v>
      </c>
      <c r="D947" s="64">
        <v>11.88</v>
      </c>
      <c r="H947" s="65">
        <v>14</v>
      </c>
    </row>
    <row r="948" spans="1:8" x14ac:dyDescent="0.25">
      <c r="A948" s="63">
        <v>817300</v>
      </c>
      <c r="B948" s="63">
        <v>202105</v>
      </c>
      <c r="C948" s="64">
        <v>269856.58</v>
      </c>
      <c r="D948" s="64">
        <v>11</v>
      </c>
      <c r="H948" s="65">
        <v>14</v>
      </c>
    </row>
    <row r="949" spans="1:8" x14ac:dyDescent="0.25">
      <c r="A949" s="63">
        <v>817300</v>
      </c>
      <c r="B949" s="63">
        <v>202106</v>
      </c>
      <c r="C949" s="64">
        <v>317604.40000000002</v>
      </c>
      <c r="D949" s="64">
        <v>11.6</v>
      </c>
      <c r="H949" s="65">
        <v>14</v>
      </c>
    </row>
    <row r="950" spans="1:8" x14ac:dyDescent="0.25">
      <c r="A950" s="63">
        <v>817300</v>
      </c>
      <c r="B950" s="63">
        <v>202107</v>
      </c>
      <c r="C950" s="64">
        <v>277963.53000000003</v>
      </c>
      <c r="D950" s="64">
        <v>11.6</v>
      </c>
      <c r="H950" s="65">
        <v>14</v>
      </c>
    </row>
    <row r="951" spans="1:8" x14ac:dyDescent="0.25">
      <c r="A951" s="63">
        <v>817300</v>
      </c>
      <c r="B951" s="63">
        <v>202108</v>
      </c>
      <c r="C951" s="64">
        <v>265000</v>
      </c>
      <c r="D951" s="64">
        <v>11.6</v>
      </c>
      <c r="H951" s="65">
        <v>14</v>
      </c>
    </row>
    <row r="952" spans="1:8" x14ac:dyDescent="0.25">
      <c r="A952" s="63">
        <v>817300</v>
      </c>
      <c r="B952" s="63">
        <v>202109</v>
      </c>
      <c r="C952" s="64">
        <f>265000+74000</f>
        <v>339000</v>
      </c>
      <c r="D952" s="64">
        <v>11.6</v>
      </c>
      <c r="H952" s="65">
        <v>14</v>
      </c>
    </row>
    <row r="953" spans="1:8" x14ac:dyDescent="0.25">
      <c r="A953" s="63">
        <v>817300</v>
      </c>
      <c r="B953" s="63">
        <v>202110</v>
      </c>
      <c r="C953" s="64">
        <v>265000</v>
      </c>
      <c r="D953" s="64">
        <v>11.6</v>
      </c>
      <c r="H953" s="65">
        <v>14</v>
      </c>
    </row>
    <row r="954" spans="1:8" x14ac:dyDescent="0.25">
      <c r="A954" s="63">
        <v>817300</v>
      </c>
      <c r="B954" s="63">
        <v>202111</v>
      </c>
      <c r="C954" s="64">
        <v>265000</v>
      </c>
      <c r="D954" s="64">
        <v>11.6</v>
      </c>
      <c r="H954" s="65">
        <v>14</v>
      </c>
    </row>
    <row r="955" spans="1:8" x14ac:dyDescent="0.25">
      <c r="A955" s="63">
        <v>817300</v>
      </c>
      <c r="B955" s="63">
        <v>202112</v>
      </c>
      <c r="C955" s="64">
        <v>265000</v>
      </c>
      <c r="D955" s="64">
        <v>11.6</v>
      </c>
      <c r="F955" s="93" cm="1">
        <f t="array" ref="F955">SUM(D944:D955/12)</f>
        <v>11.619583333333335</v>
      </c>
      <c r="H955" s="65">
        <v>14</v>
      </c>
    </row>
    <row r="956" spans="1:8" x14ac:dyDescent="0.25">
      <c r="A956" s="66" t="s">
        <v>836</v>
      </c>
      <c r="B956" s="63"/>
      <c r="C956" s="67">
        <f>SUM(C944:C955)</f>
        <v>3261168.7300000004</v>
      </c>
      <c r="H956" s="65"/>
    </row>
    <row r="957" spans="1:8" x14ac:dyDescent="0.25">
      <c r="A957" s="63">
        <v>817700</v>
      </c>
      <c r="B957" s="63">
        <v>202101</v>
      </c>
      <c r="C957" s="64">
        <v>65043.65</v>
      </c>
      <c r="D957" s="64">
        <v>4.5</v>
      </c>
      <c r="H957" s="65">
        <v>5</v>
      </c>
    </row>
    <row r="958" spans="1:8" x14ac:dyDescent="0.25">
      <c r="A958" s="63">
        <v>817700</v>
      </c>
      <c r="B958" s="63">
        <v>202102</v>
      </c>
      <c r="C958" s="64">
        <v>72882</v>
      </c>
      <c r="D958" s="64">
        <v>4.5</v>
      </c>
      <c r="H958" s="65">
        <v>5</v>
      </c>
    </row>
    <row r="959" spans="1:8" x14ac:dyDescent="0.25">
      <c r="A959" s="63">
        <v>817700</v>
      </c>
      <c r="B959" s="63">
        <v>202103</v>
      </c>
      <c r="C959" s="64">
        <v>60424.54</v>
      </c>
      <c r="D959" s="64">
        <v>4.5</v>
      </c>
      <c r="H959" s="65">
        <v>5</v>
      </c>
    </row>
    <row r="960" spans="1:8" x14ac:dyDescent="0.25">
      <c r="A960" s="63">
        <v>817700</v>
      </c>
      <c r="B960" s="63">
        <v>202104</v>
      </c>
      <c r="C960" s="64">
        <v>48197.65</v>
      </c>
      <c r="D960" s="64">
        <v>3.55</v>
      </c>
      <c r="H960" s="65">
        <v>5</v>
      </c>
    </row>
    <row r="961" spans="1:8" x14ac:dyDescent="0.25">
      <c r="A961" s="63">
        <v>817700</v>
      </c>
      <c r="B961" s="63">
        <v>202105</v>
      </c>
      <c r="C961" s="64">
        <v>74944.639999999999</v>
      </c>
      <c r="D961" s="64">
        <v>4.5</v>
      </c>
      <c r="H961" s="65">
        <v>5</v>
      </c>
    </row>
    <row r="962" spans="1:8" x14ac:dyDescent="0.25">
      <c r="A962" s="63">
        <v>817700</v>
      </c>
      <c r="B962" s="63">
        <v>202106</v>
      </c>
      <c r="C962" s="64">
        <v>83021.039999999994</v>
      </c>
      <c r="D962" s="64">
        <v>4.5</v>
      </c>
      <c r="H962" s="65">
        <v>5</v>
      </c>
    </row>
    <row r="963" spans="1:8" x14ac:dyDescent="0.25">
      <c r="A963" s="63">
        <v>817700</v>
      </c>
      <c r="B963" s="63">
        <v>202107</v>
      </c>
      <c r="C963" s="64">
        <v>73309.94</v>
      </c>
      <c r="D963" s="64">
        <v>4.5</v>
      </c>
      <c r="H963" s="65">
        <v>5</v>
      </c>
    </row>
    <row r="964" spans="1:8" x14ac:dyDescent="0.25">
      <c r="A964" s="63">
        <v>817700</v>
      </c>
      <c r="B964" s="63">
        <v>202108</v>
      </c>
      <c r="C964" s="64">
        <v>65000</v>
      </c>
      <c r="D964" s="64">
        <v>4.5</v>
      </c>
      <c r="H964" s="65">
        <v>5</v>
      </c>
    </row>
    <row r="965" spans="1:8" x14ac:dyDescent="0.25">
      <c r="A965" s="63">
        <v>817700</v>
      </c>
      <c r="B965" s="63">
        <v>202109</v>
      </c>
      <c r="C965" s="64">
        <f>C964+20000</f>
        <v>85000</v>
      </c>
      <c r="D965" s="64">
        <v>4.5</v>
      </c>
      <c r="H965" s="65">
        <v>5</v>
      </c>
    </row>
    <row r="966" spans="1:8" x14ac:dyDescent="0.25">
      <c r="A966" s="63">
        <v>817700</v>
      </c>
      <c r="B966" s="63">
        <v>202110</v>
      </c>
      <c r="C966" s="64">
        <v>65000</v>
      </c>
      <c r="D966" s="64">
        <v>4.5</v>
      </c>
      <c r="H966" s="65">
        <v>5</v>
      </c>
    </row>
    <row r="967" spans="1:8" x14ac:dyDescent="0.25">
      <c r="A967" s="63">
        <v>817700</v>
      </c>
      <c r="B967" s="63">
        <v>202111</v>
      </c>
      <c r="C967" s="64">
        <v>65000</v>
      </c>
      <c r="D967" s="64">
        <v>4.5</v>
      </c>
      <c r="H967" s="65">
        <v>5</v>
      </c>
    </row>
    <row r="968" spans="1:8" x14ac:dyDescent="0.25">
      <c r="A968" s="63">
        <v>817700</v>
      </c>
      <c r="B968" s="63">
        <v>202112</v>
      </c>
      <c r="C968" s="64">
        <v>65000</v>
      </c>
      <c r="D968" s="64">
        <v>4.5</v>
      </c>
      <c r="F968" s="93" cm="1">
        <f t="array" ref="F968">SUM(D957:D968/12)</f>
        <v>4.4208333333333334</v>
      </c>
      <c r="H968" s="65">
        <v>5</v>
      </c>
    </row>
    <row r="969" spans="1:8" x14ac:dyDescent="0.25">
      <c r="A969" s="66" t="s">
        <v>837</v>
      </c>
      <c r="B969" s="63"/>
      <c r="C969" s="67">
        <f>SUM(C957:C968)</f>
        <v>822823.46</v>
      </c>
      <c r="H969" s="65"/>
    </row>
    <row r="970" spans="1:8" x14ac:dyDescent="0.25">
      <c r="A970" s="63">
        <v>817710</v>
      </c>
      <c r="B970" s="63">
        <v>202101</v>
      </c>
      <c r="C970" s="64">
        <f>24370.98+2071.16</f>
        <v>26442.14</v>
      </c>
      <c r="D970" s="64">
        <v>1</v>
      </c>
      <c r="H970" s="65">
        <v>1</v>
      </c>
    </row>
    <row r="971" spans="1:8" x14ac:dyDescent="0.25">
      <c r="A971" s="63">
        <v>817710</v>
      </c>
      <c r="B971" s="63">
        <v>202102</v>
      </c>
      <c r="C971" s="64">
        <f>23830.91+3008.73</f>
        <v>26839.64</v>
      </c>
      <c r="D971" s="64">
        <v>1</v>
      </c>
      <c r="H971" s="65">
        <v>1</v>
      </c>
    </row>
    <row r="972" spans="1:8" x14ac:dyDescent="0.25">
      <c r="A972" s="63">
        <v>817710</v>
      </c>
      <c r="B972" s="63">
        <v>202103</v>
      </c>
      <c r="C972" s="64">
        <f>28429.43+3019.32</f>
        <v>31448.75</v>
      </c>
      <c r="D972" s="64">
        <v>1.5</v>
      </c>
      <c r="H972" s="65">
        <v>2</v>
      </c>
    </row>
    <row r="973" spans="1:8" x14ac:dyDescent="0.25">
      <c r="A973" s="63">
        <v>817710</v>
      </c>
      <c r="B973" s="63">
        <v>202104</v>
      </c>
      <c r="C973" s="64">
        <f>32223.96+2930.25</f>
        <v>35154.21</v>
      </c>
      <c r="D973" s="64">
        <v>1.5</v>
      </c>
      <c r="H973" s="65">
        <v>2</v>
      </c>
    </row>
    <row r="974" spans="1:8" x14ac:dyDescent="0.25">
      <c r="A974" s="63">
        <v>817710</v>
      </c>
      <c r="B974" s="63">
        <v>202105</v>
      </c>
      <c r="C974" s="64">
        <f>39447.89+2077.67</f>
        <v>41525.56</v>
      </c>
      <c r="D974" s="64">
        <v>1.5</v>
      </c>
      <c r="H974" s="65">
        <v>2</v>
      </c>
    </row>
    <row r="975" spans="1:8" x14ac:dyDescent="0.25">
      <c r="A975" s="63">
        <v>817710</v>
      </c>
      <c r="B975" s="63">
        <v>202106</v>
      </c>
      <c r="C975" s="64">
        <f>39264.09+3278.31</f>
        <v>42542.399999999994</v>
      </c>
      <c r="D975" s="64">
        <v>1.5</v>
      </c>
      <c r="H975" s="65">
        <v>2</v>
      </c>
    </row>
    <row r="976" spans="1:8" x14ac:dyDescent="0.25">
      <c r="A976" s="63">
        <v>817710</v>
      </c>
      <c r="B976" s="63">
        <v>202107</v>
      </c>
      <c r="C976" s="64">
        <f>32573.58+3264.17</f>
        <v>35837.75</v>
      </c>
      <c r="D976" s="64">
        <v>1.5</v>
      </c>
      <c r="H976" s="65">
        <v>2</v>
      </c>
    </row>
    <row r="977" spans="1:8" x14ac:dyDescent="0.25">
      <c r="A977" s="63">
        <v>817710</v>
      </c>
      <c r="B977" s="63">
        <v>202108</v>
      </c>
      <c r="C977" s="64">
        <f t="shared" ref="C977:C981" si="2">32573.58+3264.17</f>
        <v>35837.75</v>
      </c>
      <c r="D977" s="64">
        <v>1.5</v>
      </c>
      <c r="H977" s="65">
        <v>2</v>
      </c>
    </row>
    <row r="978" spans="1:8" x14ac:dyDescent="0.25">
      <c r="A978" s="63">
        <v>817710</v>
      </c>
      <c r="B978" s="63">
        <v>202109</v>
      </c>
      <c r="C978" s="64">
        <f t="shared" si="2"/>
        <v>35837.75</v>
      </c>
      <c r="D978" s="64">
        <v>1.5</v>
      </c>
      <c r="H978" s="65">
        <v>2</v>
      </c>
    </row>
    <row r="979" spans="1:8" x14ac:dyDescent="0.25">
      <c r="A979" s="63">
        <v>817710</v>
      </c>
      <c r="B979" s="63">
        <v>202110</v>
      </c>
      <c r="C979" s="64">
        <f t="shared" si="2"/>
        <v>35837.75</v>
      </c>
      <c r="D979" s="64">
        <v>1.5</v>
      </c>
      <c r="H979" s="65">
        <v>2</v>
      </c>
    </row>
    <row r="980" spans="1:8" x14ac:dyDescent="0.25">
      <c r="A980" s="63">
        <v>817710</v>
      </c>
      <c r="B980" s="63">
        <v>202111</v>
      </c>
      <c r="C980" s="64">
        <f t="shared" si="2"/>
        <v>35837.75</v>
      </c>
      <c r="D980" s="64">
        <v>1.5</v>
      </c>
      <c r="H980" s="65">
        <v>2</v>
      </c>
    </row>
    <row r="981" spans="1:8" x14ac:dyDescent="0.25">
      <c r="A981" s="63">
        <v>817710</v>
      </c>
      <c r="B981" s="63">
        <v>202112</v>
      </c>
      <c r="C981" s="64">
        <f t="shared" si="2"/>
        <v>35837.75</v>
      </c>
      <c r="D981" s="64">
        <v>1.5</v>
      </c>
      <c r="F981" s="93" cm="1">
        <f t="array" ref="F981">SUM(D970:D981/12)</f>
        <v>1.4166666666666665</v>
      </c>
      <c r="H981" s="65">
        <v>2</v>
      </c>
    </row>
    <row r="982" spans="1:8" x14ac:dyDescent="0.25">
      <c r="A982" s="66" t="s">
        <v>838</v>
      </c>
      <c r="B982" s="63"/>
      <c r="C982" s="67">
        <f>SUM(C970:C981)</f>
        <v>418979.19999999995</v>
      </c>
      <c r="H982" s="65"/>
    </row>
    <row r="983" spans="1:8" x14ac:dyDescent="0.25">
      <c r="A983" s="63">
        <v>817900</v>
      </c>
      <c r="B983" s="63">
        <v>202101</v>
      </c>
      <c r="C983" s="64">
        <v>17254.22</v>
      </c>
      <c r="D983" s="64">
        <v>1</v>
      </c>
      <c r="H983" s="65">
        <v>1</v>
      </c>
    </row>
    <row r="984" spans="1:8" x14ac:dyDescent="0.25">
      <c r="A984" s="63">
        <v>817900</v>
      </c>
      <c r="B984" s="63">
        <v>202102</v>
      </c>
      <c r="C984" s="64">
        <v>19324.02</v>
      </c>
      <c r="D984" s="64">
        <v>1</v>
      </c>
      <c r="H984" s="65">
        <v>1</v>
      </c>
    </row>
    <row r="985" spans="1:8" x14ac:dyDescent="0.25">
      <c r="A985" s="63">
        <v>817900</v>
      </c>
      <c r="B985" s="63">
        <v>202103</v>
      </c>
      <c r="C985" s="64">
        <v>17149.310000000001</v>
      </c>
      <c r="D985" s="64">
        <v>1</v>
      </c>
      <c r="H985" s="65">
        <v>1</v>
      </c>
    </row>
    <row r="986" spans="1:8" x14ac:dyDescent="0.25">
      <c r="A986" s="63">
        <v>817900</v>
      </c>
      <c r="B986" s="63">
        <v>202104</v>
      </c>
      <c r="C986" s="64">
        <v>18732.61</v>
      </c>
      <c r="D986" s="64">
        <v>1</v>
      </c>
      <c r="H986" s="65">
        <v>1</v>
      </c>
    </row>
    <row r="987" spans="1:8" x14ac:dyDescent="0.25">
      <c r="A987" s="63">
        <v>817900</v>
      </c>
      <c r="B987" s="63">
        <v>202105</v>
      </c>
      <c r="C987" s="64">
        <v>17410.75</v>
      </c>
      <c r="D987" s="64">
        <v>1</v>
      </c>
      <c r="H987" s="65">
        <v>1</v>
      </c>
    </row>
    <row r="988" spans="1:8" x14ac:dyDescent="0.25">
      <c r="A988" s="63">
        <v>817900</v>
      </c>
      <c r="B988" s="63">
        <v>202106</v>
      </c>
      <c r="C988" s="64">
        <v>22296.34</v>
      </c>
      <c r="D988" s="64">
        <v>1</v>
      </c>
      <c r="H988" s="65">
        <v>1</v>
      </c>
    </row>
    <row r="989" spans="1:8" x14ac:dyDescent="0.25">
      <c r="A989" s="63">
        <v>817900</v>
      </c>
      <c r="B989" s="63">
        <v>202107</v>
      </c>
      <c r="C989" s="64">
        <v>18888.57</v>
      </c>
      <c r="D989" s="64">
        <v>1</v>
      </c>
      <c r="H989" s="65">
        <v>1</v>
      </c>
    </row>
    <row r="990" spans="1:8" x14ac:dyDescent="0.25">
      <c r="A990" s="63">
        <v>817900</v>
      </c>
      <c r="B990" s="63">
        <v>202108</v>
      </c>
      <c r="C990" s="64">
        <v>17500</v>
      </c>
      <c r="D990" s="64">
        <v>1</v>
      </c>
      <c r="H990" s="65">
        <v>1</v>
      </c>
    </row>
    <row r="991" spans="1:8" x14ac:dyDescent="0.25">
      <c r="A991" s="63">
        <v>817900</v>
      </c>
      <c r="B991" s="63">
        <v>202109</v>
      </c>
      <c r="C991" s="64">
        <v>17500</v>
      </c>
      <c r="D991" s="64">
        <v>1</v>
      </c>
      <c r="H991" s="65">
        <v>1</v>
      </c>
    </row>
    <row r="992" spans="1:8" x14ac:dyDescent="0.25">
      <c r="A992" s="63">
        <v>817900</v>
      </c>
      <c r="B992" s="63">
        <v>202110</v>
      </c>
      <c r="C992" s="64">
        <v>17500</v>
      </c>
      <c r="D992" s="64">
        <v>1</v>
      </c>
      <c r="H992" s="65">
        <v>1</v>
      </c>
    </row>
    <row r="993" spans="1:8" x14ac:dyDescent="0.25">
      <c r="A993" s="63">
        <v>817900</v>
      </c>
      <c r="B993" s="63">
        <v>202111</v>
      </c>
      <c r="C993" s="64">
        <v>17500</v>
      </c>
      <c r="D993" s="64">
        <v>1</v>
      </c>
      <c r="H993" s="65">
        <v>1</v>
      </c>
    </row>
    <row r="994" spans="1:8" x14ac:dyDescent="0.25">
      <c r="A994" s="63">
        <v>817900</v>
      </c>
      <c r="B994" s="63">
        <v>202112</v>
      </c>
      <c r="C994" s="64">
        <v>17500</v>
      </c>
      <c r="D994" s="64">
        <v>1</v>
      </c>
      <c r="F994" s="93" cm="1">
        <f t="array" ref="F994">SUM(D983:D994/12)</f>
        <v>1</v>
      </c>
      <c r="H994" s="65">
        <v>1</v>
      </c>
    </row>
    <row r="995" spans="1:8" x14ac:dyDescent="0.25">
      <c r="A995" s="66" t="s">
        <v>839</v>
      </c>
      <c r="B995" s="63"/>
      <c r="C995" s="67">
        <f>SUM(C983:C994)</f>
        <v>218555.82</v>
      </c>
      <c r="H995" s="65"/>
    </row>
    <row r="996" spans="1:8" x14ac:dyDescent="0.25">
      <c r="A996" s="63">
        <v>817910</v>
      </c>
      <c r="B996" s="63">
        <v>202101</v>
      </c>
      <c r="C996" s="64">
        <v>122132.78</v>
      </c>
      <c r="D996" s="64">
        <v>7</v>
      </c>
      <c r="H996" s="65">
        <v>7</v>
      </c>
    </row>
    <row r="997" spans="1:8" x14ac:dyDescent="0.25">
      <c r="A997" s="63">
        <v>817910</v>
      </c>
      <c r="B997" s="63">
        <v>202102</v>
      </c>
      <c r="C997" s="64">
        <v>128472.12</v>
      </c>
      <c r="D997" s="64">
        <v>7</v>
      </c>
      <c r="H997" s="65">
        <v>7</v>
      </c>
    </row>
    <row r="998" spans="1:8" x14ac:dyDescent="0.25">
      <c r="A998" s="63">
        <v>817910</v>
      </c>
      <c r="B998" s="63">
        <v>202103</v>
      </c>
      <c r="C998" s="64">
        <v>116187.76</v>
      </c>
      <c r="D998" s="64">
        <v>7</v>
      </c>
      <c r="H998" s="65">
        <v>7</v>
      </c>
    </row>
    <row r="999" spans="1:8" x14ac:dyDescent="0.25">
      <c r="A999" s="63">
        <v>817910</v>
      </c>
      <c r="B999" s="63">
        <v>202104</v>
      </c>
      <c r="C999" s="64">
        <v>118223.64</v>
      </c>
      <c r="D999" s="64">
        <v>7</v>
      </c>
      <c r="H999" s="65">
        <v>7</v>
      </c>
    </row>
    <row r="1000" spans="1:8" x14ac:dyDescent="0.25">
      <c r="A1000" s="63">
        <v>817910</v>
      </c>
      <c r="B1000" s="63">
        <v>202105</v>
      </c>
      <c r="C1000" s="64">
        <v>123513.34</v>
      </c>
      <c r="D1000" s="64">
        <v>7</v>
      </c>
      <c r="H1000" s="65">
        <v>7</v>
      </c>
    </row>
    <row r="1001" spans="1:8" x14ac:dyDescent="0.25">
      <c r="A1001" s="63">
        <v>817910</v>
      </c>
      <c r="B1001" s="63">
        <v>202106</v>
      </c>
      <c r="C1001" s="64">
        <v>168866.26</v>
      </c>
      <c r="D1001" s="64">
        <v>7.6</v>
      </c>
      <c r="H1001" s="65">
        <v>8</v>
      </c>
    </row>
    <row r="1002" spans="1:8" x14ac:dyDescent="0.25">
      <c r="A1002" s="63">
        <v>817910</v>
      </c>
      <c r="B1002" s="63">
        <v>202107</v>
      </c>
      <c r="C1002" s="64">
        <v>145177.39000000001</v>
      </c>
      <c r="D1002" s="64">
        <v>8</v>
      </c>
      <c r="H1002" s="65">
        <v>8</v>
      </c>
    </row>
    <row r="1003" spans="1:8" x14ac:dyDescent="0.25">
      <c r="A1003" s="63">
        <v>817910</v>
      </c>
      <c r="B1003" s="63">
        <v>202108</v>
      </c>
      <c r="C1003" s="64">
        <v>123500</v>
      </c>
      <c r="D1003" s="64">
        <v>8</v>
      </c>
      <c r="H1003" s="65">
        <v>8</v>
      </c>
    </row>
    <row r="1004" spans="1:8" x14ac:dyDescent="0.25">
      <c r="A1004" s="63">
        <v>817910</v>
      </c>
      <c r="B1004" s="63">
        <v>202109</v>
      </c>
      <c r="C1004" s="64">
        <v>123500</v>
      </c>
      <c r="D1004" s="64">
        <v>8</v>
      </c>
      <c r="H1004" s="65">
        <v>8</v>
      </c>
    </row>
    <row r="1005" spans="1:8" x14ac:dyDescent="0.25">
      <c r="A1005" s="63">
        <v>817910</v>
      </c>
      <c r="B1005" s="63">
        <v>202110</v>
      </c>
      <c r="C1005" s="64">
        <v>123500</v>
      </c>
      <c r="D1005" s="64">
        <v>8</v>
      </c>
      <c r="H1005" s="65">
        <v>8</v>
      </c>
    </row>
    <row r="1006" spans="1:8" x14ac:dyDescent="0.25">
      <c r="A1006" s="63">
        <v>817910</v>
      </c>
      <c r="B1006" s="63">
        <v>202111</v>
      </c>
      <c r="C1006" s="64">
        <v>123500</v>
      </c>
      <c r="D1006" s="64">
        <v>8</v>
      </c>
      <c r="H1006" s="65">
        <v>8</v>
      </c>
    </row>
    <row r="1007" spans="1:8" x14ac:dyDescent="0.25">
      <c r="A1007" s="63">
        <v>817910</v>
      </c>
      <c r="B1007" s="63">
        <v>202112</v>
      </c>
      <c r="C1007" s="64">
        <v>123500</v>
      </c>
      <c r="D1007" s="64">
        <v>8</v>
      </c>
      <c r="F1007" s="93" cm="1">
        <f t="array" ref="F1007">SUM(D996:D1007/12)</f>
        <v>7.5500000000000016</v>
      </c>
      <c r="H1007" s="65">
        <v>8</v>
      </c>
    </row>
    <row r="1008" spans="1:8" x14ac:dyDescent="0.25">
      <c r="A1008" s="66" t="s">
        <v>840</v>
      </c>
      <c r="B1008" s="63"/>
      <c r="C1008" s="67">
        <f>SUM(C996:C1007)</f>
        <v>1540073.29</v>
      </c>
      <c r="H1008" s="65"/>
    </row>
    <row r="1009" spans="1:8" x14ac:dyDescent="0.25">
      <c r="A1009" s="63">
        <v>817911</v>
      </c>
      <c r="B1009" s="63">
        <v>202101</v>
      </c>
      <c r="C1009" s="64">
        <v>19712.22</v>
      </c>
      <c r="D1009" s="64">
        <v>1</v>
      </c>
      <c r="H1009" s="65">
        <v>3</v>
      </c>
    </row>
    <row r="1010" spans="1:8" x14ac:dyDescent="0.25">
      <c r="A1010" s="63">
        <v>817911</v>
      </c>
      <c r="B1010" s="63">
        <v>202102</v>
      </c>
      <c r="C1010" s="64">
        <v>67364.850000000006</v>
      </c>
      <c r="D1010" s="64">
        <v>1</v>
      </c>
      <c r="H1010" s="65">
        <v>2</v>
      </c>
    </row>
    <row r="1011" spans="1:8" x14ac:dyDescent="0.25">
      <c r="A1011" s="63">
        <v>817911</v>
      </c>
      <c r="B1011" s="63">
        <v>202103</v>
      </c>
      <c r="C1011" s="64">
        <v>19683.09</v>
      </c>
      <c r="D1011" s="64">
        <v>1</v>
      </c>
      <c r="H1011" s="65">
        <v>3</v>
      </c>
    </row>
    <row r="1012" spans="1:8" x14ac:dyDescent="0.25">
      <c r="A1012" s="63">
        <v>817911</v>
      </c>
      <c r="B1012" s="63">
        <v>202104</v>
      </c>
      <c r="C1012" s="64">
        <v>20812.73</v>
      </c>
      <c r="D1012" s="64">
        <v>1</v>
      </c>
      <c r="H1012" s="65">
        <v>3</v>
      </c>
    </row>
    <row r="1013" spans="1:8" x14ac:dyDescent="0.25">
      <c r="A1013" s="63">
        <v>817911</v>
      </c>
      <c r="B1013" s="63">
        <v>202105</v>
      </c>
      <c r="C1013" s="64">
        <v>21167.38</v>
      </c>
      <c r="D1013" s="64">
        <v>1</v>
      </c>
      <c r="H1013" s="65">
        <v>3</v>
      </c>
    </row>
    <row r="1014" spans="1:8" x14ac:dyDescent="0.25">
      <c r="A1014" s="63">
        <v>817911</v>
      </c>
      <c r="B1014" s="63">
        <v>202106</v>
      </c>
      <c r="C1014" s="64">
        <v>25214.87</v>
      </c>
      <c r="D1014" s="64">
        <v>1</v>
      </c>
      <c r="H1014" s="65">
        <v>2</v>
      </c>
    </row>
    <row r="1015" spans="1:8" x14ac:dyDescent="0.25">
      <c r="A1015" s="63">
        <v>817911</v>
      </c>
      <c r="B1015" s="63">
        <v>202107</v>
      </c>
      <c r="C1015" s="64">
        <v>22003.200000000001</v>
      </c>
      <c r="D1015" s="64">
        <v>1</v>
      </c>
      <c r="H1015" s="65">
        <v>2</v>
      </c>
    </row>
    <row r="1016" spans="1:8" x14ac:dyDescent="0.25">
      <c r="A1016" s="63">
        <v>817911</v>
      </c>
      <c r="B1016" s="63">
        <v>202108</v>
      </c>
      <c r="C1016" s="64">
        <v>21500</v>
      </c>
      <c r="D1016" s="64">
        <v>1</v>
      </c>
      <c r="H1016" s="65">
        <v>2</v>
      </c>
    </row>
    <row r="1017" spans="1:8" x14ac:dyDescent="0.25">
      <c r="A1017" s="63">
        <v>817911</v>
      </c>
      <c r="B1017" s="63">
        <v>202109</v>
      </c>
      <c r="C1017" s="64">
        <v>21500</v>
      </c>
      <c r="D1017" s="64">
        <v>1</v>
      </c>
      <c r="H1017" s="65">
        <v>2</v>
      </c>
    </row>
    <row r="1018" spans="1:8" x14ac:dyDescent="0.25">
      <c r="A1018" s="63">
        <v>817911</v>
      </c>
      <c r="B1018" s="63">
        <v>202110</v>
      </c>
      <c r="C1018" s="64">
        <v>21500</v>
      </c>
      <c r="D1018" s="64">
        <v>1</v>
      </c>
      <c r="H1018" s="65">
        <v>2</v>
      </c>
    </row>
    <row r="1019" spans="1:8" x14ac:dyDescent="0.25">
      <c r="A1019" s="63">
        <v>817911</v>
      </c>
      <c r="B1019" s="63">
        <v>202111</v>
      </c>
      <c r="C1019" s="64">
        <v>21500</v>
      </c>
      <c r="D1019" s="64">
        <v>1</v>
      </c>
      <c r="H1019" s="65">
        <v>2</v>
      </c>
    </row>
    <row r="1020" spans="1:8" x14ac:dyDescent="0.25">
      <c r="A1020" s="63">
        <v>817911</v>
      </c>
      <c r="B1020" s="63">
        <v>202112</v>
      </c>
      <c r="C1020" s="64">
        <v>21500</v>
      </c>
      <c r="D1020" s="64">
        <v>1</v>
      </c>
      <c r="F1020" s="93" cm="1">
        <f t="array" ref="F1020">SUM(D1009:D1020/12)</f>
        <v>1</v>
      </c>
      <c r="H1020" s="65">
        <v>2</v>
      </c>
    </row>
    <row r="1021" spans="1:8" x14ac:dyDescent="0.25">
      <c r="A1021" s="66" t="s">
        <v>841</v>
      </c>
      <c r="B1021" s="63"/>
      <c r="C1021" s="67">
        <f>SUM(C1009:C1020)</f>
        <v>303458.33999999997</v>
      </c>
      <c r="H1021" s="65"/>
    </row>
    <row r="1022" spans="1:8" x14ac:dyDescent="0.25">
      <c r="A1022" s="63">
        <v>817912</v>
      </c>
      <c r="B1022" s="63">
        <v>202101</v>
      </c>
      <c r="C1022" s="64">
        <v>21338.12</v>
      </c>
      <c r="D1022" s="64">
        <v>2</v>
      </c>
      <c r="H1022" s="65">
        <v>2</v>
      </c>
    </row>
    <row r="1023" spans="1:8" x14ac:dyDescent="0.25">
      <c r="A1023" s="63">
        <v>817912</v>
      </c>
      <c r="B1023" s="63">
        <v>202102</v>
      </c>
      <c r="C1023" s="64">
        <v>20943.62</v>
      </c>
      <c r="D1023" s="64">
        <v>2</v>
      </c>
      <c r="H1023" s="65">
        <v>2</v>
      </c>
    </row>
    <row r="1024" spans="1:8" x14ac:dyDescent="0.25">
      <c r="A1024" s="63">
        <v>817912</v>
      </c>
      <c r="B1024" s="63">
        <v>202103</v>
      </c>
      <c r="C1024" s="64">
        <v>20665.63</v>
      </c>
      <c r="D1024" s="64">
        <v>2</v>
      </c>
      <c r="H1024" s="65">
        <v>2</v>
      </c>
    </row>
    <row r="1025" spans="1:8" x14ac:dyDescent="0.25">
      <c r="A1025" s="63">
        <v>817912</v>
      </c>
      <c r="B1025" s="63">
        <v>202104</v>
      </c>
      <c r="C1025" s="64">
        <v>20717.05</v>
      </c>
      <c r="D1025" s="64">
        <v>2</v>
      </c>
      <c r="H1025" s="65">
        <v>2</v>
      </c>
    </row>
    <row r="1026" spans="1:8" x14ac:dyDescent="0.25">
      <c r="A1026" s="63">
        <v>817912</v>
      </c>
      <c r="B1026" s="63">
        <v>202105</v>
      </c>
      <c r="C1026" s="64">
        <v>25334.6</v>
      </c>
      <c r="D1026" s="64">
        <v>2</v>
      </c>
      <c r="H1026" s="65">
        <v>2</v>
      </c>
    </row>
    <row r="1027" spans="1:8" x14ac:dyDescent="0.25">
      <c r="A1027" s="63">
        <v>817912</v>
      </c>
      <c r="B1027" s="63">
        <v>202106</v>
      </c>
      <c r="C1027" s="64">
        <v>29307.38</v>
      </c>
      <c r="D1027" s="64">
        <v>1.6659999999999999</v>
      </c>
      <c r="H1027" s="65">
        <v>2</v>
      </c>
    </row>
    <row r="1028" spans="1:8" x14ac:dyDescent="0.25">
      <c r="A1028" s="63">
        <v>817912</v>
      </c>
      <c r="B1028" s="63">
        <v>202107</v>
      </c>
      <c r="C1028" s="64">
        <v>24051.57</v>
      </c>
      <c r="D1028" s="64">
        <v>2</v>
      </c>
      <c r="H1028" s="65">
        <v>2</v>
      </c>
    </row>
    <row r="1029" spans="1:8" x14ac:dyDescent="0.25">
      <c r="A1029" s="63">
        <v>817912</v>
      </c>
      <c r="B1029" s="63">
        <v>202108</v>
      </c>
      <c r="C1029" s="64">
        <v>22000</v>
      </c>
      <c r="D1029" s="64">
        <v>2</v>
      </c>
      <c r="H1029" s="65">
        <v>2</v>
      </c>
    </row>
    <row r="1030" spans="1:8" x14ac:dyDescent="0.25">
      <c r="A1030" s="63">
        <v>817912</v>
      </c>
      <c r="B1030" s="63">
        <v>202109</v>
      </c>
      <c r="C1030" s="64">
        <v>22000</v>
      </c>
      <c r="D1030" s="64">
        <v>2</v>
      </c>
      <c r="H1030" s="65">
        <v>2</v>
      </c>
    </row>
    <row r="1031" spans="1:8" x14ac:dyDescent="0.25">
      <c r="A1031" s="63">
        <v>817912</v>
      </c>
      <c r="B1031" s="63">
        <v>202110</v>
      </c>
      <c r="C1031" s="64">
        <v>22000</v>
      </c>
      <c r="D1031" s="64">
        <v>2</v>
      </c>
      <c r="H1031" s="65">
        <v>2</v>
      </c>
    </row>
    <row r="1032" spans="1:8" x14ac:dyDescent="0.25">
      <c r="A1032" s="63">
        <v>817912</v>
      </c>
      <c r="B1032" s="63">
        <v>202111</v>
      </c>
      <c r="C1032" s="64">
        <v>22000</v>
      </c>
      <c r="D1032" s="64">
        <v>2</v>
      </c>
      <c r="H1032" s="65">
        <v>2</v>
      </c>
    </row>
    <row r="1033" spans="1:8" x14ac:dyDescent="0.25">
      <c r="A1033" s="63">
        <v>817912</v>
      </c>
      <c r="B1033" s="63">
        <v>202112</v>
      </c>
      <c r="C1033" s="64">
        <v>22000</v>
      </c>
      <c r="D1033" s="64">
        <v>2</v>
      </c>
      <c r="F1033" s="93" cm="1">
        <f t="array" ref="F1033">SUM(D1022:D1033/12)</f>
        <v>1.9721666666666671</v>
      </c>
      <c r="H1033" s="65">
        <v>2</v>
      </c>
    </row>
    <row r="1034" spans="1:8" x14ac:dyDescent="0.25">
      <c r="A1034" s="66" t="s">
        <v>842</v>
      </c>
      <c r="B1034" s="63"/>
      <c r="C1034" s="67">
        <f>SUM(C1022:C1033)</f>
        <v>272357.96999999997</v>
      </c>
      <c r="H1034" s="65"/>
    </row>
    <row r="1035" spans="1:8" x14ac:dyDescent="0.25">
      <c r="A1035" s="63">
        <v>821000</v>
      </c>
      <c r="B1035" s="63">
        <v>202101</v>
      </c>
      <c r="C1035" s="64">
        <v>90527.19</v>
      </c>
      <c r="D1035" s="64">
        <v>5.8</v>
      </c>
      <c r="H1035" s="65">
        <v>6</v>
      </c>
    </row>
    <row r="1036" spans="1:8" x14ac:dyDescent="0.25">
      <c r="A1036" s="63">
        <v>821000</v>
      </c>
      <c r="B1036" s="63">
        <v>202102</v>
      </c>
      <c r="C1036" s="64">
        <v>61276.07</v>
      </c>
      <c r="D1036" s="64">
        <v>4</v>
      </c>
      <c r="H1036" s="65">
        <v>4</v>
      </c>
    </row>
    <row r="1037" spans="1:8" x14ac:dyDescent="0.25">
      <c r="A1037" s="63">
        <v>821000</v>
      </c>
      <c r="B1037" s="63">
        <v>202103</v>
      </c>
      <c r="C1037" s="64">
        <v>59538.01</v>
      </c>
      <c r="D1037" s="64">
        <v>4</v>
      </c>
      <c r="H1037" s="65">
        <v>4</v>
      </c>
    </row>
    <row r="1038" spans="1:8" x14ac:dyDescent="0.25">
      <c r="A1038" s="63">
        <v>821000</v>
      </c>
      <c r="B1038" s="63">
        <v>202104</v>
      </c>
      <c r="C1038" s="64">
        <v>99835.92</v>
      </c>
      <c r="D1038" s="64">
        <v>6</v>
      </c>
      <c r="H1038" s="65">
        <v>6</v>
      </c>
    </row>
    <row r="1039" spans="1:8" x14ac:dyDescent="0.25">
      <c r="A1039" s="63">
        <v>821000</v>
      </c>
      <c r="B1039" s="63">
        <v>202105</v>
      </c>
      <c r="C1039" s="64">
        <v>92408.58</v>
      </c>
      <c r="D1039" s="64">
        <v>6</v>
      </c>
      <c r="H1039" s="65">
        <v>6</v>
      </c>
    </row>
    <row r="1040" spans="1:8" x14ac:dyDescent="0.25">
      <c r="A1040" s="63">
        <v>821000</v>
      </c>
      <c r="B1040" s="63">
        <v>202106</v>
      </c>
      <c r="C1040" s="64">
        <v>130360.76</v>
      </c>
      <c r="D1040" s="64">
        <v>6</v>
      </c>
      <c r="H1040" s="65">
        <v>6</v>
      </c>
    </row>
    <row r="1041" spans="1:8" x14ac:dyDescent="0.25">
      <c r="A1041" s="63">
        <v>821000</v>
      </c>
      <c r="B1041" s="63">
        <v>202107</v>
      </c>
      <c r="C1041" s="64">
        <v>104827.22</v>
      </c>
      <c r="D1041" s="64">
        <v>6</v>
      </c>
      <c r="H1041" s="65">
        <v>6</v>
      </c>
    </row>
    <row r="1042" spans="1:8" x14ac:dyDescent="0.25">
      <c r="A1042" s="63">
        <v>821000</v>
      </c>
      <c r="B1042" s="63">
        <v>202108</v>
      </c>
      <c r="C1042" s="64">
        <v>94000</v>
      </c>
      <c r="D1042" s="64">
        <v>6</v>
      </c>
      <c r="H1042" s="65">
        <v>6</v>
      </c>
    </row>
    <row r="1043" spans="1:8" x14ac:dyDescent="0.25">
      <c r="A1043" s="63">
        <v>821000</v>
      </c>
      <c r="B1043" s="63">
        <v>202109</v>
      </c>
      <c r="C1043" s="64">
        <f>94000+5500</f>
        <v>99500</v>
      </c>
      <c r="D1043" s="64">
        <v>6</v>
      </c>
      <c r="H1043" s="65">
        <v>6</v>
      </c>
    </row>
    <row r="1044" spans="1:8" x14ac:dyDescent="0.25">
      <c r="A1044" s="63">
        <v>821000</v>
      </c>
      <c r="B1044" s="63">
        <v>202110</v>
      </c>
      <c r="C1044" s="64">
        <v>94000</v>
      </c>
      <c r="D1044" s="64">
        <v>6</v>
      </c>
      <c r="H1044" s="65">
        <v>6</v>
      </c>
    </row>
    <row r="1045" spans="1:8" x14ac:dyDescent="0.25">
      <c r="A1045" s="63">
        <v>821000</v>
      </c>
      <c r="B1045" s="63">
        <v>202111</v>
      </c>
      <c r="C1045" s="64">
        <v>94000</v>
      </c>
      <c r="D1045" s="64">
        <v>6</v>
      </c>
      <c r="H1045" s="65">
        <v>6</v>
      </c>
    </row>
    <row r="1046" spans="1:8" x14ac:dyDescent="0.25">
      <c r="A1046" s="63">
        <v>821000</v>
      </c>
      <c r="B1046" s="63">
        <v>202112</v>
      </c>
      <c r="C1046" s="64">
        <v>94000</v>
      </c>
      <c r="D1046" s="64">
        <v>6</v>
      </c>
      <c r="F1046" s="93" cm="1">
        <f t="array" ref="F1046">SUM(D1035:D1046/12)</f>
        <v>5.65</v>
      </c>
      <c r="H1046" s="65">
        <v>6</v>
      </c>
    </row>
    <row r="1047" spans="1:8" x14ac:dyDescent="0.25">
      <c r="A1047" s="66" t="s">
        <v>843</v>
      </c>
      <c r="B1047" s="63"/>
      <c r="C1047" s="67">
        <f>SUM(C1035:C1046)</f>
        <v>1114273.75</v>
      </c>
      <c r="H1047" s="65"/>
    </row>
    <row r="1048" spans="1:8" x14ac:dyDescent="0.25">
      <c r="A1048" s="63">
        <v>823000</v>
      </c>
      <c r="B1048" s="63">
        <v>202101</v>
      </c>
      <c r="C1048" s="64">
        <v>96008.76</v>
      </c>
      <c r="D1048" s="64">
        <v>8.4350000000000005</v>
      </c>
      <c r="H1048" s="65">
        <v>10</v>
      </c>
    </row>
    <row r="1049" spans="1:8" x14ac:dyDescent="0.25">
      <c r="A1049" s="63">
        <v>823000</v>
      </c>
      <c r="B1049" s="63">
        <v>202102</v>
      </c>
      <c r="C1049" s="64">
        <v>143974.51999999999</v>
      </c>
      <c r="D1049" s="64">
        <v>8.1129999999999995</v>
      </c>
      <c r="H1049" s="65">
        <v>10</v>
      </c>
    </row>
    <row r="1050" spans="1:8" x14ac:dyDescent="0.25">
      <c r="A1050" s="63">
        <v>823000</v>
      </c>
      <c r="B1050" s="63">
        <v>202103</v>
      </c>
      <c r="C1050" s="64">
        <v>92181.81</v>
      </c>
      <c r="D1050" s="64">
        <v>7.835</v>
      </c>
      <c r="H1050" s="65">
        <v>9</v>
      </c>
    </row>
    <row r="1051" spans="1:8" x14ac:dyDescent="0.25">
      <c r="A1051" s="63">
        <v>823000</v>
      </c>
      <c r="B1051" s="63">
        <v>202104</v>
      </c>
      <c r="C1051" s="64">
        <v>92083.49</v>
      </c>
      <c r="D1051" s="64">
        <v>7.835</v>
      </c>
      <c r="H1051" s="65">
        <v>9</v>
      </c>
    </row>
    <row r="1052" spans="1:8" x14ac:dyDescent="0.25">
      <c r="A1052" s="63">
        <v>823000</v>
      </c>
      <c r="B1052" s="63">
        <v>202105</v>
      </c>
      <c r="C1052" s="64">
        <v>96968.24</v>
      </c>
      <c r="D1052" s="64">
        <v>7.835</v>
      </c>
      <c r="H1052" s="65">
        <v>9</v>
      </c>
    </row>
    <row r="1053" spans="1:8" x14ac:dyDescent="0.25">
      <c r="A1053" s="63">
        <v>823000</v>
      </c>
      <c r="B1053" s="63">
        <v>202106</v>
      </c>
      <c r="C1053" s="64">
        <v>194749.89</v>
      </c>
      <c r="D1053" s="64">
        <v>6.835</v>
      </c>
      <c r="H1053" s="65">
        <v>9</v>
      </c>
    </row>
    <row r="1054" spans="1:8" x14ac:dyDescent="0.25">
      <c r="A1054" s="63">
        <v>823000</v>
      </c>
      <c r="B1054" s="63">
        <v>202107</v>
      </c>
      <c r="C1054" s="64">
        <v>101953.35</v>
      </c>
      <c r="D1054" s="64">
        <v>6.835</v>
      </c>
      <c r="H1054" s="65">
        <v>8</v>
      </c>
    </row>
    <row r="1055" spans="1:8" x14ac:dyDescent="0.25">
      <c r="A1055" s="63">
        <v>823000</v>
      </c>
      <c r="B1055" s="63">
        <v>202108</v>
      </c>
      <c r="C1055" s="64">
        <v>97000</v>
      </c>
      <c r="D1055" s="64">
        <v>6.835</v>
      </c>
      <c r="H1055" s="65">
        <v>8</v>
      </c>
    </row>
    <row r="1056" spans="1:8" x14ac:dyDescent="0.25">
      <c r="A1056" s="63">
        <v>823000</v>
      </c>
      <c r="B1056" s="63">
        <v>202109</v>
      </c>
      <c r="C1056" s="64">
        <f>97000+13500</f>
        <v>110500</v>
      </c>
      <c r="D1056" s="64">
        <v>6.835</v>
      </c>
      <c r="H1056" s="65">
        <v>8</v>
      </c>
    </row>
    <row r="1057" spans="1:8" x14ac:dyDescent="0.25">
      <c r="A1057" s="63">
        <v>823000</v>
      </c>
      <c r="B1057" s="63">
        <v>202110</v>
      </c>
      <c r="C1057" s="64">
        <v>97000</v>
      </c>
      <c r="D1057" s="64">
        <v>6.835</v>
      </c>
      <c r="H1057" s="65">
        <v>8</v>
      </c>
    </row>
    <row r="1058" spans="1:8" x14ac:dyDescent="0.25">
      <c r="A1058" s="63">
        <v>823000</v>
      </c>
      <c r="B1058" s="63">
        <v>202111</v>
      </c>
      <c r="C1058" s="64">
        <v>97000</v>
      </c>
      <c r="D1058" s="64">
        <v>6.835</v>
      </c>
      <c r="H1058" s="65">
        <v>8</v>
      </c>
    </row>
    <row r="1059" spans="1:8" x14ac:dyDescent="0.25">
      <c r="A1059" s="63">
        <v>823000</v>
      </c>
      <c r="B1059" s="63">
        <v>202112</v>
      </c>
      <c r="C1059" s="64">
        <v>97000</v>
      </c>
      <c r="D1059" s="64">
        <v>6.835</v>
      </c>
      <c r="F1059" s="93" cm="1">
        <f t="array" ref="F1059">SUM(D1048:D1059/12)</f>
        <v>7.3248333333333315</v>
      </c>
      <c r="H1059" s="65">
        <v>8</v>
      </c>
    </row>
    <row r="1060" spans="1:8" x14ac:dyDescent="0.25">
      <c r="A1060" s="66" t="s">
        <v>844</v>
      </c>
      <c r="B1060" s="63"/>
      <c r="C1060" s="67">
        <f>SUM(C1048:C1059)</f>
        <v>1316420.06</v>
      </c>
      <c r="H1060" s="65"/>
    </row>
    <row r="1061" spans="1:8" x14ac:dyDescent="0.25">
      <c r="A1061" s="63">
        <v>824000</v>
      </c>
      <c r="B1061" s="63">
        <v>202101</v>
      </c>
      <c r="C1061" s="64">
        <v>2927.09</v>
      </c>
      <c r="H1061" s="65">
        <v>1</v>
      </c>
    </row>
    <row r="1062" spans="1:8" x14ac:dyDescent="0.25">
      <c r="A1062" s="63">
        <v>824000</v>
      </c>
      <c r="B1062" s="63">
        <v>202102</v>
      </c>
      <c r="C1062" s="64">
        <v>2779.34</v>
      </c>
      <c r="H1062" s="65">
        <v>1</v>
      </c>
    </row>
    <row r="1063" spans="1:8" x14ac:dyDescent="0.25">
      <c r="A1063" s="63">
        <v>824000</v>
      </c>
      <c r="B1063" s="63">
        <v>202103</v>
      </c>
      <c r="C1063" s="64">
        <v>2882.86</v>
      </c>
      <c r="H1063" s="65">
        <v>1</v>
      </c>
    </row>
    <row r="1064" spans="1:8" x14ac:dyDescent="0.25">
      <c r="A1064" s="63">
        <v>824000</v>
      </c>
      <c r="B1064" s="63">
        <v>202104</v>
      </c>
      <c r="C1064" s="64">
        <v>3658.86</v>
      </c>
      <c r="H1064" s="65">
        <v>1</v>
      </c>
    </row>
    <row r="1065" spans="1:8" x14ac:dyDescent="0.25">
      <c r="A1065" s="63">
        <v>824000</v>
      </c>
      <c r="B1065" s="63">
        <v>202105</v>
      </c>
      <c r="C1065" s="64">
        <v>5164.88</v>
      </c>
      <c r="H1065" s="65">
        <v>1</v>
      </c>
    </row>
    <row r="1066" spans="1:8" x14ac:dyDescent="0.25">
      <c r="A1066" s="63">
        <v>824000</v>
      </c>
      <c r="B1066" s="63">
        <v>202106</v>
      </c>
      <c r="C1066" s="64">
        <v>4872.4399999999996</v>
      </c>
      <c r="H1066" s="65">
        <v>1</v>
      </c>
    </row>
    <row r="1067" spans="1:8" x14ac:dyDescent="0.25">
      <c r="A1067" s="63">
        <v>824000</v>
      </c>
      <c r="B1067" s="63">
        <v>202107</v>
      </c>
      <c r="C1067" s="64">
        <v>3062.74</v>
      </c>
      <c r="H1067" s="65">
        <v>1</v>
      </c>
    </row>
    <row r="1068" spans="1:8" x14ac:dyDescent="0.25">
      <c r="A1068" s="63">
        <v>824000</v>
      </c>
      <c r="B1068" s="63">
        <v>202108</v>
      </c>
      <c r="C1068" s="64">
        <v>3000</v>
      </c>
      <c r="H1068" s="65">
        <v>1</v>
      </c>
    </row>
    <row r="1069" spans="1:8" x14ac:dyDescent="0.25">
      <c r="A1069" s="63">
        <v>824000</v>
      </c>
      <c r="B1069" s="63">
        <v>202109</v>
      </c>
      <c r="C1069" s="64">
        <v>3000</v>
      </c>
      <c r="H1069" s="65">
        <v>1</v>
      </c>
    </row>
    <row r="1070" spans="1:8" x14ac:dyDescent="0.25">
      <c r="A1070" s="63">
        <v>824000</v>
      </c>
      <c r="B1070" s="63">
        <v>202110</v>
      </c>
      <c r="C1070" s="64">
        <v>3000</v>
      </c>
      <c r="H1070" s="65">
        <v>1</v>
      </c>
    </row>
    <row r="1071" spans="1:8" x14ac:dyDescent="0.25">
      <c r="A1071" s="63">
        <v>824000</v>
      </c>
      <c r="B1071" s="63">
        <v>202111</v>
      </c>
      <c r="C1071" s="64">
        <v>3000</v>
      </c>
      <c r="H1071" s="65">
        <v>1</v>
      </c>
    </row>
    <row r="1072" spans="1:8" x14ac:dyDescent="0.25">
      <c r="A1072" s="63">
        <v>824000</v>
      </c>
      <c r="B1072" s="63">
        <v>202112</v>
      </c>
      <c r="C1072" s="64">
        <v>3000</v>
      </c>
      <c r="F1072" s="93" cm="1">
        <f t="array" ref="F1072">SUM(D1061:D1072/12)</f>
        <v>0</v>
      </c>
      <c r="H1072" s="65">
        <v>1</v>
      </c>
    </row>
    <row r="1073" spans="1:8" x14ac:dyDescent="0.25">
      <c r="A1073" s="66" t="s">
        <v>845</v>
      </c>
      <c r="B1073" s="63"/>
      <c r="C1073" s="67">
        <f>SUM(C1061:C1072)</f>
        <v>40348.21</v>
      </c>
      <c r="H1073" s="65"/>
    </row>
    <row r="1074" spans="1:8" x14ac:dyDescent="0.25">
      <c r="A1074" s="63">
        <v>825000</v>
      </c>
      <c r="B1074" s="63">
        <v>202101</v>
      </c>
      <c r="C1074" s="64">
        <v>41184.800000000003</v>
      </c>
      <c r="D1074" s="64">
        <v>3</v>
      </c>
      <c r="H1074" s="65">
        <v>3</v>
      </c>
    </row>
    <row r="1075" spans="1:8" x14ac:dyDescent="0.25">
      <c r="A1075" s="63">
        <v>825000</v>
      </c>
      <c r="B1075" s="63">
        <v>202102</v>
      </c>
      <c r="C1075" s="64">
        <v>39628.769999999997</v>
      </c>
      <c r="D1075" s="64">
        <v>3</v>
      </c>
      <c r="H1075" s="65">
        <v>3</v>
      </c>
    </row>
    <row r="1076" spans="1:8" x14ac:dyDescent="0.25">
      <c r="A1076" s="63">
        <v>825000</v>
      </c>
      <c r="B1076" s="63">
        <v>202103</v>
      </c>
      <c r="C1076" s="64">
        <v>44874.33</v>
      </c>
      <c r="D1076" s="64">
        <v>3</v>
      </c>
      <c r="H1076" s="65">
        <v>3</v>
      </c>
    </row>
    <row r="1077" spans="1:8" x14ac:dyDescent="0.25">
      <c r="A1077" s="63">
        <v>825000</v>
      </c>
      <c r="B1077" s="63">
        <v>202104</v>
      </c>
      <c r="C1077" s="64">
        <v>41379.050000000003</v>
      </c>
      <c r="D1077" s="64">
        <v>3</v>
      </c>
      <c r="H1077" s="65">
        <v>3</v>
      </c>
    </row>
    <row r="1078" spans="1:8" x14ac:dyDescent="0.25">
      <c r="A1078" s="63">
        <v>825000</v>
      </c>
      <c r="B1078" s="63">
        <v>202105</v>
      </c>
      <c r="C1078" s="64">
        <v>51951.24</v>
      </c>
      <c r="D1078" s="64">
        <v>3</v>
      </c>
      <c r="H1078" s="65">
        <v>3</v>
      </c>
    </row>
    <row r="1079" spans="1:8" x14ac:dyDescent="0.25">
      <c r="A1079" s="63">
        <v>825000</v>
      </c>
      <c r="B1079" s="63">
        <v>202106</v>
      </c>
      <c r="C1079" s="64">
        <v>68221.039999999994</v>
      </c>
      <c r="D1079" s="64">
        <v>3</v>
      </c>
      <c r="H1079" s="65">
        <v>3</v>
      </c>
    </row>
    <row r="1080" spans="1:8" x14ac:dyDescent="0.25">
      <c r="A1080" s="63">
        <v>825000</v>
      </c>
      <c r="B1080" s="63">
        <v>202107</v>
      </c>
      <c r="C1080" s="64">
        <v>48699.15</v>
      </c>
      <c r="D1080" s="64">
        <v>3</v>
      </c>
      <c r="H1080" s="65">
        <v>3</v>
      </c>
    </row>
    <row r="1081" spans="1:8" x14ac:dyDescent="0.25">
      <c r="A1081" s="63">
        <v>825000</v>
      </c>
      <c r="B1081" s="63">
        <v>202108</v>
      </c>
      <c r="C1081" s="64">
        <v>52000</v>
      </c>
      <c r="D1081" s="64">
        <v>3</v>
      </c>
      <c r="H1081" s="65">
        <v>3</v>
      </c>
    </row>
    <row r="1082" spans="1:8" x14ac:dyDescent="0.25">
      <c r="A1082" s="63">
        <v>825000</v>
      </c>
      <c r="B1082" s="63">
        <v>202109</v>
      </c>
      <c r="C1082" s="64">
        <v>52000</v>
      </c>
      <c r="D1082" s="64">
        <v>3</v>
      </c>
      <c r="H1082" s="65">
        <v>3</v>
      </c>
    </row>
    <row r="1083" spans="1:8" x14ac:dyDescent="0.25">
      <c r="A1083" s="63">
        <v>825000</v>
      </c>
      <c r="B1083" s="63">
        <v>202110</v>
      </c>
      <c r="C1083" s="64">
        <v>52000</v>
      </c>
      <c r="D1083" s="64">
        <v>3</v>
      </c>
      <c r="H1083" s="65">
        <v>3</v>
      </c>
    </row>
    <row r="1084" spans="1:8" x14ac:dyDescent="0.25">
      <c r="A1084" s="63">
        <v>825000</v>
      </c>
      <c r="B1084" s="63">
        <v>202111</v>
      </c>
      <c r="C1084" s="64">
        <v>52000</v>
      </c>
      <c r="D1084" s="64">
        <v>3</v>
      </c>
      <c r="H1084" s="65">
        <v>3</v>
      </c>
    </row>
    <row r="1085" spans="1:8" x14ac:dyDescent="0.25">
      <c r="A1085" s="63">
        <v>825000</v>
      </c>
      <c r="B1085" s="63">
        <v>202112</v>
      </c>
      <c r="C1085" s="64">
        <v>52000</v>
      </c>
      <c r="D1085" s="64">
        <v>3</v>
      </c>
      <c r="F1085" s="93" cm="1">
        <f t="array" ref="F1085">SUM(D1074:D1085/12)</f>
        <v>3</v>
      </c>
      <c r="H1085" s="65">
        <v>3</v>
      </c>
    </row>
    <row r="1086" spans="1:8" x14ac:dyDescent="0.25">
      <c r="A1086" s="66" t="s">
        <v>846</v>
      </c>
      <c r="B1086" s="63"/>
      <c r="C1086" s="67">
        <f>SUM(C1074:C1085)</f>
        <v>595938.38</v>
      </c>
      <c r="H1086" s="65"/>
    </row>
    <row r="1087" spans="1:8" x14ac:dyDescent="0.25">
      <c r="A1087" s="63">
        <v>829200</v>
      </c>
      <c r="B1087" s="63">
        <v>202101</v>
      </c>
      <c r="C1087" s="64">
        <v>80697.59</v>
      </c>
      <c r="D1087" s="64">
        <v>7.6</v>
      </c>
      <c r="H1087" s="65">
        <v>8</v>
      </c>
    </row>
    <row r="1088" spans="1:8" x14ac:dyDescent="0.25">
      <c r="A1088" s="63">
        <v>829200</v>
      </c>
      <c r="B1088" s="63">
        <v>202102</v>
      </c>
      <c r="C1088" s="64">
        <v>82906.8</v>
      </c>
      <c r="D1088" s="64">
        <v>7.6</v>
      </c>
      <c r="H1088" s="65">
        <v>8</v>
      </c>
    </row>
    <row r="1089" spans="1:8" x14ac:dyDescent="0.25">
      <c r="A1089" s="63">
        <v>829200</v>
      </c>
      <c r="B1089" s="63">
        <v>202103</v>
      </c>
      <c r="C1089" s="64">
        <v>84469.81</v>
      </c>
      <c r="D1089" s="64">
        <v>7.6</v>
      </c>
      <c r="H1089" s="65">
        <v>8</v>
      </c>
    </row>
    <row r="1090" spans="1:8" x14ac:dyDescent="0.25">
      <c r="A1090" s="63">
        <v>829200</v>
      </c>
      <c r="B1090" s="63">
        <v>202104</v>
      </c>
      <c r="C1090" s="64">
        <v>71884.91</v>
      </c>
      <c r="D1090" s="64">
        <v>6.6</v>
      </c>
      <c r="H1090" s="65">
        <v>7</v>
      </c>
    </row>
    <row r="1091" spans="1:8" x14ac:dyDescent="0.25">
      <c r="A1091" s="63">
        <v>829200</v>
      </c>
      <c r="B1091" s="63">
        <v>202105</v>
      </c>
      <c r="C1091" s="64">
        <v>76912.23</v>
      </c>
      <c r="D1091" s="64">
        <v>6.6</v>
      </c>
      <c r="H1091" s="65">
        <v>7</v>
      </c>
    </row>
    <row r="1092" spans="1:8" x14ac:dyDescent="0.25">
      <c r="A1092" s="63">
        <v>829200</v>
      </c>
      <c r="B1092" s="63">
        <v>202106</v>
      </c>
      <c r="C1092" s="64">
        <v>110953.32</v>
      </c>
      <c r="D1092" s="64">
        <v>6.6</v>
      </c>
      <c r="H1092" s="65">
        <v>7</v>
      </c>
    </row>
    <row r="1093" spans="1:8" x14ac:dyDescent="0.25">
      <c r="A1093" s="63">
        <v>829200</v>
      </c>
      <c r="B1093" s="63">
        <v>202107</v>
      </c>
      <c r="C1093" s="64">
        <v>87467.58</v>
      </c>
      <c r="D1093" s="64">
        <v>6.6</v>
      </c>
      <c r="H1093" s="65">
        <v>7</v>
      </c>
    </row>
    <row r="1094" spans="1:8" x14ac:dyDescent="0.25">
      <c r="A1094" s="63">
        <v>829200</v>
      </c>
      <c r="B1094" s="63">
        <v>202108</v>
      </c>
      <c r="C1094" s="64">
        <v>77000</v>
      </c>
      <c r="D1094" s="64">
        <v>6.6</v>
      </c>
      <c r="H1094" s="65">
        <v>7</v>
      </c>
    </row>
    <row r="1095" spans="1:8" x14ac:dyDescent="0.25">
      <c r="A1095" s="63">
        <v>829200</v>
      </c>
      <c r="B1095" s="63">
        <v>202109</v>
      </c>
      <c r="C1095" s="64">
        <v>77000</v>
      </c>
      <c r="D1095" s="64">
        <v>6.6</v>
      </c>
      <c r="H1095" s="65">
        <v>7</v>
      </c>
    </row>
    <row r="1096" spans="1:8" x14ac:dyDescent="0.25">
      <c r="A1096" s="63">
        <v>829200</v>
      </c>
      <c r="B1096" s="63">
        <v>202110</v>
      </c>
      <c r="C1096" s="64">
        <v>77000</v>
      </c>
      <c r="D1096" s="64">
        <v>6.6</v>
      </c>
      <c r="H1096" s="65">
        <v>7</v>
      </c>
    </row>
    <row r="1097" spans="1:8" x14ac:dyDescent="0.25">
      <c r="A1097" s="63">
        <v>829200</v>
      </c>
      <c r="B1097" s="63">
        <v>202111</v>
      </c>
      <c r="C1097" s="64">
        <v>77000</v>
      </c>
      <c r="D1097" s="64">
        <v>6.6</v>
      </c>
      <c r="H1097" s="65">
        <v>7</v>
      </c>
    </row>
    <row r="1098" spans="1:8" x14ac:dyDescent="0.25">
      <c r="A1098" s="63">
        <v>829200</v>
      </c>
      <c r="B1098" s="63">
        <v>202112</v>
      </c>
      <c r="C1098" s="64">
        <v>77000</v>
      </c>
      <c r="D1098" s="64">
        <v>6.6</v>
      </c>
      <c r="F1098" s="93" cm="1">
        <f t="array" ref="F1098">SUM(D1087:D1098/12)</f>
        <v>6.8499999999999988</v>
      </c>
      <c r="H1098" s="65">
        <v>7</v>
      </c>
    </row>
    <row r="1099" spans="1:8" x14ac:dyDescent="0.25">
      <c r="A1099" s="66" t="s">
        <v>847</v>
      </c>
      <c r="B1099" s="63"/>
      <c r="C1099" s="67">
        <f>SUM(C1087:C1098)</f>
        <v>980292.24</v>
      </c>
      <c r="H1099" s="65"/>
    </row>
    <row r="1100" spans="1:8" x14ac:dyDescent="0.25">
      <c r="A1100" s="69">
        <v>841000</v>
      </c>
      <c r="B1100" s="63">
        <v>202101</v>
      </c>
      <c r="C1100" s="64">
        <v>1190484.3500000001</v>
      </c>
      <c r="D1100" s="64">
        <v>65.795000000000002</v>
      </c>
      <c r="H1100" s="65">
        <v>78</v>
      </c>
    </row>
    <row r="1101" spans="1:8" x14ac:dyDescent="0.25">
      <c r="A1101" s="63">
        <v>841000</v>
      </c>
      <c r="B1101" s="63">
        <v>202102</v>
      </c>
      <c r="C1101" s="64">
        <v>1016500.05</v>
      </c>
      <c r="D1101" s="64">
        <v>66.314999999999998</v>
      </c>
      <c r="H1101" s="65">
        <v>77</v>
      </c>
    </row>
    <row r="1102" spans="1:8" x14ac:dyDescent="0.25">
      <c r="A1102" s="63">
        <v>841000</v>
      </c>
      <c r="B1102" s="63">
        <v>202103</v>
      </c>
      <c r="C1102" s="64">
        <v>995994.85</v>
      </c>
      <c r="D1102" s="64">
        <v>67.314999999999998</v>
      </c>
      <c r="H1102" s="65">
        <v>78</v>
      </c>
    </row>
    <row r="1103" spans="1:8" x14ac:dyDescent="0.25">
      <c r="A1103" s="63">
        <v>841000</v>
      </c>
      <c r="B1103" s="63">
        <v>202104</v>
      </c>
      <c r="C1103" s="64">
        <v>991658.22</v>
      </c>
      <c r="D1103" s="64">
        <v>66.287999999999997</v>
      </c>
      <c r="H1103" s="65">
        <v>77</v>
      </c>
    </row>
    <row r="1104" spans="1:8" x14ac:dyDescent="0.25">
      <c r="A1104" s="63">
        <v>841000</v>
      </c>
      <c r="B1104" s="63">
        <v>202105</v>
      </c>
      <c r="C1104" s="64">
        <v>1012538.04</v>
      </c>
      <c r="D1104" s="64">
        <v>63.792999999999999</v>
      </c>
      <c r="H1104" s="65">
        <v>77</v>
      </c>
    </row>
    <row r="1105" spans="1:8" x14ac:dyDescent="0.25">
      <c r="A1105" s="63">
        <v>841000</v>
      </c>
      <c r="B1105" s="63">
        <v>202106</v>
      </c>
      <c r="C1105" s="64">
        <v>1397793.28</v>
      </c>
      <c r="D1105" s="64">
        <v>63.534999999999997</v>
      </c>
      <c r="H1105" s="65">
        <v>78</v>
      </c>
    </row>
    <row r="1106" spans="1:8" x14ac:dyDescent="0.25">
      <c r="A1106" s="63">
        <v>841000</v>
      </c>
      <c r="B1106" s="63">
        <v>202107</v>
      </c>
      <c r="C1106" s="64">
        <v>1151545.47</v>
      </c>
      <c r="D1106" s="64">
        <v>64.213999999999999</v>
      </c>
      <c r="H1106" s="65">
        <v>80</v>
      </c>
    </row>
    <row r="1107" spans="1:8" x14ac:dyDescent="0.25">
      <c r="A1107" s="63">
        <v>841000</v>
      </c>
      <c r="B1107" s="63">
        <v>202108</v>
      </c>
      <c r="C1107" s="64">
        <v>996000</v>
      </c>
      <c r="D1107" s="64">
        <v>64.213999999999999</v>
      </c>
      <c r="H1107" s="65">
        <v>80</v>
      </c>
    </row>
    <row r="1108" spans="1:8" x14ac:dyDescent="0.25">
      <c r="A1108" s="63">
        <v>841000</v>
      </c>
      <c r="B1108" s="63">
        <v>202109</v>
      </c>
      <c r="C1108" s="64">
        <f>996000+120000</f>
        <v>1116000</v>
      </c>
      <c r="D1108" s="64">
        <v>64.213999999999999</v>
      </c>
      <c r="H1108" s="65">
        <v>80</v>
      </c>
    </row>
    <row r="1109" spans="1:8" x14ac:dyDescent="0.25">
      <c r="A1109" s="63">
        <v>841000</v>
      </c>
      <c r="B1109" s="63">
        <v>202110</v>
      </c>
      <c r="C1109" s="64">
        <v>996000</v>
      </c>
      <c r="D1109" s="64">
        <v>64.213999999999999</v>
      </c>
      <c r="H1109" s="65">
        <v>80</v>
      </c>
    </row>
    <row r="1110" spans="1:8" x14ac:dyDescent="0.25">
      <c r="A1110" s="63">
        <v>841000</v>
      </c>
      <c r="B1110" s="63">
        <v>202111</v>
      </c>
      <c r="C1110" s="64">
        <v>996000</v>
      </c>
      <c r="D1110" s="64">
        <v>64.213999999999999</v>
      </c>
      <c r="H1110" s="65">
        <v>80</v>
      </c>
    </row>
    <row r="1111" spans="1:8" x14ac:dyDescent="0.25">
      <c r="A1111" s="63">
        <v>841000</v>
      </c>
      <c r="B1111" s="63">
        <v>202112</v>
      </c>
      <c r="C1111" s="64">
        <v>996000</v>
      </c>
      <c r="D1111" s="64">
        <v>64.213999999999999</v>
      </c>
      <c r="F1111" s="93" cm="1">
        <f t="array" ref="F1111">SUM(D1100:D1111/12)</f>
        <v>64.860416666666652</v>
      </c>
      <c r="H1111" s="65">
        <v>80</v>
      </c>
    </row>
    <row r="1112" spans="1:8" x14ac:dyDescent="0.25">
      <c r="A1112" s="66" t="s">
        <v>848</v>
      </c>
      <c r="B1112" s="63"/>
      <c r="C1112" s="67">
        <f>SUM(C1100:C1111)</f>
        <v>12856514.260000002</v>
      </c>
      <c r="H1112" s="65"/>
    </row>
    <row r="1113" spans="1:8" x14ac:dyDescent="0.25">
      <c r="A1113" s="63">
        <v>869000</v>
      </c>
      <c r="B1113" s="63">
        <v>202101</v>
      </c>
      <c r="C1113" s="64">
        <v>188484.14</v>
      </c>
      <c r="D1113" s="64">
        <v>10.6</v>
      </c>
      <c r="H1113" s="65">
        <v>13</v>
      </c>
    </row>
    <row r="1114" spans="1:8" x14ac:dyDescent="0.25">
      <c r="A1114" s="63">
        <v>869000</v>
      </c>
      <c r="B1114" s="63">
        <v>202102</v>
      </c>
      <c r="C1114" s="64">
        <v>161787.78</v>
      </c>
      <c r="D1114" s="64">
        <v>10.6</v>
      </c>
      <c r="H1114" s="65">
        <v>13</v>
      </c>
    </row>
    <row r="1115" spans="1:8" x14ac:dyDescent="0.25">
      <c r="A1115" s="63">
        <v>869000</v>
      </c>
      <c r="B1115" s="63">
        <v>202103</v>
      </c>
      <c r="C1115" s="64">
        <v>153625.56</v>
      </c>
      <c r="D1115" s="64">
        <v>10.6</v>
      </c>
      <c r="H1115" s="65">
        <v>13</v>
      </c>
    </row>
    <row r="1116" spans="1:8" x14ac:dyDescent="0.25">
      <c r="A1116" s="63">
        <v>869000</v>
      </c>
      <c r="B1116" s="63">
        <v>202104</v>
      </c>
      <c r="C1116" s="64">
        <v>153662.98000000001</v>
      </c>
      <c r="D1116" s="64">
        <v>10.6</v>
      </c>
      <c r="H1116" s="65">
        <v>13</v>
      </c>
    </row>
    <row r="1117" spans="1:8" x14ac:dyDescent="0.25">
      <c r="A1117" s="63">
        <v>869000</v>
      </c>
      <c r="B1117" s="63">
        <v>202105</v>
      </c>
      <c r="C1117" s="64">
        <v>151494.98000000001</v>
      </c>
      <c r="D1117" s="64">
        <v>10.6</v>
      </c>
      <c r="H1117" s="65">
        <v>11</v>
      </c>
    </row>
    <row r="1118" spans="1:8" x14ac:dyDescent="0.25">
      <c r="A1118" s="63">
        <v>869000</v>
      </c>
      <c r="B1118" s="63">
        <v>202106</v>
      </c>
      <c r="C1118" s="64">
        <v>195653.04</v>
      </c>
      <c r="D1118" s="64">
        <v>9.6</v>
      </c>
      <c r="H1118" s="65">
        <v>11</v>
      </c>
    </row>
    <row r="1119" spans="1:8" x14ac:dyDescent="0.25">
      <c r="A1119" s="63">
        <v>869000</v>
      </c>
      <c r="B1119" s="63">
        <v>202107</v>
      </c>
      <c r="C1119" s="64">
        <v>154866.26</v>
      </c>
      <c r="D1119" s="64">
        <v>9.6</v>
      </c>
      <c r="H1119" s="65">
        <v>11</v>
      </c>
    </row>
    <row r="1120" spans="1:8" x14ac:dyDescent="0.25">
      <c r="A1120" s="63">
        <v>869000</v>
      </c>
      <c r="B1120" s="63">
        <v>202108</v>
      </c>
      <c r="C1120" s="64">
        <v>152000</v>
      </c>
      <c r="D1120" s="64">
        <v>9.6</v>
      </c>
      <c r="H1120" s="65">
        <v>11</v>
      </c>
    </row>
    <row r="1121" spans="1:8" x14ac:dyDescent="0.25">
      <c r="A1121" s="63">
        <v>869000</v>
      </c>
      <c r="B1121" s="63">
        <v>202109</v>
      </c>
      <c r="C1121" s="64">
        <f>152000+21000</f>
        <v>173000</v>
      </c>
      <c r="D1121" s="64">
        <v>9.6</v>
      </c>
      <c r="H1121" s="65">
        <v>11</v>
      </c>
    </row>
    <row r="1122" spans="1:8" x14ac:dyDescent="0.25">
      <c r="A1122" s="63">
        <v>869000</v>
      </c>
      <c r="B1122" s="63">
        <v>202110</v>
      </c>
      <c r="C1122" s="64">
        <v>152000</v>
      </c>
      <c r="D1122" s="64">
        <v>9.6</v>
      </c>
      <c r="H1122" s="65">
        <v>11</v>
      </c>
    </row>
    <row r="1123" spans="1:8" x14ac:dyDescent="0.25">
      <c r="A1123" s="63">
        <v>869000</v>
      </c>
      <c r="B1123" s="63">
        <v>202111</v>
      </c>
      <c r="C1123" s="64">
        <v>152000</v>
      </c>
      <c r="D1123" s="64">
        <v>9.6</v>
      </c>
      <c r="H1123" s="65">
        <v>11</v>
      </c>
    </row>
    <row r="1124" spans="1:8" x14ac:dyDescent="0.25">
      <c r="A1124" s="63">
        <v>869000</v>
      </c>
      <c r="B1124" s="63">
        <v>202112</v>
      </c>
      <c r="C1124" s="64">
        <v>152000</v>
      </c>
      <c r="D1124" s="64">
        <v>9.6</v>
      </c>
      <c r="F1124" s="93" cm="1">
        <f t="array" ref="F1124">SUM(D1113:D1124/12)</f>
        <v>10.016666666666667</v>
      </c>
      <c r="H1124" s="65">
        <v>11</v>
      </c>
    </row>
    <row r="1125" spans="1:8" x14ac:dyDescent="0.25">
      <c r="A1125" s="66" t="s">
        <v>849</v>
      </c>
      <c r="B1125" s="63"/>
      <c r="C1125" s="67">
        <f>SUM(C1113:C1124)</f>
        <v>1940574.7400000002</v>
      </c>
      <c r="H1125" s="65"/>
    </row>
    <row r="1126" spans="1:8" x14ac:dyDescent="0.25">
      <c r="A1126" s="63">
        <v>869100</v>
      </c>
      <c r="B1126" s="63">
        <v>202101</v>
      </c>
      <c r="C1126" s="64">
        <v>64954.14</v>
      </c>
      <c r="D1126" s="64">
        <v>5.9349999999999996</v>
      </c>
      <c r="H1126" s="65">
        <v>6</v>
      </c>
    </row>
    <row r="1127" spans="1:8" x14ac:dyDescent="0.25">
      <c r="A1127" s="63">
        <v>869100</v>
      </c>
      <c r="B1127" s="63">
        <v>202102</v>
      </c>
      <c r="C1127" s="64">
        <v>61001.1</v>
      </c>
      <c r="D1127" s="64">
        <v>6</v>
      </c>
      <c r="H1127" s="65">
        <v>7</v>
      </c>
    </row>
    <row r="1128" spans="1:8" x14ac:dyDescent="0.25">
      <c r="A1128" s="63">
        <v>869100</v>
      </c>
      <c r="B1128" s="63">
        <v>202103</v>
      </c>
      <c r="C1128" s="64">
        <v>74490.64</v>
      </c>
      <c r="D1128" s="64">
        <v>6</v>
      </c>
      <c r="H1128" s="65">
        <v>7</v>
      </c>
    </row>
    <row r="1129" spans="1:8" x14ac:dyDescent="0.25">
      <c r="A1129" s="63">
        <v>869100</v>
      </c>
      <c r="B1129" s="63">
        <v>202104</v>
      </c>
      <c r="C1129" s="64">
        <v>51684.04</v>
      </c>
      <c r="D1129" s="64">
        <v>4</v>
      </c>
      <c r="H1129" s="65">
        <v>6</v>
      </c>
    </row>
    <row r="1130" spans="1:8" x14ac:dyDescent="0.25">
      <c r="A1130" s="63">
        <v>869100</v>
      </c>
      <c r="B1130" s="63">
        <v>202105</v>
      </c>
      <c r="C1130" s="64">
        <v>45859.98</v>
      </c>
      <c r="D1130" s="64">
        <v>4</v>
      </c>
      <c r="H1130" s="65">
        <v>4</v>
      </c>
    </row>
    <row r="1131" spans="1:8" x14ac:dyDescent="0.25">
      <c r="A1131" s="63">
        <v>869100</v>
      </c>
      <c r="B1131" s="63">
        <v>202106</v>
      </c>
      <c r="C1131" s="64">
        <v>66297.929999999993</v>
      </c>
      <c r="D1131" s="64">
        <v>4</v>
      </c>
      <c r="H1131" s="65">
        <v>5</v>
      </c>
    </row>
    <row r="1132" spans="1:8" x14ac:dyDescent="0.25">
      <c r="A1132" s="63">
        <v>869100</v>
      </c>
      <c r="B1132" s="63">
        <v>202107</v>
      </c>
      <c r="C1132" s="64">
        <v>52471.29</v>
      </c>
      <c r="D1132" s="64">
        <v>4</v>
      </c>
      <c r="H1132" s="65">
        <v>5</v>
      </c>
    </row>
    <row r="1133" spans="1:8" x14ac:dyDescent="0.25">
      <c r="A1133" s="63">
        <v>869100</v>
      </c>
      <c r="B1133" s="63">
        <v>202108</v>
      </c>
      <c r="C1133" s="64">
        <v>50000</v>
      </c>
      <c r="D1133" s="64">
        <v>4</v>
      </c>
      <c r="H1133" s="65">
        <v>5</v>
      </c>
    </row>
    <row r="1134" spans="1:8" x14ac:dyDescent="0.25">
      <c r="A1134" s="63">
        <v>869100</v>
      </c>
      <c r="B1134" s="63">
        <v>202109</v>
      </c>
      <c r="C1134" s="64">
        <f>50000+6000</f>
        <v>56000</v>
      </c>
      <c r="D1134" s="64">
        <v>4</v>
      </c>
      <c r="H1134" s="65">
        <v>5</v>
      </c>
    </row>
    <row r="1135" spans="1:8" x14ac:dyDescent="0.25">
      <c r="A1135" s="63">
        <v>869100</v>
      </c>
      <c r="B1135" s="63">
        <v>202110</v>
      </c>
      <c r="C1135" s="64">
        <v>50000</v>
      </c>
      <c r="D1135" s="64">
        <v>4</v>
      </c>
      <c r="H1135" s="65">
        <v>5</v>
      </c>
    </row>
    <row r="1136" spans="1:8" x14ac:dyDescent="0.25">
      <c r="A1136" s="63">
        <v>869100</v>
      </c>
      <c r="B1136" s="63">
        <v>202111</v>
      </c>
      <c r="C1136" s="64">
        <v>50000</v>
      </c>
      <c r="D1136" s="64">
        <v>4</v>
      </c>
      <c r="H1136" s="65">
        <v>5</v>
      </c>
    </row>
    <row r="1137" spans="1:8" x14ac:dyDescent="0.25">
      <c r="A1137" s="63">
        <v>869100</v>
      </c>
      <c r="B1137" s="63">
        <v>202112</v>
      </c>
      <c r="C1137" s="64">
        <v>50000</v>
      </c>
      <c r="D1137" s="64">
        <v>4</v>
      </c>
      <c r="F1137" s="93" cm="1">
        <f t="array" ref="F1137">SUM(D1126:D1137/12)</f>
        <v>4.4945833333333338</v>
      </c>
      <c r="H1137" s="65">
        <v>5</v>
      </c>
    </row>
    <row r="1138" spans="1:8" x14ac:dyDescent="0.25">
      <c r="A1138" s="66" t="s">
        <v>850</v>
      </c>
      <c r="B1138" s="63"/>
      <c r="C1138" s="67">
        <f>SUM(C1126:C1137)</f>
        <v>672759.12</v>
      </c>
      <c r="H1138" s="65"/>
    </row>
    <row r="1139" spans="1:8" x14ac:dyDescent="0.25">
      <c r="A1139" s="63">
        <v>879000</v>
      </c>
      <c r="B1139" s="63">
        <v>202101</v>
      </c>
      <c r="C1139" s="64">
        <v>69713.509999999995</v>
      </c>
      <c r="D1139" s="64">
        <v>4</v>
      </c>
      <c r="H1139" s="65">
        <v>5</v>
      </c>
    </row>
    <row r="1140" spans="1:8" x14ac:dyDescent="0.25">
      <c r="A1140" s="63">
        <v>879000</v>
      </c>
      <c r="B1140" s="63">
        <v>202102</v>
      </c>
      <c r="C1140" s="64">
        <v>72642.240000000005</v>
      </c>
      <c r="D1140" s="64">
        <v>4</v>
      </c>
      <c r="H1140" s="65">
        <v>5</v>
      </c>
    </row>
    <row r="1141" spans="1:8" x14ac:dyDescent="0.25">
      <c r="A1141" s="63">
        <v>879000</v>
      </c>
      <c r="B1141" s="63">
        <v>202103</v>
      </c>
      <c r="C1141" s="64">
        <v>71429.75</v>
      </c>
      <c r="D1141" s="64">
        <v>3</v>
      </c>
      <c r="H1141" s="65">
        <v>4</v>
      </c>
    </row>
    <row r="1142" spans="1:8" x14ac:dyDescent="0.25">
      <c r="A1142" s="63">
        <v>879000</v>
      </c>
      <c r="B1142" s="63">
        <v>202104</v>
      </c>
      <c r="C1142" s="64">
        <v>83381.61</v>
      </c>
      <c r="D1142" s="64">
        <v>5</v>
      </c>
      <c r="H1142" s="65">
        <v>5</v>
      </c>
    </row>
    <row r="1143" spans="1:8" x14ac:dyDescent="0.25">
      <c r="A1143" s="63">
        <v>879000</v>
      </c>
      <c r="B1143" s="63">
        <v>202105</v>
      </c>
      <c r="C1143" s="64">
        <v>80203.98</v>
      </c>
      <c r="D1143" s="64">
        <v>5</v>
      </c>
      <c r="H1143" s="65">
        <v>5</v>
      </c>
    </row>
    <row r="1144" spans="1:8" x14ac:dyDescent="0.25">
      <c r="A1144" s="63">
        <v>879000</v>
      </c>
      <c r="B1144" s="63">
        <v>202106</v>
      </c>
      <c r="C1144" s="64">
        <v>118820.73</v>
      </c>
      <c r="D1144" s="64">
        <v>5</v>
      </c>
      <c r="H1144" s="65">
        <v>5</v>
      </c>
    </row>
    <row r="1145" spans="1:8" x14ac:dyDescent="0.25">
      <c r="A1145" s="63">
        <v>879000</v>
      </c>
      <c r="B1145" s="63">
        <v>202107</v>
      </c>
      <c r="C1145" s="64">
        <v>86664.16</v>
      </c>
      <c r="D1145" s="64">
        <v>4</v>
      </c>
      <c r="H1145" s="65">
        <v>5</v>
      </c>
    </row>
    <row r="1146" spans="1:8" x14ac:dyDescent="0.25">
      <c r="A1146" s="63">
        <v>879000</v>
      </c>
      <c r="B1146" s="63">
        <v>202108</v>
      </c>
      <c r="C1146" s="64">
        <v>80000</v>
      </c>
      <c r="D1146" s="64">
        <v>4</v>
      </c>
      <c r="H1146" s="65">
        <v>5</v>
      </c>
    </row>
    <row r="1147" spans="1:8" x14ac:dyDescent="0.25">
      <c r="A1147" s="63">
        <v>879000</v>
      </c>
      <c r="B1147" s="63">
        <v>202109</v>
      </c>
      <c r="C1147" s="64">
        <v>80200</v>
      </c>
      <c r="D1147" s="64">
        <v>4</v>
      </c>
      <c r="H1147" s="65">
        <v>5</v>
      </c>
    </row>
    <row r="1148" spans="1:8" x14ac:dyDescent="0.25">
      <c r="A1148" s="63">
        <v>879000</v>
      </c>
      <c r="B1148" s="63">
        <v>202110</v>
      </c>
      <c r="C1148" s="64">
        <v>80200</v>
      </c>
      <c r="D1148" s="64">
        <v>4</v>
      </c>
      <c r="H1148" s="65">
        <v>5</v>
      </c>
    </row>
    <row r="1149" spans="1:8" x14ac:dyDescent="0.25">
      <c r="A1149" s="63">
        <v>879000</v>
      </c>
      <c r="B1149" s="63">
        <v>202111</v>
      </c>
      <c r="C1149" s="64">
        <v>80000</v>
      </c>
      <c r="D1149" s="64">
        <v>4</v>
      </c>
      <c r="H1149" s="65">
        <v>5</v>
      </c>
    </row>
    <row r="1150" spans="1:8" x14ac:dyDescent="0.25">
      <c r="A1150" s="63">
        <v>879000</v>
      </c>
      <c r="B1150" s="63">
        <v>202112</v>
      </c>
      <c r="C1150" s="64">
        <v>80203</v>
      </c>
      <c r="D1150" s="64">
        <v>4</v>
      </c>
      <c r="F1150" s="93" cm="1">
        <f t="array" ref="F1150">SUM(D1139:D1150/12)</f>
        <v>4.166666666666667</v>
      </c>
      <c r="H1150" s="65">
        <v>5</v>
      </c>
    </row>
    <row r="1151" spans="1:8" x14ac:dyDescent="0.25">
      <c r="A1151" s="66" t="s">
        <v>851</v>
      </c>
      <c r="B1151" s="63"/>
      <c r="C1151" s="67">
        <f>SUM(C1139:C1150)</f>
        <v>983458.98</v>
      </c>
      <c r="H1151" s="65"/>
    </row>
    <row r="1152" spans="1:8" x14ac:dyDescent="0.25">
      <c r="A1152" s="63">
        <v>914000</v>
      </c>
      <c r="B1152" s="63">
        <v>202101</v>
      </c>
      <c r="C1152" s="64">
        <v>14372.36</v>
      </c>
      <c r="D1152" s="64">
        <v>1</v>
      </c>
      <c r="H1152" s="65">
        <v>1</v>
      </c>
    </row>
    <row r="1153" spans="1:8" x14ac:dyDescent="0.25">
      <c r="A1153" s="63">
        <v>914000</v>
      </c>
      <c r="B1153" s="63">
        <v>202102</v>
      </c>
      <c r="C1153" s="64">
        <v>16426.810000000001</v>
      </c>
      <c r="D1153" s="64">
        <v>1</v>
      </c>
      <c r="H1153" s="65">
        <v>1</v>
      </c>
    </row>
    <row r="1154" spans="1:8" x14ac:dyDescent="0.25">
      <c r="A1154" s="63">
        <v>914000</v>
      </c>
      <c r="B1154" s="63">
        <v>202103</v>
      </c>
      <c r="C1154" s="64">
        <v>15296.13</v>
      </c>
      <c r="D1154" s="64">
        <v>1</v>
      </c>
      <c r="H1154" s="65">
        <v>1</v>
      </c>
    </row>
    <row r="1155" spans="1:8" x14ac:dyDescent="0.25">
      <c r="A1155" s="63">
        <v>914000</v>
      </c>
      <c r="B1155" s="63">
        <v>202104</v>
      </c>
      <c r="C1155" s="64">
        <v>17297.939999999999</v>
      </c>
      <c r="D1155" s="64">
        <v>1</v>
      </c>
      <c r="H1155" s="65">
        <v>1</v>
      </c>
    </row>
    <row r="1156" spans="1:8" x14ac:dyDescent="0.25">
      <c r="A1156" s="63">
        <v>914000</v>
      </c>
      <c r="B1156" s="63">
        <v>202105</v>
      </c>
      <c r="C1156" s="64">
        <v>17082.189999999999</v>
      </c>
      <c r="D1156" s="64">
        <v>1</v>
      </c>
      <c r="H1156" s="65">
        <v>1</v>
      </c>
    </row>
    <row r="1157" spans="1:8" x14ac:dyDescent="0.25">
      <c r="A1157" s="63">
        <v>914000</v>
      </c>
      <c r="B1157" s="63">
        <v>202106</v>
      </c>
      <c r="C1157" s="64">
        <v>22721.759999999998</v>
      </c>
      <c r="D1157" s="64">
        <v>1</v>
      </c>
      <c r="H1157" s="65">
        <v>1</v>
      </c>
    </row>
    <row r="1158" spans="1:8" x14ac:dyDescent="0.25">
      <c r="A1158" s="63">
        <v>914000</v>
      </c>
      <c r="B1158" s="63">
        <v>202107</v>
      </c>
      <c r="C1158" s="64">
        <v>19370.349999999999</v>
      </c>
      <c r="D1158" s="64">
        <v>1</v>
      </c>
      <c r="H1158" s="65">
        <v>1</v>
      </c>
    </row>
    <row r="1159" spans="1:8" x14ac:dyDescent="0.25">
      <c r="A1159" s="63">
        <v>914000</v>
      </c>
      <c r="B1159" s="63">
        <v>202108</v>
      </c>
      <c r="C1159" s="64">
        <v>17100</v>
      </c>
      <c r="D1159" s="64">
        <v>1</v>
      </c>
      <c r="H1159" s="65">
        <v>1</v>
      </c>
    </row>
    <row r="1160" spans="1:8" x14ac:dyDescent="0.25">
      <c r="A1160" s="63">
        <v>914000</v>
      </c>
      <c r="B1160" s="63">
        <v>202109</v>
      </c>
      <c r="C1160" s="64">
        <f>17100+5100</f>
        <v>22200</v>
      </c>
      <c r="D1160" s="64">
        <v>1</v>
      </c>
      <c r="H1160" s="65">
        <v>1</v>
      </c>
    </row>
    <row r="1161" spans="1:8" x14ac:dyDescent="0.25">
      <c r="A1161" s="63">
        <v>914000</v>
      </c>
      <c r="B1161" s="63">
        <v>202110</v>
      </c>
      <c r="C1161" s="64">
        <v>17100</v>
      </c>
      <c r="D1161" s="64">
        <v>1</v>
      </c>
      <c r="H1161" s="65">
        <v>1</v>
      </c>
    </row>
    <row r="1162" spans="1:8" x14ac:dyDescent="0.25">
      <c r="A1162" s="63">
        <v>914000</v>
      </c>
      <c r="B1162" s="63">
        <v>202111</v>
      </c>
      <c r="C1162" s="64">
        <v>17100</v>
      </c>
      <c r="D1162" s="64">
        <v>1</v>
      </c>
      <c r="H1162" s="65">
        <v>1</v>
      </c>
    </row>
    <row r="1163" spans="1:8" x14ac:dyDescent="0.25">
      <c r="A1163" s="63">
        <v>914000</v>
      </c>
      <c r="B1163" s="63">
        <v>202112</v>
      </c>
      <c r="C1163" s="64">
        <v>17100</v>
      </c>
      <c r="D1163" s="64">
        <v>1</v>
      </c>
      <c r="F1163" s="93" cm="1">
        <f t="array" ref="F1163">SUM(D1152:D1163/12)</f>
        <v>1</v>
      </c>
      <c r="H1163" s="65">
        <v>1</v>
      </c>
    </row>
    <row r="1164" spans="1:8" x14ac:dyDescent="0.25">
      <c r="A1164" s="66" t="s">
        <v>852</v>
      </c>
      <c r="B1164" s="63"/>
      <c r="C1164" s="67">
        <f>SUM(C1152:C1163)</f>
        <v>213167.54</v>
      </c>
      <c r="H1164" s="65"/>
    </row>
    <row r="1165" spans="1:8" x14ac:dyDescent="0.25">
      <c r="A1165" s="63">
        <v>931000</v>
      </c>
      <c r="B1165" s="63">
        <v>202101</v>
      </c>
      <c r="C1165" s="64">
        <v>15855.3</v>
      </c>
      <c r="D1165" s="64">
        <v>1</v>
      </c>
      <c r="H1165" s="65">
        <v>1</v>
      </c>
    </row>
    <row r="1166" spans="1:8" x14ac:dyDescent="0.25">
      <c r="A1166" s="63">
        <v>931000</v>
      </c>
      <c r="B1166" s="63">
        <v>202102</v>
      </c>
      <c r="C1166" s="64">
        <v>26570.240000000002</v>
      </c>
      <c r="D1166" s="64">
        <v>1</v>
      </c>
      <c r="H1166" s="65">
        <v>1</v>
      </c>
    </row>
    <row r="1167" spans="1:8" x14ac:dyDescent="0.25">
      <c r="A1167" s="63">
        <v>931000</v>
      </c>
      <c r="B1167" s="63">
        <v>202103</v>
      </c>
      <c r="C1167" s="64">
        <v>15582.94</v>
      </c>
      <c r="D1167" s="64">
        <v>1</v>
      </c>
      <c r="H1167" s="65">
        <v>1</v>
      </c>
    </row>
    <row r="1168" spans="1:8" x14ac:dyDescent="0.25">
      <c r="A1168" s="63">
        <v>931000</v>
      </c>
      <c r="B1168" s="63">
        <v>202104</v>
      </c>
      <c r="C1168" s="64">
        <v>15547.1</v>
      </c>
      <c r="D1168" s="64">
        <v>1</v>
      </c>
      <c r="H1168" s="65">
        <v>1</v>
      </c>
    </row>
    <row r="1169" spans="1:8" x14ac:dyDescent="0.25">
      <c r="A1169" s="63">
        <v>931000</v>
      </c>
      <c r="B1169" s="63">
        <v>202105</v>
      </c>
      <c r="C1169" s="64">
        <v>16328.92</v>
      </c>
      <c r="D1169" s="64">
        <v>1</v>
      </c>
      <c r="H1169" s="65">
        <v>1</v>
      </c>
    </row>
    <row r="1170" spans="1:8" x14ac:dyDescent="0.25">
      <c r="A1170" s="63">
        <v>931000</v>
      </c>
      <c r="B1170" s="63">
        <v>202106</v>
      </c>
      <c r="C1170" s="64">
        <v>23244.06</v>
      </c>
      <c r="D1170" s="64">
        <v>1</v>
      </c>
      <c r="H1170" s="65">
        <v>1</v>
      </c>
    </row>
    <row r="1171" spans="1:8" x14ac:dyDescent="0.25">
      <c r="A1171" s="63">
        <v>931000</v>
      </c>
      <c r="B1171" s="63">
        <v>202107</v>
      </c>
      <c r="C1171" s="64">
        <v>18703.490000000002</v>
      </c>
      <c r="D1171" s="64">
        <v>1</v>
      </c>
      <c r="H1171" s="65">
        <v>1</v>
      </c>
    </row>
    <row r="1172" spans="1:8" x14ac:dyDescent="0.25">
      <c r="A1172" s="63">
        <v>931000</v>
      </c>
      <c r="B1172" s="63">
        <v>202108</v>
      </c>
      <c r="C1172" s="64">
        <v>16000</v>
      </c>
      <c r="D1172" s="64">
        <v>1</v>
      </c>
      <c r="H1172" s="65">
        <v>1</v>
      </c>
    </row>
    <row r="1173" spans="1:8" x14ac:dyDescent="0.25">
      <c r="A1173" s="63">
        <v>931000</v>
      </c>
      <c r="B1173" s="63">
        <v>202109</v>
      </c>
      <c r="C1173" s="64">
        <v>16000</v>
      </c>
      <c r="D1173" s="64">
        <v>1</v>
      </c>
      <c r="H1173" s="65">
        <v>1</v>
      </c>
    </row>
    <row r="1174" spans="1:8" x14ac:dyDescent="0.25">
      <c r="A1174" s="63">
        <v>931000</v>
      </c>
      <c r="B1174" s="63">
        <v>202110</v>
      </c>
      <c r="C1174" s="64">
        <v>16000</v>
      </c>
      <c r="D1174" s="64">
        <v>1</v>
      </c>
      <c r="H1174" s="65">
        <v>1</v>
      </c>
    </row>
    <row r="1175" spans="1:8" x14ac:dyDescent="0.25">
      <c r="A1175" s="63">
        <v>931000</v>
      </c>
      <c r="B1175" s="63">
        <v>202111</v>
      </c>
      <c r="C1175" s="64">
        <v>16000</v>
      </c>
      <c r="D1175" s="64">
        <v>1</v>
      </c>
      <c r="H1175" s="65">
        <v>1</v>
      </c>
    </row>
    <row r="1176" spans="1:8" x14ac:dyDescent="0.25">
      <c r="A1176" s="63">
        <v>931000</v>
      </c>
      <c r="B1176" s="63">
        <v>202112</v>
      </c>
      <c r="C1176" s="64">
        <v>16000</v>
      </c>
      <c r="D1176" s="64">
        <v>1</v>
      </c>
      <c r="F1176" s="93" cm="1">
        <f t="array" ref="F1176">SUM(D1165:D1176/12)</f>
        <v>1</v>
      </c>
      <c r="H1176" s="65">
        <v>1</v>
      </c>
    </row>
    <row r="1177" spans="1:8" x14ac:dyDescent="0.25">
      <c r="A1177" s="66" t="s">
        <v>853</v>
      </c>
      <c r="B1177" s="63"/>
      <c r="C1177" s="67">
        <f>SUM(C1165:C1176)</f>
        <v>211832.05</v>
      </c>
      <c r="H1177" s="65"/>
    </row>
    <row r="1178" spans="1:8" x14ac:dyDescent="0.25">
      <c r="A1178" s="63">
        <v>931100</v>
      </c>
      <c r="B1178" s="63">
        <v>202101</v>
      </c>
      <c r="C1178" s="64">
        <v>114422.65</v>
      </c>
      <c r="D1178" s="64">
        <v>8</v>
      </c>
      <c r="H1178" s="65">
        <v>8</v>
      </c>
    </row>
    <row r="1179" spans="1:8" x14ac:dyDescent="0.25">
      <c r="A1179" s="63">
        <v>931100</v>
      </c>
      <c r="B1179" s="63">
        <v>202102</v>
      </c>
      <c r="C1179" s="64">
        <v>116417.11</v>
      </c>
      <c r="D1179" s="64">
        <v>8</v>
      </c>
      <c r="H1179" s="65">
        <v>8</v>
      </c>
    </row>
    <row r="1180" spans="1:8" x14ac:dyDescent="0.25">
      <c r="A1180" s="63">
        <v>931100</v>
      </c>
      <c r="B1180" s="63">
        <v>202103</v>
      </c>
      <c r="C1180" s="64">
        <v>126627.02</v>
      </c>
      <c r="D1180" s="64">
        <v>8</v>
      </c>
      <c r="H1180" s="65">
        <v>8</v>
      </c>
    </row>
    <row r="1181" spans="1:8" x14ac:dyDescent="0.25">
      <c r="A1181" s="63">
        <v>931100</v>
      </c>
      <c r="B1181" s="63">
        <v>202104</v>
      </c>
      <c r="C1181" s="64">
        <v>121382.23</v>
      </c>
      <c r="D1181" s="64">
        <v>8</v>
      </c>
      <c r="H1181" s="65">
        <v>8</v>
      </c>
    </row>
    <row r="1182" spans="1:8" x14ac:dyDescent="0.25">
      <c r="A1182" s="63">
        <v>931100</v>
      </c>
      <c r="B1182" s="63">
        <v>202105</v>
      </c>
      <c r="C1182" s="64">
        <v>121697.83</v>
      </c>
      <c r="D1182" s="64">
        <v>8</v>
      </c>
      <c r="H1182" s="65">
        <v>8</v>
      </c>
    </row>
    <row r="1183" spans="1:8" x14ac:dyDescent="0.25">
      <c r="A1183" s="63">
        <v>931100</v>
      </c>
      <c r="B1183" s="63">
        <v>202106</v>
      </c>
      <c r="C1183" s="64">
        <v>170432.2</v>
      </c>
      <c r="D1183" s="64">
        <v>8</v>
      </c>
      <c r="H1183" s="65">
        <v>8</v>
      </c>
    </row>
    <row r="1184" spans="1:8" x14ac:dyDescent="0.25">
      <c r="A1184" s="63">
        <v>931100</v>
      </c>
      <c r="B1184" s="63">
        <v>202107</v>
      </c>
      <c r="C1184" s="64">
        <v>135952.66</v>
      </c>
      <c r="D1184" s="64">
        <v>8</v>
      </c>
      <c r="H1184" s="65">
        <v>8</v>
      </c>
    </row>
    <row r="1185" spans="1:8" x14ac:dyDescent="0.25">
      <c r="A1185" s="63">
        <v>931100</v>
      </c>
      <c r="B1185" s="63">
        <v>202108</v>
      </c>
      <c r="C1185" s="64">
        <v>122000</v>
      </c>
      <c r="D1185" s="64">
        <v>8</v>
      </c>
      <c r="H1185" s="65">
        <v>8</v>
      </c>
    </row>
    <row r="1186" spans="1:8" x14ac:dyDescent="0.25">
      <c r="A1186" s="63">
        <v>931100</v>
      </c>
      <c r="B1186" s="63">
        <v>202109</v>
      </c>
      <c r="C1186" s="64">
        <f>122000+16500</f>
        <v>138500</v>
      </c>
      <c r="D1186" s="64">
        <v>8</v>
      </c>
      <c r="H1186" s="65">
        <v>8</v>
      </c>
    </row>
    <row r="1187" spans="1:8" x14ac:dyDescent="0.25">
      <c r="A1187" s="63">
        <v>931100</v>
      </c>
      <c r="B1187" s="63">
        <v>202110</v>
      </c>
      <c r="C1187" s="64">
        <v>122000</v>
      </c>
      <c r="D1187" s="64">
        <v>8</v>
      </c>
      <c r="H1187" s="65">
        <v>8</v>
      </c>
    </row>
    <row r="1188" spans="1:8" x14ac:dyDescent="0.25">
      <c r="A1188" s="63">
        <v>931100</v>
      </c>
      <c r="B1188" s="63">
        <v>202111</v>
      </c>
      <c r="C1188" s="64">
        <v>122000</v>
      </c>
      <c r="D1188" s="64">
        <v>8</v>
      </c>
      <c r="H1188" s="65">
        <v>8</v>
      </c>
    </row>
    <row r="1189" spans="1:8" x14ac:dyDescent="0.25">
      <c r="A1189" s="63">
        <v>931100</v>
      </c>
      <c r="B1189" s="63">
        <v>202112</v>
      </c>
      <c r="C1189" s="64">
        <v>122000</v>
      </c>
      <c r="D1189" s="64">
        <v>8</v>
      </c>
      <c r="F1189" s="93" cm="1">
        <f t="array" ref="F1189">SUM(D1178:D1189/12)</f>
        <v>8</v>
      </c>
      <c r="H1189" s="65">
        <v>8</v>
      </c>
    </row>
    <row r="1190" spans="1:8" x14ac:dyDescent="0.25">
      <c r="A1190" s="66" t="s">
        <v>854</v>
      </c>
      <c r="B1190" s="63"/>
      <c r="C1190" s="67">
        <f>SUM(C1178:C1189)</f>
        <v>1533431.7000000002</v>
      </c>
      <c r="H1190" s="65"/>
    </row>
    <row r="1191" spans="1:8" x14ac:dyDescent="0.25">
      <c r="A1191" s="63">
        <v>938000</v>
      </c>
      <c r="B1191" s="63">
        <v>202101</v>
      </c>
      <c r="C1191" s="64">
        <v>129004.07</v>
      </c>
      <c r="D1191" s="64">
        <v>9.75</v>
      </c>
      <c r="H1191" s="65">
        <v>12</v>
      </c>
    </row>
    <row r="1192" spans="1:8" x14ac:dyDescent="0.25">
      <c r="A1192" s="63">
        <v>938000</v>
      </c>
      <c r="B1192" s="63">
        <v>202102</v>
      </c>
      <c r="C1192" s="64">
        <v>123987.66</v>
      </c>
      <c r="D1192" s="64">
        <v>9.75</v>
      </c>
      <c r="H1192" s="65">
        <v>13</v>
      </c>
    </row>
    <row r="1193" spans="1:8" x14ac:dyDescent="0.25">
      <c r="A1193" s="63">
        <v>938000</v>
      </c>
      <c r="B1193" s="63">
        <v>202103</v>
      </c>
      <c r="C1193" s="64">
        <v>124831.08</v>
      </c>
      <c r="D1193" s="64">
        <v>9.75</v>
      </c>
      <c r="H1193" s="65">
        <v>13</v>
      </c>
    </row>
    <row r="1194" spans="1:8" x14ac:dyDescent="0.25">
      <c r="A1194" s="63">
        <v>938000</v>
      </c>
      <c r="B1194" s="63">
        <v>202104</v>
      </c>
      <c r="C1194" s="64">
        <v>127406.95</v>
      </c>
      <c r="D1194" s="64">
        <v>9.75</v>
      </c>
      <c r="H1194" s="65">
        <v>13</v>
      </c>
    </row>
    <row r="1195" spans="1:8" x14ac:dyDescent="0.25">
      <c r="A1195" s="63">
        <v>938000</v>
      </c>
      <c r="B1195" s="63">
        <v>202105</v>
      </c>
      <c r="C1195" s="64">
        <v>129005.54</v>
      </c>
      <c r="D1195" s="64">
        <v>9.75</v>
      </c>
      <c r="H1195" s="65">
        <v>13</v>
      </c>
    </row>
    <row r="1196" spans="1:8" x14ac:dyDescent="0.25">
      <c r="A1196" s="63">
        <v>938000</v>
      </c>
      <c r="B1196" s="63">
        <v>202106</v>
      </c>
      <c r="C1196" s="64">
        <v>191764.03</v>
      </c>
      <c r="D1196" s="64">
        <v>9.75</v>
      </c>
      <c r="H1196" s="65">
        <v>13</v>
      </c>
    </row>
    <row r="1197" spans="1:8" x14ac:dyDescent="0.25">
      <c r="A1197" s="63">
        <v>938000</v>
      </c>
      <c r="B1197" s="63">
        <v>202107</v>
      </c>
      <c r="C1197" s="64">
        <v>143380.51</v>
      </c>
      <c r="D1197" s="64">
        <v>9.75</v>
      </c>
      <c r="H1197" s="65">
        <v>12</v>
      </c>
    </row>
    <row r="1198" spans="1:8" x14ac:dyDescent="0.25">
      <c r="A1198" s="63">
        <v>938000</v>
      </c>
      <c r="B1198" s="63">
        <v>202108</v>
      </c>
      <c r="C1198" s="64">
        <v>130000</v>
      </c>
      <c r="D1198" s="64">
        <v>9.75</v>
      </c>
      <c r="H1198" s="65">
        <v>12</v>
      </c>
    </row>
    <row r="1199" spans="1:8" x14ac:dyDescent="0.25">
      <c r="A1199" s="63">
        <v>938000</v>
      </c>
      <c r="B1199" s="63">
        <v>202109</v>
      </c>
      <c r="C1199" s="64">
        <f>130000+10000</f>
        <v>140000</v>
      </c>
      <c r="D1199" s="64">
        <v>9.75</v>
      </c>
      <c r="H1199" s="65">
        <v>12</v>
      </c>
    </row>
    <row r="1200" spans="1:8" x14ac:dyDescent="0.25">
      <c r="A1200" s="63">
        <v>938000</v>
      </c>
      <c r="B1200" s="63">
        <v>202110</v>
      </c>
      <c r="C1200" s="64">
        <v>130000</v>
      </c>
      <c r="D1200" s="64">
        <v>9.75</v>
      </c>
      <c r="H1200" s="65">
        <v>12</v>
      </c>
    </row>
    <row r="1201" spans="1:8" x14ac:dyDescent="0.25">
      <c r="A1201" s="63">
        <v>938000</v>
      </c>
      <c r="B1201" s="63">
        <v>202111</v>
      </c>
      <c r="C1201" s="64">
        <v>130000</v>
      </c>
      <c r="D1201" s="64">
        <v>9.75</v>
      </c>
      <c r="H1201" s="65">
        <v>12</v>
      </c>
    </row>
    <row r="1202" spans="1:8" x14ac:dyDescent="0.25">
      <c r="A1202" s="63">
        <v>938000</v>
      </c>
      <c r="B1202" s="63">
        <v>202112</v>
      </c>
      <c r="C1202" s="64">
        <v>130000</v>
      </c>
      <c r="D1202" s="64">
        <v>9.75</v>
      </c>
      <c r="F1202" s="93" cm="1">
        <f t="array" ref="F1202">SUM(D1191:D1202/12)</f>
        <v>9.75</v>
      </c>
      <c r="H1202" s="65">
        <v>12</v>
      </c>
    </row>
    <row r="1203" spans="1:8" x14ac:dyDescent="0.25">
      <c r="A1203" s="66" t="s">
        <v>855</v>
      </c>
      <c r="B1203" s="63"/>
      <c r="C1203" s="67">
        <f>SUM(C1191:C1202)</f>
        <v>1629379.84</v>
      </c>
      <c r="H1203" s="65"/>
    </row>
    <row r="1204" spans="1:8" x14ac:dyDescent="0.25">
      <c r="A1204" s="63">
        <v>943000</v>
      </c>
      <c r="B1204" s="63">
        <v>202101</v>
      </c>
      <c r="C1204" s="64">
        <v>61419.8</v>
      </c>
      <c r="D1204" s="64">
        <v>4.55</v>
      </c>
      <c r="H1204" s="65">
        <v>6</v>
      </c>
    </row>
    <row r="1205" spans="1:8" x14ac:dyDescent="0.25">
      <c r="A1205" s="63">
        <v>943000</v>
      </c>
      <c r="B1205" s="63">
        <v>202102</v>
      </c>
      <c r="C1205" s="64">
        <v>71370.67</v>
      </c>
      <c r="D1205" s="64">
        <v>4.55</v>
      </c>
      <c r="H1205" s="65">
        <v>6</v>
      </c>
    </row>
    <row r="1206" spans="1:8" x14ac:dyDescent="0.25">
      <c r="A1206" s="63">
        <v>943000</v>
      </c>
      <c r="B1206" s="63">
        <v>202103</v>
      </c>
      <c r="C1206" s="64">
        <v>60029.72</v>
      </c>
      <c r="D1206" s="64">
        <v>4.55</v>
      </c>
      <c r="H1206" s="65">
        <v>5</v>
      </c>
    </row>
    <row r="1207" spans="1:8" x14ac:dyDescent="0.25">
      <c r="A1207" s="63">
        <v>943000</v>
      </c>
      <c r="B1207" s="63">
        <v>202104</v>
      </c>
      <c r="C1207" s="64">
        <v>61810.28</v>
      </c>
      <c r="D1207" s="64">
        <v>5.2160000000000002</v>
      </c>
      <c r="H1207" s="65">
        <v>6</v>
      </c>
    </row>
    <row r="1208" spans="1:8" x14ac:dyDescent="0.25">
      <c r="A1208" s="63">
        <v>943000</v>
      </c>
      <c r="B1208" s="63">
        <v>202105</v>
      </c>
      <c r="C1208" s="64">
        <v>63870.09</v>
      </c>
      <c r="D1208" s="64">
        <v>4.55</v>
      </c>
      <c r="H1208" s="65">
        <v>5</v>
      </c>
    </row>
    <row r="1209" spans="1:8" x14ac:dyDescent="0.25">
      <c r="A1209" s="63">
        <v>943000</v>
      </c>
      <c r="B1209" s="63">
        <v>202106</v>
      </c>
      <c r="C1209" s="64">
        <v>89662.85</v>
      </c>
      <c r="D1209" s="64">
        <v>4.55</v>
      </c>
      <c r="H1209" s="65">
        <v>6</v>
      </c>
    </row>
    <row r="1210" spans="1:8" x14ac:dyDescent="0.25">
      <c r="A1210" s="63">
        <v>943000</v>
      </c>
      <c r="B1210" s="63">
        <v>202107</v>
      </c>
      <c r="C1210" s="64">
        <v>75338.14</v>
      </c>
      <c r="D1210" s="64">
        <v>4.6130000000000004</v>
      </c>
      <c r="H1210" s="65">
        <v>6</v>
      </c>
    </row>
    <row r="1211" spans="1:8" x14ac:dyDescent="0.25">
      <c r="A1211" s="63">
        <v>943000</v>
      </c>
      <c r="B1211" s="63">
        <v>202108</v>
      </c>
      <c r="C1211" s="64">
        <v>66000</v>
      </c>
      <c r="D1211" s="64">
        <v>4.6130000000000004</v>
      </c>
      <c r="H1211" s="65">
        <v>6</v>
      </c>
    </row>
    <row r="1212" spans="1:8" x14ac:dyDescent="0.25">
      <c r="A1212" s="63">
        <v>943000</v>
      </c>
      <c r="B1212" s="63">
        <v>202109</v>
      </c>
      <c r="C1212" s="64">
        <f>66000</f>
        <v>66000</v>
      </c>
      <c r="D1212" s="64">
        <v>4.6130000000000004</v>
      </c>
      <c r="H1212" s="65">
        <v>6</v>
      </c>
    </row>
    <row r="1213" spans="1:8" x14ac:dyDescent="0.25">
      <c r="A1213" s="63">
        <v>943000</v>
      </c>
      <c r="B1213" s="63">
        <v>202110</v>
      </c>
      <c r="C1213" s="64">
        <v>66000</v>
      </c>
      <c r="D1213" s="64">
        <v>4.6130000000000004</v>
      </c>
      <c r="H1213" s="65">
        <v>6</v>
      </c>
    </row>
    <row r="1214" spans="1:8" x14ac:dyDescent="0.25">
      <c r="A1214" s="63">
        <v>943000</v>
      </c>
      <c r="B1214" s="63">
        <v>202111</v>
      </c>
      <c r="C1214" s="64">
        <v>66000</v>
      </c>
      <c r="D1214" s="64">
        <v>4.6130000000000004</v>
      </c>
      <c r="H1214" s="65">
        <v>6</v>
      </c>
    </row>
    <row r="1215" spans="1:8" x14ac:dyDescent="0.25">
      <c r="A1215" s="63">
        <v>943000</v>
      </c>
      <c r="B1215" s="63">
        <v>202112</v>
      </c>
      <c r="C1215" s="64">
        <v>66000</v>
      </c>
      <c r="D1215" s="64">
        <v>4.6130000000000004</v>
      </c>
      <c r="F1215" s="93" cm="1">
        <f t="array" ref="F1215">SUM(D1204:D1215/12)</f>
        <v>4.6369999999999996</v>
      </c>
      <c r="H1215" s="65">
        <v>6</v>
      </c>
    </row>
    <row r="1216" spans="1:8" outlineLevel="1" x14ac:dyDescent="0.25">
      <c r="A1216" s="66" t="s">
        <v>856</v>
      </c>
      <c r="B1216" s="63"/>
      <c r="C1216" s="67">
        <f>SUM(C1204:C1215)</f>
        <v>813501.55</v>
      </c>
      <c r="H1216" s="65"/>
    </row>
    <row r="1217" spans="1:9" outlineLevel="2" x14ac:dyDescent="0.25">
      <c r="A1217" s="70">
        <v>981100</v>
      </c>
      <c r="B1217" s="70">
        <v>202101</v>
      </c>
      <c r="C1217" s="71">
        <v>2112.62</v>
      </c>
      <c r="D1217" s="71"/>
      <c r="E1217" s="73"/>
      <c r="G1217" s="73"/>
      <c r="H1217" s="72">
        <v>1</v>
      </c>
    </row>
    <row r="1218" spans="1:9" outlineLevel="2" x14ac:dyDescent="0.25">
      <c r="A1218" s="70">
        <v>981100</v>
      </c>
      <c r="B1218" s="70">
        <v>202102</v>
      </c>
      <c r="C1218" s="71">
        <v>5149.16</v>
      </c>
      <c r="D1218" s="71"/>
      <c r="E1218" s="73"/>
      <c r="G1218" s="73"/>
      <c r="H1218" s="72">
        <v>1</v>
      </c>
    </row>
    <row r="1219" spans="1:9" outlineLevel="2" x14ac:dyDescent="0.25">
      <c r="A1219" s="70">
        <v>981100</v>
      </c>
      <c r="B1219" s="70">
        <v>202103</v>
      </c>
      <c r="C1219" s="71">
        <v>3625.66</v>
      </c>
      <c r="D1219" s="71"/>
      <c r="E1219" s="73"/>
      <c r="G1219" s="73"/>
      <c r="H1219" s="72">
        <v>1</v>
      </c>
    </row>
    <row r="1220" spans="1:9" outlineLevel="2" x14ac:dyDescent="0.25">
      <c r="A1220" s="70">
        <v>981100</v>
      </c>
      <c r="B1220" s="70">
        <v>202104</v>
      </c>
      <c r="C1220" s="71">
        <v>12505.36</v>
      </c>
      <c r="D1220" s="71"/>
      <c r="E1220" s="73"/>
      <c r="G1220" s="73"/>
      <c r="H1220" s="72">
        <v>2</v>
      </c>
    </row>
    <row r="1221" spans="1:9" outlineLevel="2" x14ac:dyDescent="0.25">
      <c r="A1221" s="70">
        <v>981100</v>
      </c>
      <c r="B1221" s="70">
        <v>202105</v>
      </c>
      <c r="C1221" s="71">
        <v>12296.26</v>
      </c>
      <c r="D1221" s="71"/>
      <c r="E1221" s="73"/>
      <c r="G1221" s="73"/>
      <c r="H1221" s="72">
        <v>2</v>
      </c>
    </row>
    <row r="1222" spans="1:9" outlineLevel="2" x14ac:dyDescent="0.25">
      <c r="A1222" s="70">
        <v>981100</v>
      </c>
      <c r="B1222" s="70">
        <v>202106</v>
      </c>
      <c r="C1222" s="71">
        <v>13244.51</v>
      </c>
      <c r="D1222" s="71"/>
      <c r="E1222" s="73"/>
      <c r="G1222" s="73"/>
      <c r="H1222" s="72">
        <v>2</v>
      </c>
    </row>
    <row r="1223" spans="1:9" outlineLevel="2" x14ac:dyDescent="0.25">
      <c r="A1223" s="70">
        <v>981100</v>
      </c>
      <c r="B1223" s="70">
        <v>202107</v>
      </c>
      <c r="C1223" s="71">
        <v>4645.2</v>
      </c>
      <c r="D1223" s="71"/>
      <c r="E1223" s="73"/>
      <c r="G1223" s="73"/>
      <c r="H1223" s="72">
        <v>1</v>
      </c>
    </row>
    <row r="1224" spans="1:9" outlineLevel="2" x14ac:dyDescent="0.25">
      <c r="A1224" s="70">
        <v>981100</v>
      </c>
      <c r="B1224" s="70">
        <v>202108</v>
      </c>
      <c r="C1224" s="71">
        <v>0</v>
      </c>
      <c r="D1224" s="71"/>
      <c r="E1224" s="73"/>
      <c r="G1224" s="73"/>
      <c r="H1224" s="72">
        <v>0</v>
      </c>
    </row>
    <row r="1225" spans="1:9" outlineLevel="2" x14ac:dyDescent="0.25">
      <c r="A1225" s="70">
        <v>981100</v>
      </c>
      <c r="B1225" s="70">
        <v>202109</v>
      </c>
      <c r="C1225" s="71">
        <v>0</v>
      </c>
      <c r="D1225" s="71"/>
      <c r="E1225" s="73"/>
      <c r="G1225" s="73"/>
      <c r="H1225" s="72">
        <v>0</v>
      </c>
    </row>
    <row r="1226" spans="1:9" outlineLevel="2" x14ac:dyDescent="0.25">
      <c r="A1226" s="70">
        <v>981100</v>
      </c>
      <c r="B1226" s="70">
        <v>202110</v>
      </c>
      <c r="C1226" s="71">
        <v>0</v>
      </c>
      <c r="D1226" s="71"/>
      <c r="E1226" s="74" t="s">
        <v>857</v>
      </c>
      <c r="F1226" s="94"/>
      <c r="G1226" s="75"/>
      <c r="H1226" s="72">
        <v>0</v>
      </c>
      <c r="I1226" s="76"/>
    </row>
    <row r="1227" spans="1:9" outlineLevel="2" x14ac:dyDescent="0.25">
      <c r="A1227" s="70">
        <v>981100</v>
      </c>
      <c r="B1227" s="70">
        <v>202111</v>
      </c>
      <c r="C1227" s="71">
        <v>0</v>
      </c>
      <c r="D1227" s="71"/>
      <c r="E1227" s="75" t="s">
        <v>858</v>
      </c>
      <c r="F1227" s="94"/>
      <c r="G1227" s="75"/>
      <c r="H1227" s="72">
        <v>0</v>
      </c>
      <c r="I1227" s="76"/>
    </row>
    <row r="1228" spans="1:9" outlineLevel="2" x14ac:dyDescent="0.25">
      <c r="A1228" s="70">
        <v>981100</v>
      </c>
      <c r="B1228" s="70">
        <v>202112</v>
      </c>
      <c r="C1228" s="71">
        <v>0</v>
      </c>
      <c r="D1228" s="71"/>
      <c r="E1228" s="73"/>
      <c r="G1228" s="73"/>
      <c r="H1228" s="72">
        <v>0</v>
      </c>
    </row>
    <row r="1229" spans="1:9" outlineLevel="1" x14ac:dyDescent="0.25">
      <c r="A1229" s="77" t="s">
        <v>859</v>
      </c>
      <c r="B1229" s="70"/>
      <c r="C1229" s="78">
        <f>SUBTOTAL(9,C1217:C1225)</f>
        <v>53578.77</v>
      </c>
      <c r="D1229" s="71"/>
      <c r="E1229" s="73"/>
      <c r="G1229" s="73"/>
      <c r="H1229" s="72"/>
    </row>
    <row r="1230" spans="1:9" outlineLevel="2" x14ac:dyDescent="0.25">
      <c r="A1230" s="63">
        <v>999000</v>
      </c>
      <c r="B1230" s="63">
        <v>202101</v>
      </c>
      <c r="C1230" s="64">
        <v>2018831.32</v>
      </c>
      <c r="D1230" s="64">
        <v>188.072</v>
      </c>
      <c r="H1230" s="65">
        <v>411</v>
      </c>
    </row>
    <row r="1231" spans="1:9" outlineLevel="2" x14ac:dyDescent="0.25">
      <c r="A1231" s="63">
        <v>999000</v>
      </c>
      <c r="B1231" s="63">
        <v>202102</v>
      </c>
      <c r="C1231" s="64">
        <v>2017880.35</v>
      </c>
      <c r="D1231" s="64">
        <v>188.072</v>
      </c>
      <c r="H1231" s="65">
        <v>411</v>
      </c>
    </row>
    <row r="1232" spans="1:9" x14ac:dyDescent="0.25">
      <c r="A1232" s="63">
        <v>999000</v>
      </c>
      <c r="B1232" s="63">
        <v>202103</v>
      </c>
      <c r="C1232" s="64">
        <v>2091767.78</v>
      </c>
      <c r="D1232" s="64">
        <v>188.59</v>
      </c>
      <c r="H1232" s="65">
        <v>412</v>
      </c>
    </row>
    <row r="1233" spans="1:8" x14ac:dyDescent="0.25">
      <c r="A1233" s="63">
        <v>999000</v>
      </c>
      <c r="B1233" s="63">
        <v>202104</v>
      </c>
      <c r="C1233" s="64">
        <v>2011457.13</v>
      </c>
      <c r="D1233" s="64">
        <v>187.143</v>
      </c>
      <c r="H1233" s="65">
        <v>409</v>
      </c>
    </row>
    <row r="1234" spans="1:8" x14ac:dyDescent="0.25">
      <c r="A1234" s="63">
        <v>999000</v>
      </c>
      <c r="B1234" s="63">
        <v>202105</v>
      </c>
      <c r="C1234" s="64">
        <v>2117296.8199999998</v>
      </c>
      <c r="D1234" s="64">
        <v>187.565</v>
      </c>
      <c r="H1234" s="65">
        <v>410</v>
      </c>
    </row>
    <row r="1235" spans="1:8" x14ac:dyDescent="0.25">
      <c r="A1235" s="63">
        <v>999000</v>
      </c>
      <c r="B1235" s="63">
        <v>202106</v>
      </c>
      <c r="C1235" s="64">
        <v>3128516.33</v>
      </c>
      <c r="D1235" s="64">
        <v>187.59200000000001</v>
      </c>
      <c r="H1235" s="65">
        <v>409</v>
      </c>
    </row>
    <row r="1236" spans="1:8" x14ac:dyDescent="0.25">
      <c r="A1236" s="63">
        <v>999000</v>
      </c>
      <c r="B1236" s="63">
        <v>202107</v>
      </c>
      <c r="C1236" s="64">
        <v>2608120.38</v>
      </c>
      <c r="D1236" s="64">
        <v>188.73699999999999</v>
      </c>
      <c r="H1236" s="65">
        <v>411</v>
      </c>
    </row>
    <row r="1237" spans="1:8" x14ac:dyDescent="0.25">
      <c r="A1237" s="63">
        <v>999000</v>
      </c>
      <c r="B1237" s="63">
        <v>202108</v>
      </c>
      <c r="C1237" s="64">
        <v>2050000</v>
      </c>
      <c r="D1237" s="64">
        <v>189</v>
      </c>
      <c r="H1237" s="65">
        <v>413</v>
      </c>
    </row>
    <row r="1238" spans="1:8" x14ac:dyDescent="0.25">
      <c r="A1238" s="63">
        <v>999000</v>
      </c>
      <c r="B1238" s="63">
        <v>202109</v>
      </c>
      <c r="C1238" s="64">
        <f>2050000+669000</f>
        <v>2719000</v>
      </c>
      <c r="D1238" s="64">
        <v>190</v>
      </c>
      <c r="H1238" s="65">
        <v>414</v>
      </c>
    </row>
    <row r="1239" spans="1:8" x14ac:dyDescent="0.25">
      <c r="A1239" s="63">
        <v>999000</v>
      </c>
      <c r="B1239" s="63">
        <v>202110</v>
      </c>
      <c r="C1239" s="64">
        <v>2055000</v>
      </c>
      <c r="D1239" s="64">
        <v>191</v>
      </c>
      <c r="H1239" s="65">
        <v>415</v>
      </c>
    </row>
    <row r="1240" spans="1:8" x14ac:dyDescent="0.25">
      <c r="A1240" s="63">
        <v>999000</v>
      </c>
      <c r="B1240" s="63">
        <v>202111</v>
      </c>
      <c r="C1240" s="64">
        <v>2055000</v>
      </c>
      <c r="D1240" s="64">
        <v>192</v>
      </c>
      <c r="H1240" s="65">
        <v>415</v>
      </c>
    </row>
    <row r="1241" spans="1:8" x14ac:dyDescent="0.25">
      <c r="A1241" s="63">
        <v>999000</v>
      </c>
      <c r="B1241" s="63">
        <v>202112</v>
      </c>
      <c r="C1241" s="64">
        <v>2055000</v>
      </c>
      <c r="D1241" s="64">
        <v>192</v>
      </c>
      <c r="F1241" s="93" cm="1">
        <f t="array" ref="F1241">SUM(D1230:D1241/12)</f>
        <v>189.14758333333333</v>
      </c>
      <c r="H1241" s="65">
        <v>415</v>
      </c>
    </row>
    <row r="1242" spans="1:8" x14ac:dyDescent="0.25">
      <c r="A1242" s="66" t="s">
        <v>860</v>
      </c>
      <c r="B1242" s="63"/>
      <c r="C1242" s="67">
        <f>SUM(C1230:C1241)</f>
        <v>26927870.109999999</v>
      </c>
      <c r="H1242" s="65"/>
    </row>
    <row r="1243" spans="1:8" x14ac:dyDescent="0.25">
      <c r="A1243" s="66"/>
      <c r="B1243" s="63"/>
      <c r="C1243" s="67"/>
      <c r="H1243" s="65"/>
    </row>
    <row r="1244" spans="1:8" x14ac:dyDescent="0.25">
      <c r="A1244" s="66" t="s">
        <v>722</v>
      </c>
      <c r="B1244" s="63"/>
      <c r="C1244" s="67">
        <f>C14+C27+C40+C53+C66+C79+C92+C105+C119+C133+C146+C159+C172+C185+C198+C211+C224+C237+C250+C263+C276+C289+C302+C315+C328+C341+C354+C367+C380+C393+C406+C419+C432+C445+C457+C470+C483+C496+C509+C522+C535+C548+C561+C574+C578+C591+C604+C617+C631+C644+C657+C670+C683+C696+C709+C722+C735+C748+C761+C774+C787+C800+C813+C826+C839+C852+C865+C878+C891+C904+C917+C930+C943+C956+C969+C982+C995+C1008+C1021+C1034+C1047+C1060+C1073+C1086+C1099+C1112+C1125+C1138+C1151+C1164+C1177+C1190+C1203+C1216+C1242</f>
        <v>169015336.44</v>
      </c>
      <c r="D1244" s="67">
        <f>SUM(D2:D1243)/12</f>
        <v>988.05275000000154</v>
      </c>
      <c r="E1244" s="67">
        <f>E14+E27+E40+E53+E66+E79+E92+E105+E119+E133+E146+E159+E172+E185+E198+E211+E224+E237+E250+E263+E276+E289+E302+E315+E328+E341+E354+E367+E380+E393+E406+E419+E432+E445+E457+E470+E483+E496+E509+E522+E535+E548+E561+E574+E578+E591+E604+E617+E631+E644+E657+E670+E683+E696+E709+E722+E735+E748+E761+E774+E787+E800+E813+E826+E839+E852+E865+E878+E891+E904+E917+E930+E943+E956+E969+E982+E995+E1008+E1021+E1034+E1047+E1060+E1073+E1086+E1099+E1112+E1125+E1138+E1151+E1164+E1177+E1190+E1203+E1216+E1242</f>
        <v>0</v>
      </c>
      <c r="F1244" s="67">
        <f>SUM(F2:F1243)</f>
        <v>987.22941666666657</v>
      </c>
      <c r="G1244" s="67">
        <f>G14+G27+G40+G53+G66+G79+G92+G105+G119+G133+G146+G159+G172+G185+G198+G211+G224+G237+G250+G263+G276+G289+G302+G315+G328+G341+G354+G367+G380+G393+G406+G419+G432+G445+G457+G470+G483+G496+G509+G522+G535+G548+G561+G574+G578+G591+G604+G617+G631+G644+G657+G670+G683+G696+G709+G722+G735+G748+G761+G774+G787+G800+G813+G826+G839+G852+G865+G878+G891+G904+G917+G930+G943+G956+G969+G982+G995+G1008+G1021+G1034+G1047+G1060+G1073+G1086+G1099+G1112+G1125+G1138+G1151+G1164+G1177+G1190+G1203+G1216+G1242</f>
        <v>0</v>
      </c>
      <c r="H1244" s="67">
        <f>H14+H27+H40+H53+H66+H79+H92+H105+H119+H133+H146+H159+H172+H185+H198+H211+H224+H237+H250+H263+H276+H289+H302+H315+H328+H341+H354+H367+H380+H393+H406+H419+H432+H445+H457+H470+H483+H496+H509+H522+H535+H548+H561+H574+H578+H591+H604+H617+H631+H644+H657+H670+H683+H696+H709+H722+H735+H748+H761+H774+H787+H800+H813+H826+H839+H852+H865+H878+H891+H904+H917+H930+H943+H956+H969+H982+H995+H1008+H1021+H1034+H1047+H1060+H1073+H1086+H1099+H1112+H1125+H1138+H1151+H1164+H1177+H1190+H1203+H1216+H1242</f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27</vt:i4>
      </vt:variant>
      <vt:variant>
        <vt:lpstr>טווחים בעלי שם</vt:lpstr>
      </vt:variant>
      <vt:variant>
        <vt:i4>27</vt:i4>
      </vt:variant>
    </vt:vector>
  </HeadingPairs>
  <TitlesOfParts>
    <vt:vector size="54" baseType="lpstr">
      <vt:lpstr>תוכן עניינים</vt:lpstr>
      <vt:lpstr>ביטול תקציב</vt:lpstr>
      <vt:lpstr>הכנסות 1</vt:lpstr>
      <vt:lpstr>גיליון1</vt:lpstr>
      <vt:lpstr>הוצאות 2</vt:lpstr>
      <vt:lpstr>הכנסות חינוך 3</vt:lpstr>
      <vt:lpstr>הכנסות תרבות 4</vt:lpstr>
      <vt:lpstr>הכנסות רווחה 5</vt:lpstr>
      <vt:lpstr>הוצאות שכר 6</vt:lpstr>
      <vt:lpstr>שכד ביטוחים עיתונים ומשלחות 7  </vt:lpstr>
      <vt:lpstr> הוצאות רווחה  8</vt:lpstr>
      <vt:lpstr>קליקה 9</vt:lpstr>
      <vt:lpstr>סעיפי קורונה 10</vt:lpstr>
      <vt:lpstr>ציוד משרדי וכיבוד 11</vt:lpstr>
      <vt:lpstr>חשמל ומים 12</vt:lpstr>
      <vt:lpstr>דלק ורכבים 13</vt:lpstr>
      <vt:lpstr>תיקונים ורישוי 14</vt:lpstr>
      <vt:lpstr>ליסינג 15</vt:lpstr>
      <vt:lpstr>תקשורת פרסום ומחשוב 16</vt:lpstr>
      <vt:lpstr>ריבית ועמלות ופרעון 17</vt:lpstr>
      <vt:lpstr>עבודות קבלניות 18</vt:lpstr>
      <vt:lpstr> 19 הג"א</vt:lpstr>
      <vt:lpstr>20-780</vt:lpstr>
      <vt:lpstr>21-782</vt:lpstr>
      <vt:lpstr>תמיכות 22</vt:lpstr>
      <vt:lpstr>ביצוע 2020</vt:lpstr>
      <vt:lpstr>שכר 2021</vt:lpstr>
      <vt:lpstr>' הוצאות רווחה  8'!WPrint_Area_W</vt:lpstr>
      <vt:lpstr>'20-780'!WPrint_Area_W</vt:lpstr>
      <vt:lpstr>'21-782'!WPrint_Area_W</vt:lpstr>
      <vt:lpstr>'הוצאות 2'!WPrint_Area_W</vt:lpstr>
      <vt:lpstr>'הכנסות 1'!WPrint_Area_W</vt:lpstr>
      <vt:lpstr>'הכנסות חינוך 3'!WPrint_Area_W</vt:lpstr>
      <vt:lpstr>'הכנסות רווחה 5'!WPrint_Area_W</vt:lpstr>
      <vt:lpstr>'הכנסות תרבות 4'!WPrint_Area_W</vt:lpstr>
      <vt:lpstr>'חשמל ומים 12'!WPrint_Area_W</vt:lpstr>
      <vt:lpstr>'ליסינג 15'!WPrint_Area_W</vt:lpstr>
      <vt:lpstr>'סעיפי קורונה 10'!WPrint_Area_W</vt:lpstr>
      <vt:lpstr>'עבודות קבלניות 18'!WPrint_Area_W</vt:lpstr>
      <vt:lpstr>'ציוד משרדי וכיבוד 11'!WPrint_Area_W</vt:lpstr>
      <vt:lpstr>'קליקה 9'!WPrint_Area_W</vt:lpstr>
      <vt:lpstr>'ריבית ועמלות ופרעון 17'!WPrint_Area_W</vt:lpstr>
      <vt:lpstr>'שכד ביטוחים עיתונים ומשלחות 7  '!WPrint_Area_W</vt:lpstr>
      <vt:lpstr>'תוכן עניינים'!WPrint_Area_W</vt:lpstr>
      <vt:lpstr>'תיקונים ורישוי 14'!WPrint_Area_W</vt:lpstr>
      <vt:lpstr>'תמיכות 22'!WPrint_Area_W</vt:lpstr>
      <vt:lpstr>'תקשורת פרסום ומחשוב 16'!WPrint_Area_W</vt:lpstr>
      <vt:lpstr>' הוצאות רווחה  8'!WPrint_TitlesW</vt:lpstr>
      <vt:lpstr>'20-780'!WPrint_TitlesW</vt:lpstr>
      <vt:lpstr>'21-782'!WPrint_TitlesW</vt:lpstr>
      <vt:lpstr>'הוצאות 2'!WPrint_TitlesW</vt:lpstr>
      <vt:lpstr>'הוצאות שכר 6'!WPrint_TitlesW</vt:lpstr>
      <vt:lpstr>'הכנסות 1'!WPrint_TitlesW</vt:lpstr>
      <vt:lpstr>'הכנסות רווחה 5'!WPrint_TitlesW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חווה יקוטי</dc:creator>
  <cp:lastModifiedBy>Dalia Asayag</cp:lastModifiedBy>
  <cp:lastPrinted>2022-10-03T12:33:19Z</cp:lastPrinted>
  <dcterms:created xsi:type="dcterms:W3CDTF">2020-09-16T04:47:37Z</dcterms:created>
  <dcterms:modified xsi:type="dcterms:W3CDTF">2022-11-13T06:10:25Z</dcterms:modified>
</cp:coreProperties>
</file>